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AS FILED/"/>
    </mc:Choice>
  </mc:AlternateContent>
  <xr:revisionPtr revIDLastSave="103" documentId="8_{F84C9264-C0B3-41C5-8AD5-7C0860C8BE01}" xr6:coauthVersionLast="47" xr6:coauthVersionMax="47" xr10:uidLastSave="{7E95F353-1A05-4621-9321-5E603AECA3E4}"/>
  <bookViews>
    <workbookView xWindow="-110" yWindow="-110" windowWidth="19420" windowHeight="10420" firstSheet="2" xr2:uid="{032E3BC8-CEE1-4CAE-B7B2-CDFF942EF501}"/>
  </bookViews>
  <sheets>
    <sheet name="a" sheetId="2" r:id="rId1"/>
    <sheet name="b" sheetId="1" r:id="rId2"/>
    <sheet name="c" sheetId="3" r:id="rId3"/>
  </sheets>
  <definedNames>
    <definedName name="_xlnm._FilterDatabase" localSheetId="1" hidden="1">b!$A$2:$D$88</definedName>
    <definedName name="_xlnm.Print_Area" localSheetId="1">b!$A$1:$L$15</definedName>
    <definedName name="_xlnm.Print_Area" localSheetId="2">'c'!$A$1:$R$46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L12" i="3"/>
  <c r="L11" i="3"/>
  <c r="I92" i="1"/>
  <c r="L25" i="3"/>
  <c r="L24" i="3"/>
  <c r="C9" i="2"/>
  <c r="I90" i="1"/>
  <c r="I89" i="1"/>
  <c r="I88" i="1" l="1"/>
  <c r="I87" i="1"/>
  <c r="C7" i="2"/>
  <c r="L18" i="3" l="1"/>
  <c r="C8" i="2" s="1"/>
  <c r="L23" i="3"/>
  <c r="I86" i="1"/>
  <c r="I85" i="1"/>
  <c r="I78" i="1"/>
  <c r="H69" i="1"/>
  <c r="I68" i="1"/>
  <c r="I67" i="1"/>
  <c r="R66" i="1"/>
  <c r="R90" i="1" s="1"/>
  <c r="R95" i="1" s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7" i="1"/>
  <c r="I6" i="1"/>
  <c r="I5" i="1"/>
  <c r="I4" i="1"/>
  <c r="I3" i="1"/>
  <c r="I2" i="1"/>
  <c r="M58" i="1" l="1"/>
  <c r="C5" i="2"/>
  <c r="C10" i="2" s="1"/>
  <c r="I93" i="1"/>
  <c r="L32" i="3"/>
  <c r="N32" i="3" s="1"/>
  <c r="M50" i="1"/>
  <c r="N56" i="1"/>
  <c r="P64" i="1"/>
  <c r="J24" i="3"/>
  <c r="J25" i="3"/>
  <c r="P11" i="3"/>
  <c r="N46" i="1"/>
  <c r="M43" i="1"/>
  <c r="P42" i="1"/>
  <c r="P34" i="1"/>
  <c r="M30" i="1"/>
  <c r="N25" i="1"/>
  <c r="P16" i="1"/>
  <c r="O14" i="1"/>
  <c r="O90" i="1" s="1"/>
  <c r="Q13" i="1"/>
  <c r="Q90" i="1" s="1"/>
  <c r="M12" i="1"/>
  <c r="N9" i="1"/>
  <c r="P30" i="3"/>
  <c r="Q29" i="3"/>
  <c r="R29" i="3" s="1"/>
  <c r="P29" i="3"/>
  <c r="Q28" i="3"/>
  <c r="R28" i="3" s="1"/>
  <c r="P28" i="3"/>
  <c r="P25" i="3"/>
  <c r="P24" i="3"/>
  <c r="J23" i="3"/>
  <c r="P23" i="3" s="1"/>
  <c r="P18" i="3"/>
  <c r="J16" i="3"/>
  <c r="P16" i="3" s="1"/>
  <c r="G16" i="3"/>
  <c r="J15" i="3"/>
  <c r="P15" i="3" s="1"/>
  <c r="Q12" i="3"/>
  <c r="P12" i="3"/>
  <c r="C12" i="3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Q11" i="3"/>
  <c r="R11" i="3" s="1"/>
  <c r="P90" i="1" l="1"/>
  <c r="Q94" i="1" s="1"/>
  <c r="M90" i="1"/>
  <c r="N38" i="1"/>
  <c r="N90" i="1" s="1"/>
  <c r="N93" i="1" s="1"/>
  <c r="J32" i="3"/>
  <c r="J34" i="3" s="1"/>
  <c r="J38" i="3" s="1"/>
  <c r="J43" i="3" s="1"/>
  <c r="S93" i="1" l="1"/>
  <c r="S94" i="1" s="1"/>
</calcChain>
</file>

<file path=xl/sharedStrings.xml><?xml version="1.0" encoding="utf-8"?>
<sst xmlns="http://schemas.openxmlformats.org/spreadsheetml/2006/main" count="565" uniqueCount="156">
  <si>
    <t>Data request 12a Rate case expenses</t>
  </si>
  <si>
    <t>Rate case expenses incurred as of 12/09/22</t>
  </si>
  <si>
    <t>1. Accounting</t>
  </si>
  <si>
    <t>2. Travel</t>
  </si>
  <si>
    <t>3.  Legal</t>
  </si>
  <si>
    <t>4. Consultants</t>
  </si>
  <si>
    <t>5. Postage / Stock</t>
  </si>
  <si>
    <t>6. Estimated Legal to Complete</t>
  </si>
  <si>
    <t>Total to date</t>
  </si>
  <si>
    <t>Vendor</t>
  </si>
  <si>
    <t>Purchase Order</t>
  </si>
  <si>
    <t>Invoice #</t>
  </si>
  <si>
    <t>Amount</t>
  </si>
  <si>
    <t>Pay Date</t>
  </si>
  <si>
    <t>Check #</t>
  </si>
  <si>
    <t>Hours Worked</t>
  </si>
  <si>
    <t>Rates Per Hr</t>
  </si>
  <si>
    <t>Services Performed</t>
  </si>
  <si>
    <t>Account Number</t>
  </si>
  <si>
    <t>Acct Name</t>
  </si>
  <si>
    <t>Ice Miller-legal</t>
  </si>
  <si>
    <t>Sturgill-legal</t>
  </si>
  <si>
    <t>Salary-SM</t>
  </si>
  <si>
    <t>ROE-SM</t>
  </si>
  <si>
    <t>Baryenbruch</t>
  </si>
  <si>
    <t>Postage/Stock</t>
  </si>
  <si>
    <t>Sturgill, Turner, Barker &amp; Moloney</t>
  </si>
  <si>
    <t>P91-2210-100171</t>
  </si>
  <si>
    <t>Legal Services</t>
  </si>
  <si>
    <t>2210.312005.10.170002.0000.000.0000</t>
  </si>
  <si>
    <t>RCIP - Attorney Fees</t>
  </si>
  <si>
    <t>Document Reproduction</t>
  </si>
  <si>
    <t>Ice Miller LLP</t>
  </si>
  <si>
    <t>P91-2210-100175</t>
  </si>
  <si>
    <t>01-2147119</t>
  </si>
  <si>
    <t>Baryenbruch &amp; Company, LLC</t>
  </si>
  <si>
    <t>060322</t>
  </si>
  <si>
    <t>Prepare Direct Testimony</t>
  </si>
  <si>
    <t>ScottMadden Inc.</t>
  </si>
  <si>
    <t>P91-2210-100186</t>
  </si>
  <si>
    <t>021148</t>
  </si>
  <si>
    <t>Wage &amp; Benefits Study</t>
  </si>
  <si>
    <t>021148.1</t>
  </si>
  <si>
    <t>Rate of Return Study</t>
  </si>
  <si>
    <t>Counsel</t>
  </si>
  <si>
    <t>Associate Counsel</t>
  </si>
  <si>
    <t>Paralegal</t>
  </si>
  <si>
    <t>Online research/Fees</t>
  </si>
  <si>
    <t>Online research</t>
  </si>
  <si>
    <t>01-2162392</t>
  </si>
  <si>
    <t>01-2162393</t>
  </si>
  <si>
    <t>01-2167531</t>
  </si>
  <si>
    <t>01-2172732</t>
  </si>
  <si>
    <t>unpaid</t>
  </si>
  <si>
    <t>Litigation Doc Processing</t>
  </si>
  <si>
    <t>Travel/Mileage</t>
  </si>
  <si>
    <t>01-2177833</t>
  </si>
  <si>
    <t>021900</t>
  </si>
  <si>
    <t>Supporting Analysis</t>
  </si>
  <si>
    <t>Audit Exhibits</t>
  </si>
  <si>
    <t>Analysis</t>
  </si>
  <si>
    <t>Review Intervenor Testimony</t>
  </si>
  <si>
    <t>Drafting Rebuttal Testimony</t>
  </si>
  <si>
    <t>Market Compensation Audit</t>
  </si>
  <si>
    <t>Infosend</t>
  </si>
  <si>
    <t>-</t>
  </si>
  <si>
    <t>Postage</t>
  </si>
  <si>
    <t>2210.312005.10.170003.0000.000.0000</t>
  </si>
  <si>
    <t>RCIP - Administrative</t>
  </si>
  <si>
    <t>01-2178828</t>
  </si>
  <si>
    <t>No invoice/ statement of activity through Dec 8th</t>
  </si>
  <si>
    <t>Hilton Hotel Lexington</t>
  </si>
  <si>
    <t>Credit Card</t>
  </si>
  <si>
    <t>RCIP - Travel</t>
  </si>
  <si>
    <t>Agave and Rye</t>
  </si>
  <si>
    <t>Travel/Meals</t>
  </si>
  <si>
    <t>Jersey Mikes</t>
  </si>
  <si>
    <t>Setlzer Club</t>
  </si>
  <si>
    <t>Pilot Gas</t>
  </si>
  <si>
    <t>Shell</t>
  </si>
  <si>
    <t>American Airline</t>
  </si>
  <si>
    <t>Plaza hotel</t>
  </si>
  <si>
    <t>Uber</t>
  </si>
  <si>
    <t>Middlesboro daily news</t>
  </si>
  <si>
    <t>Notification of hearing</t>
  </si>
  <si>
    <t>Hotel</t>
  </si>
  <si>
    <t>Estimated Post Dec 9 legal work</t>
  </si>
  <si>
    <t>KS Bar and Grill</t>
  </si>
  <si>
    <t>Nic and Normans</t>
  </si>
  <si>
    <t>Total</t>
  </si>
  <si>
    <t>New from last report</t>
  </si>
  <si>
    <t>Total from last report</t>
  </si>
  <si>
    <t>Legal</t>
  </si>
  <si>
    <t>Consultants</t>
  </si>
  <si>
    <t xml:space="preserve">DR 12 c. </t>
  </si>
  <si>
    <t>Water Service Corporation of Kentucky</t>
  </si>
  <si>
    <t>Rate Case Expense</t>
  </si>
  <si>
    <t>A</t>
  </si>
  <si>
    <t>B</t>
  </si>
  <si>
    <t>C</t>
  </si>
  <si>
    <t>D</t>
  </si>
  <si>
    <t>E</t>
  </si>
  <si>
    <t>F</t>
  </si>
  <si>
    <t>F2</t>
  </si>
  <si>
    <t>G</t>
  </si>
  <si>
    <t>Average Hourly</t>
  </si>
  <si>
    <t>Estimated Hours</t>
  </si>
  <si>
    <t>Line No.</t>
  </si>
  <si>
    <t>Incurred</t>
  </si>
  <si>
    <t>Estimated</t>
  </si>
  <si>
    <t>Remaining</t>
  </si>
  <si>
    <t>Rate</t>
  </si>
  <si>
    <t>to be Worked</t>
  </si>
  <si>
    <t>Legal Fees (Ice Miller)</t>
  </si>
  <si>
    <t>Per Billing team - notice costs:</t>
  </si>
  <si>
    <t>Legal Fees (Strugill Turner)</t>
  </si>
  <si>
    <t>Customer Notices (2 notices):</t>
  </si>
  <si>
    <t>Infosend Mailing Costs (effective 12/01/2021)                  </t>
  </si>
  <si>
    <t>=</t>
  </si>
  <si>
    <t>customers x $0.5125</t>
  </si>
  <si>
    <t>Stock</t>
  </si>
  <si>
    <t>notices x .1025</t>
  </si>
  <si>
    <t>Paper Stock        $0.0169              per page (bill or notice)</t>
  </si>
  <si>
    <t>Envelopes                        </t>
  </si>
  <si>
    <t>Fed Ex, mailings, postage, and miscellaneous costs</t>
  </si>
  <si>
    <t>#10 Outgoing Envelope $0.0196             </t>
  </si>
  <si>
    <t>#9 Return Envelope        $0.0168             </t>
  </si>
  <si>
    <t># of Trips/</t>
  </si>
  <si>
    <t>Data Processing, Printing and Mailing Services    $0.0493              per page (bill or notice)</t>
  </si>
  <si>
    <t>Personnel</t>
  </si>
  <si>
    <t>Cost</t>
  </si>
  <si>
    <t>Nights</t>
  </si>
  <si>
    <t>Total Price per bill of above components              $0.1025             </t>
  </si>
  <si>
    <t>Travel **</t>
  </si>
  <si>
    <t>Postage (Varies / Avg stated)      $0.4100              Lowest possible postage is applied by Infosend - Average is $0.41.  Postage is variable for mail pieces that weigh more than 1 oz, bar-coded vs non-bar coded or are addressed to a foreign address</t>
  </si>
  <si>
    <t>Airfare</t>
  </si>
  <si>
    <t>Average cost per single page bill $0.5125             </t>
  </si>
  <si>
    <t>                            </t>
  </si>
  <si>
    <t>Meals/Parking</t>
  </si>
  <si>
    <t>Notice with Bills                            </t>
  </si>
  <si>
    <t>Paper Stock        $0.0169              per page (notice)</t>
  </si>
  <si>
    <t>Data Processing, Printing and Mailing Services    $0.0493              per page (notice)</t>
  </si>
  <si>
    <t>External Consultants (Salary Survey)</t>
  </si>
  <si>
    <t>Average cost per single page bill $0.0662             </t>
  </si>
  <si>
    <t>External Consultants (ROE - Scott Madden)</t>
  </si>
  <si>
    <t>External Consultants (CAM-Pat Baryenbruch)</t>
  </si>
  <si>
    <t>Total Cost of current case - estimated cost to complete</t>
  </si>
  <si>
    <t>Total Current Rate Case Cost</t>
  </si>
  <si>
    <t>Unamortized Rate Case Expense from prior Rate Cases approved</t>
  </si>
  <si>
    <t>Amortized over 3 years</t>
  </si>
  <si>
    <t>Amortization Expense per year</t>
  </si>
  <si>
    <t>*</t>
  </si>
  <si>
    <t>Will update with actual costs once invoices are received.</t>
  </si>
  <si>
    <t>**</t>
  </si>
  <si>
    <t>Travel expected may be cancelled due to Covid-19</t>
  </si>
  <si>
    <t>CO From: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</si>
</sst>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\ ;\(#,##0\)"/>
    <numFmt numFmtId="166" formatCode="&quot;Base Year (Per Books) Ended&quot;\ mmmm\ dd\,\ yyyy"/>
    <numFmt numFmtId="167" formatCode="&quot;Future Test Year Ended&quot;\ mmmm\ dd\,\ yyyy"/>
    <numFmt numFmtId="168" formatCode="#,##0.00\ ;\(#,##0.00\)"/>
    <numFmt numFmtId="169" formatCode="_(* #,##0_);_(* \(#,##0\);_(* &quot;-&quot;??_);_(@_)"/>
    <numFmt numFmtId="170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Courier"/>
      <family val="3"/>
    </font>
    <font>
      <b/>
      <sz val="10"/>
      <name val="Book Antiqua"/>
      <family val="1"/>
    </font>
    <font>
      <sz val="12"/>
      <color theme="1"/>
      <name val="Calibri"/>
      <family val="2"/>
      <scheme val="minor"/>
    </font>
    <font>
      <sz val="10"/>
      <name val="Book Antiqua"/>
      <family val="1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7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164" fontId="10" fillId="5" borderId="14" applyNumberFormat="0" applyAlignment="0" applyProtection="0"/>
    <xf numFmtId="43" fontId="5" fillId="0" borderId="0" applyFont="0" applyFill="0" applyBorder="0" applyAlignment="0" applyProtection="0"/>
    <xf numFmtId="164" fontId="5" fillId="0" borderId="0"/>
  </cellStyleXfs>
  <cellXfs count="157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44" fontId="0" fillId="2" borderId="2" xfId="1" applyFont="1" applyFill="1" applyBorder="1"/>
    <xf numFmtId="14" fontId="0" fillId="2" borderId="2" xfId="0" applyNumberFormat="1" applyFill="1" applyBorder="1"/>
    <xf numFmtId="0" fontId="0" fillId="2" borderId="2" xfId="0" applyFill="1" applyBorder="1"/>
    <xf numFmtId="0" fontId="4" fillId="2" borderId="2" xfId="0" applyFont="1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0" xfId="0" applyFill="1" applyAlignment="1">
      <alignment horizontal="center"/>
    </xf>
    <xf numFmtId="44" fontId="0" fillId="3" borderId="0" xfId="1" applyFont="1" applyFill="1" applyBorder="1"/>
    <xf numFmtId="14" fontId="0" fillId="3" borderId="0" xfId="0" applyNumberFormat="1" applyFill="1"/>
    <xf numFmtId="0" fontId="0" fillId="3" borderId="0" xfId="0" applyFill="1"/>
    <xf numFmtId="0" fontId="4" fillId="3" borderId="0" xfId="0" applyFont="1" applyFill="1"/>
    <xf numFmtId="0" fontId="0" fillId="3" borderId="5" xfId="0" applyFill="1" applyBorder="1"/>
    <xf numFmtId="0" fontId="0" fillId="2" borderId="4" xfId="0" applyFill="1" applyBorder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44" fontId="0" fillId="2" borderId="0" xfId="1" applyFont="1" applyFill="1" applyBorder="1"/>
    <xf numFmtId="14" fontId="0" fillId="2" borderId="0" xfId="0" applyNumberFormat="1" applyFill="1"/>
    <xf numFmtId="0" fontId="0" fillId="2" borderId="0" xfId="0" applyFill="1"/>
    <xf numFmtId="0" fontId="4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44" fontId="0" fillId="2" borderId="7" xfId="1" applyFont="1" applyFill="1" applyBorder="1"/>
    <xf numFmtId="14" fontId="0" fillId="2" borderId="7" xfId="0" applyNumberFormat="1" applyFill="1" applyBorder="1"/>
    <xf numFmtId="0" fontId="0" fillId="2" borderId="7" xfId="0" applyFill="1" applyBorder="1"/>
    <xf numFmtId="0" fontId="4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44" fontId="0" fillId="2" borderId="10" xfId="1" applyFont="1" applyFill="1" applyBorder="1"/>
    <xf numFmtId="14" fontId="0" fillId="2" borderId="10" xfId="0" applyNumberFormat="1" applyFill="1" applyBorder="1"/>
    <xf numFmtId="0" fontId="0" fillId="2" borderId="10" xfId="0" applyFill="1" applyBorder="1"/>
    <xf numFmtId="0" fontId="4" fillId="2" borderId="10" xfId="0" applyFont="1" applyFill="1" applyBorder="1"/>
    <xf numFmtId="0" fontId="0" fillId="2" borderId="11" xfId="0" applyFill="1" applyBorder="1"/>
    <xf numFmtId="165" fontId="6" fillId="0" borderId="0" xfId="3" applyNumberFormat="1" applyFont="1"/>
    <xf numFmtId="0" fontId="7" fillId="0" borderId="0" xfId="0" applyFont="1" applyAlignment="1">
      <alignment horizontal="right"/>
    </xf>
    <xf numFmtId="37" fontId="6" fillId="0" borderId="0" xfId="3" applyNumberFormat="1" applyFont="1"/>
    <xf numFmtId="164" fontId="6" fillId="0" borderId="0" xfId="3" applyFont="1"/>
    <xf numFmtId="0" fontId="0" fillId="0" borderId="0" xfId="0" applyAlignment="1">
      <alignment horizontal="right"/>
    </xf>
    <xf numFmtId="166" fontId="6" fillId="0" borderId="0" xfId="3" applyNumberFormat="1" applyFont="1"/>
    <xf numFmtId="164" fontId="8" fillId="0" borderId="0" xfId="3" applyFont="1"/>
    <xf numFmtId="165" fontId="8" fillId="0" borderId="0" xfId="3" applyNumberFormat="1" applyFont="1"/>
    <xf numFmtId="37" fontId="8" fillId="0" borderId="0" xfId="3" applyNumberFormat="1" applyFont="1"/>
    <xf numFmtId="164" fontId="6" fillId="0" borderId="0" xfId="3" applyFont="1" applyAlignment="1">
      <alignment horizontal="center"/>
    </xf>
    <xf numFmtId="165" fontId="6" fillId="0" borderId="0" xfId="3" applyNumberFormat="1" applyFont="1" applyAlignment="1">
      <alignment horizontal="center"/>
    </xf>
    <xf numFmtId="37" fontId="6" fillId="0" borderId="0" xfId="3" applyNumberFormat="1" applyFont="1" applyAlignment="1">
      <alignment horizontal="center"/>
    </xf>
    <xf numFmtId="165" fontId="6" fillId="0" borderId="12" xfId="3" applyNumberFormat="1" applyFont="1" applyBorder="1" applyAlignment="1">
      <alignment horizontal="center"/>
    </xf>
    <xf numFmtId="165" fontId="8" fillId="0" borderId="12" xfId="3" applyNumberFormat="1" applyFont="1" applyBorder="1"/>
    <xf numFmtId="37" fontId="8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center"/>
    </xf>
    <xf numFmtId="165" fontId="9" fillId="0" borderId="0" xfId="4" applyNumberFormat="1" applyFont="1"/>
    <xf numFmtId="165" fontId="9" fillId="0" borderId="12" xfId="4" applyNumberFormat="1" applyFont="1" applyBorder="1"/>
    <xf numFmtId="165" fontId="9" fillId="0" borderId="12" xfId="4" applyNumberFormat="1" applyFont="1" applyBorder="1" applyAlignment="1">
      <alignment horizontal="center"/>
    </xf>
    <xf numFmtId="165" fontId="9" fillId="0" borderId="0" xfId="4" applyNumberFormat="1" applyFont="1" applyAlignment="1">
      <alignment horizontal="center"/>
    </xf>
    <xf numFmtId="168" fontId="8" fillId="0" borderId="0" xfId="3" applyNumberFormat="1" applyFont="1"/>
    <xf numFmtId="165" fontId="8" fillId="0" borderId="0" xfId="3" applyNumberFormat="1" applyFont="1" applyAlignment="1">
      <alignment horizontal="fill"/>
    </xf>
    <xf numFmtId="165" fontId="8" fillId="0" borderId="0" xfId="3" applyNumberFormat="1" applyFont="1" applyAlignment="1">
      <alignment horizontal="right"/>
    </xf>
    <xf numFmtId="169" fontId="8" fillId="0" borderId="12" xfId="2" applyNumberFormat="1" applyFont="1" applyBorder="1" applyAlignment="1">
      <alignment horizontal="fill"/>
    </xf>
    <xf numFmtId="169" fontId="8" fillId="0" borderId="0" xfId="2" applyNumberFormat="1" applyFont="1" applyFill="1" applyBorder="1"/>
    <xf numFmtId="42" fontId="8" fillId="0" borderId="13" xfId="3" applyNumberFormat="1" applyFont="1" applyBorder="1"/>
    <xf numFmtId="42" fontId="8" fillId="0" borderId="0" xfId="3" applyNumberFormat="1" applyFont="1"/>
    <xf numFmtId="0" fontId="6" fillId="0" borderId="0" xfId="3" applyNumberFormat="1" applyFont="1" applyAlignment="1">
      <alignment horizontal="right"/>
    </xf>
    <xf numFmtId="169" fontId="8" fillId="0" borderId="0" xfId="2" applyNumberFormat="1" applyFont="1" applyAlignment="1">
      <alignment horizontal="center"/>
    </xf>
    <xf numFmtId="169" fontId="8" fillId="0" borderId="0" xfId="2" applyNumberFormat="1" applyFont="1"/>
    <xf numFmtId="170" fontId="8" fillId="0" borderId="0" xfId="1" applyNumberFormat="1" applyFont="1"/>
    <xf numFmtId="170" fontId="8" fillId="0" borderId="0" xfId="1" quotePrefix="1" applyNumberFormat="1" applyFont="1"/>
    <xf numFmtId="170" fontId="8" fillId="0" borderId="0" xfId="1" applyNumberFormat="1" applyFont="1" applyAlignment="1">
      <alignment horizontal="center"/>
    </xf>
    <xf numFmtId="164" fontId="6" fillId="0" borderId="0" xfId="7" applyFont="1"/>
    <xf numFmtId="164" fontId="8" fillId="0" borderId="0" xfId="7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0" fillId="2" borderId="10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right"/>
    </xf>
    <xf numFmtId="44" fontId="0" fillId="0" borderId="0" xfId="0" applyNumberFormat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44" fontId="2" fillId="4" borderId="2" xfId="1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4" fontId="0" fillId="3" borderId="2" xfId="1" applyFont="1" applyFill="1" applyBorder="1"/>
    <xf numFmtId="14" fontId="0" fillId="3" borderId="2" xfId="0" applyNumberFormat="1" applyFill="1" applyBorder="1"/>
    <xf numFmtId="0" fontId="0" fillId="3" borderId="2" xfId="0" applyFill="1" applyBorder="1"/>
    <xf numFmtId="0" fontId="0" fillId="3" borderId="3" xfId="0" applyFill="1" applyBorder="1"/>
    <xf numFmtId="1" fontId="0" fillId="2" borderId="0" xfId="0" applyNumberFormat="1" applyFill="1" applyAlignment="1">
      <alignment horizontal="center"/>
    </xf>
    <xf numFmtId="0" fontId="0" fillId="6" borderId="1" xfId="0" applyFill="1" applyBorder="1"/>
    <xf numFmtId="0" fontId="0" fillId="6" borderId="2" xfId="0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44" fontId="0" fillId="6" borderId="2" xfId="1" applyFont="1" applyFill="1" applyBorder="1"/>
    <xf numFmtId="14" fontId="0" fillId="6" borderId="2" xfId="0" applyNumberFormat="1" applyFill="1" applyBorder="1"/>
    <xf numFmtId="0" fontId="0" fillId="6" borderId="2" xfId="0" applyFill="1" applyBorder="1"/>
    <xf numFmtId="0" fontId="4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44" fontId="0" fillId="6" borderId="0" xfId="1" applyFont="1" applyFill="1" applyBorder="1"/>
    <xf numFmtId="14" fontId="0" fillId="6" borderId="0" xfId="0" applyNumberFormat="1" applyFill="1"/>
    <xf numFmtId="0" fontId="0" fillId="6" borderId="0" xfId="0" applyFill="1"/>
    <xf numFmtId="0" fontId="4" fillId="6" borderId="0" xfId="0" applyFont="1" applyFill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44" fontId="0" fillId="6" borderId="7" xfId="1" applyFont="1" applyFill="1" applyBorder="1"/>
    <xf numFmtId="14" fontId="0" fillId="6" borderId="7" xfId="0" applyNumberFormat="1" applyFill="1" applyBorder="1"/>
    <xf numFmtId="0" fontId="0" fillId="6" borderId="7" xfId="0" applyFill="1" applyBorder="1"/>
    <xf numFmtId="0" fontId="4" fillId="6" borderId="7" xfId="0" applyFont="1" applyFill="1" applyBorder="1"/>
    <xf numFmtId="0" fontId="0" fillId="6" borderId="8" xfId="0" applyFill="1" applyBorder="1"/>
    <xf numFmtId="1" fontId="0" fillId="2" borderId="2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44" fontId="0" fillId="0" borderId="0" xfId="1" applyFont="1" applyFill="1" applyBorder="1"/>
    <xf numFmtId="44" fontId="0" fillId="0" borderId="12" xfId="1" applyFont="1" applyFill="1" applyBorder="1"/>
    <xf numFmtId="2" fontId="0" fillId="3" borderId="2" xfId="0" applyNumberFormat="1" applyFill="1" applyBorder="1" applyAlignment="1">
      <alignment horizontal="center"/>
    </xf>
    <xf numFmtId="0" fontId="4" fillId="3" borderId="2" xfId="0" applyFont="1" applyFill="1" applyBorder="1"/>
    <xf numFmtId="2" fontId="0" fillId="3" borderId="0" xfId="0" applyNumberFormat="1" applyFill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44" fontId="0" fillId="3" borderId="7" xfId="1" applyFont="1" applyFill="1" applyBorder="1"/>
    <xf numFmtId="14" fontId="0" fillId="3" borderId="7" xfId="0" applyNumberFormat="1" applyFill="1" applyBorder="1"/>
    <xf numFmtId="0" fontId="0" fillId="3" borderId="7" xfId="0" applyFill="1" applyBorder="1"/>
    <xf numFmtId="0" fontId="4" fillId="3" borderId="7" xfId="0" applyFont="1" applyFill="1" applyBorder="1"/>
    <xf numFmtId="0" fontId="0" fillId="3" borderId="8" xfId="0" applyFill="1" applyBorder="1"/>
    <xf numFmtId="2" fontId="0" fillId="2" borderId="10" xfId="0" applyNumberFormat="1" applyFill="1" applyBorder="1" applyAlignment="1">
      <alignment horizontal="center"/>
    </xf>
    <xf numFmtId="37" fontId="0" fillId="0" borderId="0" xfId="0" applyNumberFormat="1"/>
    <xf numFmtId="49" fontId="0" fillId="2" borderId="7" xfId="0" applyNumberFormat="1" applyFill="1" applyBorder="1" applyAlignment="1">
      <alignment horizontal="center"/>
    </xf>
    <xf numFmtId="2" fontId="0" fillId="3" borderId="2" xfId="0" applyNumberFormat="1" applyFill="1" applyBorder="1"/>
    <xf numFmtId="2" fontId="0" fillId="2" borderId="0" xfId="0" applyNumberFormat="1" applyFill="1"/>
    <xf numFmtId="166" fontId="6" fillId="0" borderId="0" xfId="3" applyNumberFormat="1" applyFont="1" applyAlignment="1">
      <alignment horizontal="left"/>
    </xf>
    <xf numFmtId="167" fontId="6" fillId="0" borderId="0" xfId="3" applyNumberFormat="1" applyFont="1" applyAlignment="1">
      <alignment horizontal="left"/>
    </xf>
    <xf numFmtId="0" fontId="0" fillId="2" borderId="0" xfId="0" applyFill="1" applyBorder="1"/>
    <xf numFmtId="37" fontId="8" fillId="7" borderId="0" xfId="3" applyNumberFormat="1" applyFont="1" applyFill="1"/>
    <xf numFmtId="0" fontId="0" fillId="8" borderId="0" xfId="0" applyFill="1"/>
    <xf numFmtId="0" fontId="0" fillId="8" borderId="0" xfId="0" applyFill="1" applyAlignment="1">
      <alignment horizontal="center"/>
    </xf>
    <xf numFmtId="2" fontId="0" fillId="8" borderId="0" xfId="0" applyNumberFormat="1" applyFill="1" applyAlignment="1">
      <alignment horizontal="center"/>
    </xf>
    <xf numFmtId="170" fontId="0" fillId="8" borderId="0" xfId="1" applyNumberFormat="1" applyFont="1" applyFill="1" applyBorder="1"/>
    <xf numFmtId="170" fontId="0" fillId="8" borderId="0" xfId="1" applyNumberFormat="1" applyFont="1" applyFill="1" applyBorder="1" applyAlignment="1">
      <alignment horizontal="center"/>
    </xf>
    <xf numFmtId="0" fontId="4" fillId="8" borderId="0" xfId="0" applyFont="1" applyFill="1"/>
  </cellXfs>
  <cellStyles count="8">
    <cellStyle name="Comma" xfId="2" builtinId="3"/>
    <cellStyle name="Comma 2" xfId="6" xr:uid="{1995BEAB-ECC5-4AB4-A75C-D20321A1993E}"/>
    <cellStyle name="Currency" xfId="1" builtinId="4"/>
    <cellStyle name="Input 2" xfId="5" xr:uid="{5A4F9F13-5A0D-43A3-9394-DF6D20F6A366}"/>
    <cellStyle name="Normal" xfId="0" builtinId="0"/>
    <cellStyle name="Normal 10" xfId="3" xr:uid="{E55BC944-0E47-496F-89DC-30FDF4B388DA}"/>
    <cellStyle name="Normal 10 2" xfId="7" xr:uid="{6B45DB32-BD6D-4204-9161-87B0C6C20A87}"/>
    <cellStyle name="Normal 10 7" xfId="4" xr:uid="{A92E7234-8AD6-42B9-B38D-76D5A60B8C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02D88-171A-4CA9-9D8E-510D154DCCB3}">
  <dimension ref="A1:C11"/>
  <sheetViews>
    <sheetView tabSelected="1" zoomScaleNormal="100" workbookViewId="0">
      <selection activeCell="F22" sqref="F22"/>
    </sheetView>
  </sheetViews>
  <sheetFormatPr defaultRowHeight="14.45"/>
  <cols>
    <col min="2" max="2" width="36.42578125" bestFit="1" customWidth="1"/>
    <col min="3" max="3" width="14.7109375" customWidth="1"/>
  </cols>
  <sheetData>
    <row r="1" spans="1:3">
      <c r="A1" t="s">
        <v>0</v>
      </c>
    </row>
    <row r="3" spans="1:3">
      <c r="B3" t="s">
        <v>1</v>
      </c>
    </row>
    <row r="4" spans="1:3">
      <c r="B4" t="s">
        <v>2</v>
      </c>
      <c r="C4" s="1"/>
    </row>
    <row r="5" spans="1:3">
      <c r="B5" t="s">
        <v>3</v>
      </c>
      <c r="C5" s="1">
        <f>'c'!L23+'c'!L24+'c'!L25</f>
        <v>2937.29</v>
      </c>
    </row>
    <row r="6" spans="1:3">
      <c r="B6" t="s">
        <v>4</v>
      </c>
      <c r="C6" s="1">
        <f>'c'!L11+'c'!L12+'c'!L14</f>
        <v>149654</v>
      </c>
    </row>
    <row r="7" spans="1:3">
      <c r="B7" t="s">
        <v>5</v>
      </c>
      <c r="C7" s="1">
        <f>'c'!L30+'c'!L29+'c'!L28</f>
        <v>110077.99770000001</v>
      </c>
    </row>
    <row r="8" spans="1:3">
      <c r="B8" t="s">
        <v>6</v>
      </c>
      <c r="C8" s="1">
        <f>6472.49+'c'!L18</f>
        <v>6615.65</v>
      </c>
    </row>
    <row r="9" spans="1:3" ht="15">
      <c r="B9" t="s">
        <v>7</v>
      </c>
      <c r="C9" s="1">
        <f>'c'!N13</f>
        <v>15000</v>
      </c>
    </row>
    <row r="10" spans="1:3">
      <c r="B10" t="s">
        <v>8</v>
      </c>
      <c r="C10" s="1">
        <f>SUM(C4:C9)</f>
        <v>284284.93770000001</v>
      </c>
    </row>
    <row r="11" spans="1:3">
      <c r="C11" s="8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835F-D721-4846-9D59-89A922DFAF26}">
  <dimension ref="A1:CB96"/>
  <sheetViews>
    <sheetView topLeftCell="A67" zoomScaleNormal="100" workbookViewId="0">
      <selection activeCell="C97" sqref="C97"/>
    </sheetView>
  </sheetViews>
  <sheetFormatPr defaultRowHeight="14.45"/>
  <cols>
    <col min="1" max="1" width="30.28515625" bestFit="1" customWidth="1"/>
    <col min="2" max="2" width="18.5703125" style="3" bestFit="1" customWidth="1"/>
    <col min="3" max="3" width="42.140625" style="6" bestFit="1" customWidth="1"/>
    <col min="4" max="4" width="13.5703125" style="1" bestFit="1" customWidth="1"/>
    <col min="5" max="5" width="12.140625" style="5" customWidth="1"/>
    <col min="6" max="6" width="13" style="3" customWidth="1"/>
    <col min="7" max="7" width="16.140625" customWidth="1"/>
    <col min="8" max="8" width="14.42578125" style="1" customWidth="1"/>
    <col min="9" max="9" width="12.85546875" style="1" customWidth="1"/>
    <col min="10" max="10" width="22.7109375" bestFit="1" customWidth="1"/>
    <col min="11" max="11" width="33.5703125" bestFit="1" customWidth="1"/>
    <col min="12" max="12" width="19.7109375" bestFit="1" customWidth="1"/>
    <col min="13" max="13" width="17.85546875" customWidth="1"/>
    <col min="14" max="17" width="12.28515625" bestFit="1" customWidth="1"/>
    <col min="18" max="18" width="13.7109375" bestFit="1" customWidth="1"/>
    <col min="19" max="19" width="13.42578125" bestFit="1" customWidth="1"/>
  </cols>
  <sheetData>
    <row r="1" spans="1:18" s="2" customFormat="1" ht="15" thickBot="1">
      <c r="A1" s="88" t="s">
        <v>9</v>
      </c>
      <c r="B1" s="89" t="s">
        <v>10</v>
      </c>
      <c r="C1" s="90" t="s">
        <v>11</v>
      </c>
      <c r="D1" s="91" t="s">
        <v>12</v>
      </c>
      <c r="E1" s="92" t="s">
        <v>13</v>
      </c>
      <c r="F1" s="89" t="s">
        <v>14</v>
      </c>
      <c r="G1" s="89" t="s">
        <v>15</v>
      </c>
      <c r="H1" s="91" t="s">
        <v>16</v>
      </c>
      <c r="I1" s="91" t="s">
        <v>12</v>
      </c>
      <c r="J1" s="89" t="s">
        <v>17</v>
      </c>
      <c r="K1" s="89" t="s">
        <v>18</v>
      </c>
      <c r="L1" s="93" t="s">
        <v>19</v>
      </c>
      <c r="M1" s="2" t="s">
        <v>20</v>
      </c>
      <c r="N1" s="2" t="s">
        <v>21</v>
      </c>
      <c r="O1" s="2" t="s">
        <v>22</v>
      </c>
      <c r="P1" s="2" t="s">
        <v>23</v>
      </c>
      <c r="Q1" s="2" t="s">
        <v>24</v>
      </c>
      <c r="R1" s="2" t="s">
        <v>25</v>
      </c>
    </row>
    <row r="2" spans="1:18" ht="15" thickBot="1">
      <c r="A2" s="38" t="s">
        <v>26</v>
      </c>
      <c r="B2" s="39" t="s">
        <v>27</v>
      </c>
      <c r="C2" s="82">
        <v>156711</v>
      </c>
      <c r="D2" s="40">
        <v>962.5</v>
      </c>
      <c r="E2" s="41">
        <v>44692</v>
      </c>
      <c r="F2" s="39">
        <v>1195786</v>
      </c>
      <c r="G2" s="42">
        <v>3.5</v>
      </c>
      <c r="H2" s="40">
        <v>275</v>
      </c>
      <c r="I2" s="40">
        <f t="shared" ref="I2:I8" si="0">+G2*H2</f>
        <v>962.5</v>
      </c>
      <c r="J2" s="42" t="s">
        <v>28</v>
      </c>
      <c r="K2" s="43" t="s">
        <v>29</v>
      </c>
      <c r="L2" s="44" t="s">
        <v>30</v>
      </c>
    </row>
    <row r="3" spans="1:18" ht="15" thickBot="1">
      <c r="A3" s="15" t="s">
        <v>26</v>
      </c>
      <c r="B3" s="16" t="s">
        <v>27</v>
      </c>
      <c r="C3" s="83">
        <v>157454</v>
      </c>
      <c r="D3" s="17">
        <v>1237.5</v>
      </c>
      <c r="E3" s="18">
        <v>44692</v>
      </c>
      <c r="F3" s="16">
        <v>1195786</v>
      </c>
      <c r="G3" s="19">
        <v>4.5</v>
      </c>
      <c r="H3" s="17">
        <v>275</v>
      </c>
      <c r="I3" s="17">
        <f t="shared" si="0"/>
        <v>1237.5</v>
      </c>
      <c r="J3" s="19" t="s">
        <v>28</v>
      </c>
      <c r="K3" s="20" t="s">
        <v>29</v>
      </c>
      <c r="L3" s="21" t="s">
        <v>30</v>
      </c>
    </row>
    <row r="4" spans="1:18" ht="15" thickBot="1">
      <c r="A4" s="38" t="s">
        <v>26</v>
      </c>
      <c r="B4" s="39" t="s">
        <v>27</v>
      </c>
      <c r="C4" s="82">
        <v>157877</v>
      </c>
      <c r="D4" s="40">
        <v>1182.5</v>
      </c>
      <c r="E4" s="41">
        <v>44706</v>
      </c>
      <c r="F4" s="39">
        <v>1196243</v>
      </c>
      <c r="G4" s="42">
        <v>4.3</v>
      </c>
      <c r="H4" s="40">
        <v>275</v>
      </c>
      <c r="I4" s="40">
        <f t="shared" si="0"/>
        <v>1182.5</v>
      </c>
      <c r="J4" s="42" t="s">
        <v>28</v>
      </c>
      <c r="K4" s="43" t="s">
        <v>29</v>
      </c>
      <c r="L4" s="44" t="s">
        <v>30</v>
      </c>
    </row>
    <row r="5" spans="1:18">
      <c r="A5" s="15" t="s">
        <v>26</v>
      </c>
      <c r="B5" s="16" t="s">
        <v>27</v>
      </c>
      <c r="C5" s="83">
        <v>158689</v>
      </c>
      <c r="D5" s="17">
        <v>9090.4</v>
      </c>
      <c r="E5" s="18">
        <v>44741</v>
      </c>
      <c r="F5" s="16">
        <v>1197672</v>
      </c>
      <c r="G5" s="19">
        <v>28.4</v>
      </c>
      <c r="H5" s="17">
        <v>275</v>
      </c>
      <c r="I5" s="17">
        <f t="shared" si="0"/>
        <v>7810</v>
      </c>
      <c r="J5" s="19" t="s">
        <v>28</v>
      </c>
      <c r="K5" s="20" t="s">
        <v>29</v>
      </c>
      <c r="L5" s="21" t="s">
        <v>30</v>
      </c>
    </row>
    <row r="6" spans="1:18">
      <c r="A6" s="15" t="s">
        <v>26</v>
      </c>
      <c r="B6" s="16" t="s">
        <v>27</v>
      </c>
      <c r="C6" s="83">
        <v>158689</v>
      </c>
      <c r="D6" s="17">
        <v>9090.4</v>
      </c>
      <c r="E6" s="18">
        <v>44731</v>
      </c>
      <c r="F6" s="16">
        <v>1197672</v>
      </c>
      <c r="G6" s="19">
        <v>0.2</v>
      </c>
      <c r="H6" s="17">
        <v>275</v>
      </c>
      <c r="I6" s="17">
        <f t="shared" si="0"/>
        <v>55</v>
      </c>
      <c r="J6" s="19" t="s">
        <v>28</v>
      </c>
      <c r="K6" s="20" t="s">
        <v>29</v>
      </c>
      <c r="L6" s="21" t="s">
        <v>30</v>
      </c>
    </row>
    <row r="7" spans="1:18">
      <c r="A7" s="15" t="s">
        <v>26</v>
      </c>
      <c r="B7" s="16" t="s">
        <v>27</v>
      </c>
      <c r="C7" s="83">
        <v>158689</v>
      </c>
      <c r="D7" s="17">
        <v>9090.4</v>
      </c>
      <c r="E7" s="18">
        <v>44731</v>
      </c>
      <c r="F7" s="16">
        <v>1197672</v>
      </c>
      <c r="G7" s="19">
        <v>2.2999999999999998</v>
      </c>
      <c r="H7" s="17">
        <v>200</v>
      </c>
      <c r="I7" s="17">
        <f t="shared" si="0"/>
        <v>459.99999999999994</v>
      </c>
      <c r="J7" s="19" t="s">
        <v>28</v>
      </c>
      <c r="K7" s="20" t="s">
        <v>29</v>
      </c>
      <c r="L7" s="21" t="s">
        <v>30</v>
      </c>
    </row>
    <row r="8" spans="1:18">
      <c r="A8" s="15" t="s">
        <v>26</v>
      </c>
      <c r="B8" s="16" t="s">
        <v>27</v>
      </c>
      <c r="C8" s="83">
        <v>158689</v>
      </c>
      <c r="D8" s="17">
        <v>9090.4</v>
      </c>
      <c r="E8" s="18">
        <v>44731</v>
      </c>
      <c r="F8" s="16">
        <v>1197672</v>
      </c>
      <c r="G8" s="19">
        <v>7.6</v>
      </c>
      <c r="H8" s="17">
        <v>95</v>
      </c>
      <c r="I8" s="17">
        <f t="shared" si="0"/>
        <v>722</v>
      </c>
      <c r="J8" s="19" t="s">
        <v>28</v>
      </c>
      <c r="K8" s="20" t="s">
        <v>29</v>
      </c>
      <c r="L8" s="21" t="s">
        <v>30</v>
      </c>
    </row>
    <row r="9" spans="1:18" ht="15" thickBot="1">
      <c r="A9" s="15" t="s">
        <v>26</v>
      </c>
      <c r="B9" s="16" t="s">
        <v>27</v>
      </c>
      <c r="C9" s="83">
        <v>158689</v>
      </c>
      <c r="D9" s="17">
        <v>9090.4</v>
      </c>
      <c r="E9" s="18">
        <v>44731</v>
      </c>
      <c r="F9" s="16">
        <v>1197672</v>
      </c>
      <c r="G9" s="19"/>
      <c r="H9" s="17"/>
      <c r="I9" s="17">
        <v>43.4</v>
      </c>
      <c r="J9" s="19" t="s">
        <v>31</v>
      </c>
      <c r="K9" s="20" t="s">
        <v>29</v>
      </c>
      <c r="L9" s="21" t="s">
        <v>30</v>
      </c>
      <c r="M9" s="87"/>
      <c r="N9" s="87">
        <f>SUM(I2:I9)</f>
        <v>12472.9</v>
      </c>
    </row>
    <row r="10" spans="1:18">
      <c r="A10" s="7" t="s">
        <v>32</v>
      </c>
      <c r="B10" s="8" t="s">
        <v>33</v>
      </c>
      <c r="C10" s="9" t="s">
        <v>34</v>
      </c>
      <c r="D10" s="10">
        <v>8302</v>
      </c>
      <c r="E10" s="11">
        <v>44734</v>
      </c>
      <c r="F10" s="8">
        <v>1197450</v>
      </c>
      <c r="G10" s="12">
        <v>7.7</v>
      </c>
      <c r="H10" s="10">
        <v>385</v>
      </c>
      <c r="I10" s="10">
        <f t="shared" ref="I10:I12" si="1">+G10*H10</f>
        <v>2964.5</v>
      </c>
      <c r="J10" s="12" t="s">
        <v>28</v>
      </c>
      <c r="K10" s="13" t="s">
        <v>29</v>
      </c>
      <c r="L10" s="14" t="s">
        <v>30</v>
      </c>
    </row>
    <row r="11" spans="1:18">
      <c r="A11" s="22" t="s">
        <v>32</v>
      </c>
      <c r="B11" s="23" t="s">
        <v>33</v>
      </c>
      <c r="C11" s="24" t="s">
        <v>34</v>
      </c>
      <c r="D11" s="25">
        <v>8302</v>
      </c>
      <c r="E11" s="26">
        <v>44734</v>
      </c>
      <c r="F11" s="23">
        <v>1197450</v>
      </c>
      <c r="G11" s="27">
        <v>8.1999999999999993</v>
      </c>
      <c r="H11" s="25">
        <v>500</v>
      </c>
      <c r="I11" s="25">
        <f t="shared" si="1"/>
        <v>4100</v>
      </c>
      <c r="J11" s="27" t="s">
        <v>28</v>
      </c>
      <c r="K11" s="28" t="s">
        <v>29</v>
      </c>
      <c r="L11" s="29" t="s">
        <v>30</v>
      </c>
    </row>
    <row r="12" spans="1:18" ht="15" thickBot="1">
      <c r="A12" s="30" t="s">
        <v>32</v>
      </c>
      <c r="B12" s="31" t="s">
        <v>33</v>
      </c>
      <c r="C12" s="32" t="s">
        <v>34</v>
      </c>
      <c r="D12" s="33">
        <v>8302</v>
      </c>
      <c r="E12" s="34">
        <v>44734</v>
      </c>
      <c r="F12" s="31">
        <v>1197450</v>
      </c>
      <c r="G12" s="35">
        <v>4.5</v>
      </c>
      <c r="H12" s="33">
        <v>275</v>
      </c>
      <c r="I12" s="33">
        <f t="shared" si="1"/>
        <v>1237.5</v>
      </c>
      <c r="J12" s="35" t="s">
        <v>28</v>
      </c>
      <c r="K12" s="36" t="s">
        <v>29</v>
      </c>
      <c r="L12" s="37" t="s">
        <v>30</v>
      </c>
      <c r="M12" s="87">
        <f>+I10+I11+I12</f>
        <v>8302</v>
      </c>
    </row>
    <row r="13" spans="1:18" ht="15" thickBot="1">
      <c r="A13" s="94" t="s">
        <v>35</v>
      </c>
      <c r="B13" s="95" t="s">
        <v>33</v>
      </c>
      <c r="C13" s="96" t="s">
        <v>36</v>
      </c>
      <c r="D13" s="97">
        <v>24728</v>
      </c>
      <c r="E13" s="98">
        <v>44749</v>
      </c>
      <c r="F13" s="95">
        <v>1197831</v>
      </c>
      <c r="G13" s="99">
        <v>78.501580000000004</v>
      </c>
      <c r="H13" s="97">
        <v>315</v>
      </c>
      <c r="I13" s="97">
        <f>+G13*H13</f>
        <v>24727.9977</v>
      </c>
      <c r="J13" s="99" t="s">
        <v>37</v>
      </c>
      <c r="K13" s="99" t="s">
        <v>29</v>
      </c>
      <c r="L13" s="100" t="s">
        <v>30</v>
      </c>
      <c r="M13" s="87"/>
      <c r="Q13" s="87">
        <f>+I13</f>
        <v>24727.9977</v>
      </c>
    </row>
    <row r="14" spans="1:18">
      <c r="A14" s="7" t="s">
        <v>38</v>
      </c>
      <c r="B14" s="8" t="s">
        <v>39</v>
      </c>
      <c r="C14" s="84" t="s">
        <v>40</v>
      </c>
      <c r="D14" s="10">
        <v>37000</v>
      </c>
      <c r="E14" s="11">
        <v>44749</v>
      </c>
      <c r="F14" s="8">
        <v>100005043</v>
      </c>
      <c r="G14" s="12">
        <v>0</v>
      </c>
      <c r="H14" s="10">
        <v>0</v>
      </c>
      <c r="I14" s="10">
        <f>+D14</f>
        <v>37000</v>
      </c>
      <c r="J14" s="12" t="s">
        <v>41</v>
      </c>
      <c r="K14" s="13" t="s">
        <v>29</v>
      </c>
      <c r="L14" s="14" t="s">
        <v>30</v>
      </c>
      <c r="O14" s="87">
        <f>+I14+I15+I17</f>
        <v>43480</v>
      </c>
    </row>
    <row r="15" spans="1:18">
      <c r="A15" s="22" t="s">
        <v>38</v>
      </c>
      <c r="B15" s="23" t="s">
        <v>39</v>
      </c>
      <c r="C15" s="85" t="s">
        <v>42</v>
      </c>
      <c r="D15" s="25">
        <v>5400</v>
      </c>
      <c r="E15" s="86">
        <v>44770</v>
      </c>
      <c r="F15" s="23">
        <v>12844</v>
      </c>
      <c r="G15" s="27">
        <v>0</v>
      </c>
      <c r="H15" s="25">
        <v>0</v>
      </c>
      <c r="I15" s="25">
        <f t="shared" ref="I15:I17" si="2">+D15</f>
        <v>5400</v>
      </c>
      <c r="J15" s="27" t="s">
        <v>41</v>
      </c>
      <c r="K15" s="28" t="s">
        <v>29</v>
      </c>
      <c r="L15" s="29" t="s">
        <v>30</v>
      </c>
    </row>
    <row r="16" spans="1:18">
      <c r="A16" s="22" t="s">
        <v>38</v>
      </c>
      <c r="B16" s="23" t="s">
        <v>39</v>
      </c>
      <c r="C16" s="101">
        <v>21146</v>
      </c>
      <c r="D16" s="25">
        <v>22500</v>
      </c>
      <c r="E16" s="26">
        <v>44749</v>
      </c>
      <c r="F16" s="23">
        <v>100005043</v>
      </c>
      <c r="G16" s="27">
        <v>0</v>
      </c>
      <c r="H16" s="25">
        <v>0</v>
      </c>
      <c r="I16" s="25">
        <f t="shared" si="2"/>
        <v>22500</v>
      </c>
      <c r="J16" s="27" t="s">
        <v>43</v>
      </c>
      <c r="K16" s="28" t="s">
        <v>29</v>
      </c>
      <c r="L16" s="29" t="s">
        <v>30</v>
      </c>
      <c r="P16" s="87">
        <f>+I16</f>
        <v>22500</v>
      </c>
    </row>
    <row r="17" spans="1:80" ht="15" thickBot="1">
      <c r="A17" s="30" t="s">
        <v>38</v>
      </c>
      <c r="B17" s="31" t="s">
        <v>39</v>
      </c>
      <c r="C17" s="127">
        <v>21338</v>
      </c>
      <c r="D17" s="33">
        <v>1080</v>
      </c>
      <c r="E17" s="34">
        <v>44784</v>
      </c>
      <c r="F17" s="31">
        <v>13074</v>
      </c>
      <c r="G17" s="35">
        <v>0</v>
      </c>
      <c r="H17" s="33">
        <v>0</v>
      </c>
      <c r="I17" s="33">
        <f t="shared" si="2"/>
        <v>1080</v>
      </c>
      <c r="J17" s="35" t="s">
        <v>41</v>
      </c>
      <c r="K17" s="36" t="s">
        <v>29</v>
      </c>
      <c r="L17" s="37" t="s">
        <v>30</v>
      </c>
      <c r="M17" s="87"/>
    </row>
    <row r="18" spans="1:80">
      <c r="A18" s="110" t="s">
        <v>26</v>
      </c>
      <c r="B18" s="111" t="s">
        <v>27</v>
      </c>
      <c r="C18" s="112">
        <v>159369</v>
      </c>
      <c r="D18" s="113">
        <v>7589.34</v>
      </c>
      <c r="E18" s="114">
        <v>44777</v>
      </c>
      <c r="F18" s="111">
        <v>1199301</v>
      </c>
      <c r="G18" s="115">
        <v>14.6</v>
      </c>
      <c r="H18" s="113">
        <v>275</v>
      </c>
      <c r="I18" s="113">
        <f>+G18*H18</f>
        <v>4015</v>
      </c>
      <c r="J18" s="115" t="s">
        <v>44</v>
      </c>
      <c r="K18" s="116" t="s">
        <v>29</v>
      </c>
      <c r="L18" s="117" t="s">
        <v>30</v>
      </c>
    </row>
    <row r="19" spans="1:80">
      <c r="A19" s="110" t="s">
        <v>26</v>
      </c>
      <c r="B19" s="111" t="s">
        <v>27</v>
      </c>
      <c r="C19" s="112">
        <v>159369</v>
      </c>
      <c r="D19" s="113">
        <v>7589.34</v>
      </c>
      <c r="E19" s="114">
        <v>44777</v>
      </c>
      <c r="F19" s="111">
        <v>1199301</v>
      </c>
      <c r="G19" s="115">
        <v>11.7</v>
      </c>
      <c r="H19" s="113">
        <v>200</v>
      </c>
      <c r="I19" s="113">
        <f t="shared" ref="I19:I21" si="3">+G19*H19</f>
        <v>2340</v>
      </c>
      <c r="J19" s="115" t="s">
        <v>45</v>
      </c>
      <c r="K19" s="116" t="s">
        <v>29</v>
      </c>
      <c r="L19" s="117" t="s">
        <v>30</v>
      </c>
    </row>
    <row r="20" spans="1:80">
      <c r="A20" s="110" t="s">
        <v>26</v>
      </c>
      <c r="B20" s="111" t="s">
        <v>27</v>
      </c>
      <c r="C20" s="112">
        <v>159369</v>
      </c>
      <c r="D20" s="113">
        <v>7589.34</v>
      </c>
      <c r="E20" s="114">
        <v>44777</v>
      </c>
      <c r="F20" s="111">
        <v>1199301</v>
      </c>
      <c r="G20" s="115">
        <v>12.7</v>
      </c>
      <c r="H20" s="113">
        <v>95</v>
      </c>
      <c r="I20" s="113">
        <f t="shared" si="3"/>
        <v>1206.5</v>
      </c>
      <c r="J20" s="115" t="s">
        <v>46</v>
      </c>
      <c r="K20" s="116" t="s">
        <v>29</v>
      </c>
      <c r="L20" s="117" t="s">
        <v>30</v>
      </c>
    </row>
    <row r="21" spans="1:80" ht="15" thickBot="1">
      <c r="A21" s="118" t="s">
        <v>26</v>
      </c>
      <c r="B21" s="119" t="s">
        <v>27</v>
      </c>
      <c r="C21" s="120">
        <v>159369</v>
      </c>
      <c r="D21" s="121">
        <v>7589.34</v>
      </c>
      <c r="E21" s="122">
        <v>44777</v>
      </c>
      <c r="F21" s="119">
        <v>1199301</v>
      </c>
      <c r="G21" s="123">
        <v>1</v>
      </c>
      <c r="H21" s="121">
        <v>27.84</v>
      </c>
      <c r="I21" s="121">
        <f t="shared" si="3"/>
        <v>27.84</v>
      </c>
      <c r="J21" s="123" t="s">
        <v>47</v>
      </c>
      <c r="K21" s="124" t="s">
        <v>29</v>
      </c>
      <c r="L21" s="125" t="s">
        <v>30</v>
      </c>
    </row>
    <row r="22" spans="1:80" s="27" customFormat="1">
      <c r="A22" s="7" t="s">
        <v>26</v>
      </c>
      <c r="B22" s="8" t="s">
        <v>27</v>
      </c>
      <c r="C22" s="126">
        <v>160115</v>
      </c>
      <c r="D22" s="10">
        <v>12077.43</v>
      </c>
      <c r="E22" s="11">
        <v>44798</v>
      </c>
      <c r="F22" s="8">
        <v>1200173</v>
      </c>
      <c r="G22" s="12">
        <v>24.9</v>
      </c>
      <c r="H22" s="10">
        <v>275</v>
      </c>
      <c r="I22" s="10">
        <f>+G22*H22</f>
        <v>6847.5</v>
      </c>
      <c r="J22" s="12" t="s">
        <v>44</v>
      </c>
      <c r="K22" s="13" t="s">
        <v>29</v>
      </c>
      <c r="L22" s="14" t="s">
        <v>30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</row>
    <row r="23" spans="1:80" s="27" customFormat="1">
      <c r="A23" s="22" t="s">
        <v>26</v>
      </c>
      <c r="B23" s="23" t="s">
        <v>27</v>
      </c>
      <c r="C23" s="101">
        <v>160115</v>
      </c>
      <c r="D23" s="25">
        <v>12077.43</v>
      </c>
      <c r="E23" s="26">
        <v>44798</v>
      </c>
      <c r="F23" s="23">
        <v>1200173</v>
      </c>
      <c r="G23" s="27">
        <v>20.7</v>
      </c>
      <c r="H23" s="25">
        <v>200</v>
      </c>
      <c r="I23" s="25">
        <f t="shared" ref="I23:I30" si="4">+G23*H23</f>
        <v>4140</v>
      </c>
      <c r="J23" s="27" t="s">
        <v>45</v>
      </c>
      <c r="K23" s="28" t="s">
        <v>29</v>
      </c>
      <c r="L23" s="29" t="s">
        <v>30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</row>
    <row r="24" spans="1:80" s="27" customFormat="1">
      <c r="A24" s="22" t="s">
        <v>26</v>
      </c>
      <c r="B24" s="23" t="s">
        <v>27</v>
      </c>
      <c r="C24" s="101">
        <v>160115</v>
      </c>
      <c r="D24" s="25">
        <v>12077.43</v>
      </c>
      <c r="E24" s="26">
        <v>44798</v>
      </c>
      <c r="F24" s="23">
        <v>1200173</v>
      </c>
      <c r="G24" s="27">
        <v>11.2</v>
      </c>
      <c r="H24" s="25">
        <v>95</v>
      </c>
      <c r="I24" s="25">
        <f t="shared" si="4"/>
        <v>1064</v>
      </c>
      <c r="J24" s="27" t="s">
        <v>46</v>
      </c>
      <c r="K24" s="28" t="s">
        <v>29</v>
      </c>
      <c r="L24" s="29" t="s">
        <v>30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</row>
    <row r="25" spans="1:80" s="27" customFormat="1" ht="15" thickBot="1">
      <c r="A25" s="22" t="s">
        <v>26</v>
      </c>
      <c r="B25" s="23" t="s">
        <v>27</v>
      </c>
      <c r="C25" s="101">
        <v>160115</v>
      </c>
      <c r="D25" s="25">
        <v>12077.43</v>
      </c>
      <c r="E25" s="26">
        <v>44798</v>
      </c>
      <c r="F25" s="23">
        <v>1200173</v>
      </c>
      <c r="G25" s="27">
        <v>1</v>
      </c>
      <c r="H25" s="25">
        <v>25.93</v>
      </c>
      <c r="I25" s="25">
        <f t="shared" si="4"/>
        <v>25.93</v>
      </c>
      <c r="J25" s="27" t="s">
        <v>48</v>
      </c>
      <c r="K25" s="28" t="s">
        <v>29</v>
      </c>
      <c r="L25" s="29" t="s">
        <v>30</v>
      </c>
      <c r="M25" s="87"/>
      <c r="N25" s="87">
        <f>SUM(I18:I25)</f>
        <v>19666.77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</row>
    <row r="26" spans="1:80" s="27" customFormat="1">
      <c r="A26" s="94" t="s">
        <v>32</v>
      </c>
      <c r="B26" s="95" t="s">
        <v>33</v>
      </c>
      <c r="C26" s="130" t="s">
        <v>49</v>
      </c>
      <c r="D26" s="97">
        <v>5411</v>
      </c>
      <c r="E26" s="98">
        <v>44833</v>
      </c>
      <c r="F26" s="95">
        <v>1201556</v>
      </c>
      <c r="G26" s="99">
        <v>8.6</v>
      </c>
      <c r="H26" s="97">
        <v>385</v>
      </c>
      <c r="I26" s="97">
        <f t="shared" si="4"/>
        <v>3311</v>
      </c>
      <c r="J26" s="99" t="s">
        <v>28</v>
      </c>
      <c r="K26" s="131" t="s">
        <v>29</v>
      </c>
      <c r="L26" s="100" t="s">
        <v>30</v>
      </c>
      <c r="M26" s="87"/>
      <c r="N26" s="87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</row>
    <row r="27" spans="1:80" s="27" customFormat="1" ht="15" thickBot="1">
      <c r="A27" s="15" t="s">
        <v>32</v>
      </c>
      <c r="B27" s="16" t="s">
        <v>33</v>
      </c>
      <c r="C27" s="132" t="s">
        <v>49</v>
      </c>
      <c r="D27" s="17">
        <v>5411</v>
      </c>
      <c r="E27" s="18">
        <v>44833</v>
      </c>
      <c r="F27" s="16">
        <v>1201556</v>
      </c>
      <c r="G27" s="19">
        <v>4.2</v>
      </c>
      <c r="H27" s="17">
        <v>500</v>
      </c>
      <c r="I27" s="17">
        <f t="shared" si="4"/>
        <v>2100</v>
      </c>
      <c r="J27" s="19" t="s">
        <v>28</v>
      </c>
      <c r="K27" s="20" t="s">
        <v>29</v>
      </c>
      <c r="L27" s="21" t="s">
        <v>30</v>
      </c>
      <c r="M27" s="87"/>
      <c r="N27" s="8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</row>
    <row r="28" spans="1:80" s="27" customFormat="1">
      <c r="A28" s="7" t="s">
        <v>32</v>
      </c>
      <c r="B28" s="8" t="s">
        <v>33</v>
      </c>
      <c r="C28" s="9" t="s">
        <v>50</v>
      </c>
      <c r="D28" s="10">
        <v>23288.5</v>
      </c>
      <c r="E28" s="11">
        <v>44833</v>
      </c>
      <c r="F28" s="8">
        <v>1201556</v>
      </c>
      <c r="G28" s="12">
        <v>42.1</v>
      </c>
      <c r="H28" s="10">
        <v>385</v>
      </c>
      <c r="I28" s="10">
        <f t="shared" si="4"/>
        <v>16208.5</v>
      </c>
      <c r="J28" s="12" t="s">
        <v>28</v>
      </c>
      <c r="K28" s="13" t="s">
        <v>29</v>
      </c>
      <c r="L28" s="14" t="s">
        <v>30</v>
      </c>
      <c r="M28" s="87"/>
      <c r="N28" s="87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</row>
    <row r="29" spans="1:80" s="27" customFormat="1">
      <c r="A29" s="22" t="s">
        <v>32</v>
      </c>
      <c r="B29" s="23" t="s">
        <v>33</v>
      </c>
      <c r="C29" s="24" t="s">
        <v>50</v>
      </c>
      <c r="D29" s="25">
        <v>23288.5</v>
      </c>
      <c r="E29" s="26">
        <v>44833</v>
      </c>
      <c r="F29" s="23">
        <v>1201556</v>
      </c>
      <c r="G29" s="27">
        <v>13.5</v>
      </c>
      <c r="H29" s="25">
        <v>500</v>
      </c>
      <c r="I29" s="25">
        <f t="shared" si="4"/>
        <v>6750</v>
      </c>
      <c r="J29" s="27" t="s">
        <v>28</v>
      </c>
      <c r="K29" s="28" t="s">
        <v>29</v>
      </c>
      <c r="L29" s="29" t="s">
        <v>30</v>
      </c>
      <c r="M29" s="87"/>
      <c r="N29" s="87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</row>
    <row r="30" spans="1:80" s="27" customFormat="1" ht="15" thickBot="1">
      <c r="A30" s="30" t="s">
        <v>32</v>
      </c>
      <c r="B30" s="31" t="s">
        <v>33</v>
      </c>
      <c r="C30" s="32" t="s">
        <v>50</v>
      </c>
      <c r="D30" s="33">
        <v>23288.5</v>
      </c>
      <c r="E30" s="34">
        <v>44833</v>
      </c>
      <c r="F30" s="31">
        <v>1201556</v>
      </c>
      <c r="G30" s="35">
        <v>1.2</v>
      </c>
      <c r="H30" s="33">
        <v>275</v>
      </c>
      <c r="I30" s="33">
        <f t="shared" si="4"/>
        <v>330</v>
      </c>
      <c r="J30" s="35" t="s">
        <v>28</v>
      </c>
      <c r="K30" s="36" t="s">
        <v>29</v>
      </c>
      <c r="L30" s="37" t="s">
        <v>30</v>
      </c>
      <c r="M30" s="87">
        <f>SUM(I26:I30)</f>
        <v>28699.5</v>
      </c>
      <c r="N30" s="87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</row>
    <row r="31" spans="1:80" s="27" customFormat="1">
      <c r="A31" s="94" t="s">
        <v>38</v>
      </c>
      <c r="B31" s="95" t="s">
        <v>39</v>
      </c>
      <c r="C31" s="133">
        <v>21469</v>
      </c>
      <c r="D31" s="97">
        <v>4262.5</v>
      </c>
      <c r="E31" s="98">
        <v>44819</v>
      </c>
      <c r="F31" s="95">
        <v>13656</v>
      </c>
      <c r="G31" s="99">
        <v>2.5</v>
      </c>
      <c r="H31" s="97">
        <v>325</v>
      </c>
      <c r="I31" s="97">
        <f>+G31*H31</f>
        <v>812.5</v>
      </c>
      <c r="J31" s="99" t="s">
        <v>43</v>
      </c>
      <c r="K31" s="131" t="s">
        <v>29</v>
      </c>
      <c r="L31" s="100" t="s">
        <v>30</v>
      </c>
      <c r="M31" s="87"/>
      <c r="N31" s="87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</row>
    <row r="32" spans="1:80" s="27" customFormat="1" ht="15" thickBot="1">
      <c r="A32" s="134" t="s">
        <v>38</v>
      </c>
      <c r="B32" s="135" t="s">
        <v>39</v>
      </c>
      <c r="C32" s="136">
        <v>21469</v>
      </c>
      <c r="D32" s="137">
        <v>4262.5</v>
      </c>
      <c r="E32" s="138">
        <v>44819</v>
      </c>
      <c r="F32" s="135">
        <v>13656</v>
      </c>
      <c r="G32" s="139">
        <v>15</v>
      </c>
      <c r="H32" s="137">
        <v>230</v>
      </c>
      <c r="I32" s="137">
        <f>+G32*H32</f>
        <v>3450</v>
      </c>
      <c r="J32" s="139" t="s">
        <v>43</v>
      </c>
      <c r="K32" s="140" t="s">
        <v>29</v>
      </c>
      <c r="L32" s="141" t="s">
        <v>30</v>
      </c>
      <c r="M32" s="87"/>
      <c r="N32" s="87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</row>
    <row r="33" spans="1:80" s="27" customFormat="1">
      <c r="A33" s="7" t="s">
        <v>38</v>
      </c>
      <c r="B33" s="8" t="s">
        <v>39</v>
      </c>
      <c r="C33" s="126">
        <v>21470</v>
      </c>
      <c r="D33" s="10">
        <v>3025</v>
      </c>
      <c r="E33" s="11">
        <v>44819</v>
      </c>
      <c r="F33" s="8">
        <v>13656</v>
      </c>
      <c r="G33" s="12">
        <v>10</v>
      </c>
      <c r="H33" s="10">
        <v>270</v>
      </c>
      <c r="I33" s="10">
        <f t="shared" ref="I33:I34" si="5">+G33*H33</f>
        <v>2700</v>
      </c>
      <c r="J33" s="12" t="s">
        <v>43</v>
      </c>
      <c r="K33" s="13" t="s">
        <v>29</v>
      </c>
      <c r="L33" s="14" t="s">
        <v>30</v>
      </c>
      <c r="M33" s="87"/>
      <c r="N33" s="87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</row>
    <row r="34" spans="1:80" s="27" customFormat="1" ht="15" thickBot="1">
      <c r="A34" s="30" t="s">
        <v>38</v>
      </c>
      <c r="B34" s="31" t="s">
        <v>39</v>
      </c>
      <c r="C34" s="127">
        <v>21470</v>
      </c>
      <c r="D34" s="33">
        <v>3025</v>
      </c>
      <c r="E34" s="34">
        <v>44819</v>
      </c>
      <c r="F34" s="31">
        <v>13656</v>
      </c>
      <c r="G34" s="35">
        <v>1</v>
      </c>
      <c r="H34" s="33">
        <v>325</v>
      </c>
      <c r="I34" s="33">
        <f t="shared" si="5"/>
        <v>325</v>
      </c>
      <c r="J34" s="35" t="s">
        <v>43</v>
      </c>
      <c r="K34" s="36" t="s">
        <v>29</v>
      </c>
      <c r="L34" s="37" t="s">
        <v>30</v>
      </c>
      <c r="M34" s="87"/>
      <c r="N34" s="87"/>
      <c r="O34"/>
      <c r="P34" s="87">
        <f>SUM(I31:I34)</f>
        <v>7287.5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</row>
    <row r="35" spans="1:80">
      <c r="A35" s="110" t="s">
        <v>26</v>
      </c>
      <c r="B35" s="111" t="s">
        <v>27</v>
      </c>
      <c r="C35" s="112">
        <v>161707</v>
      </c>
      <c r="D35" s="113">
        <v>8596.89</v>
      </c>
      <c r="E35" s="114">
        <v>44847</v>
      </c>
      <c r="F35" s="111">
        <v>1201906</v>
      </c>
      <c r="G35" s="115">
        <v>27.7</v>
      </c>
      <c r="H35" s="113">
        <v>275</v>
      </c>
      <c r="I35" s="113">
        <f>+G35*H35</f>
        <v>7617.5</v>
      </c>
      <c r="J35" s="115" t="s">
        <v>44</v>
      </c>
      <c r="K35" s="116" t="s">
        <v>29</v>
      </c>
      <c r="L35" s="117" t="s">
        <v>30</v>
      </c>
    </row>
    <row r="36" spans="1:80">
      <c r="A36" s="110" t="s">
        <v>26</v>
      </c>
      <c r="B36" s="111" t="s">
        <v>27</v>
      </c>
      <c r="C36" s="112">
        <v>161707</v>
      </c>
      <c r="D36" s="113">
        <v>8596.89</v>
      </c>
      <c r="E36" s="114">
        <v>44847</v>
      </c>
      <c r="F36" s="111">
        <v>1201906</v>
      </c>
      <c r="G36" s="115">
        <v>2.2000000000000002</v>
      </c>
      <c r="H36" s="113">
        <v>275</v>
      </c>
      <c r="I36" s="113">
        <f t="shared" ref="I36:I39" si="6">+G36*H36</f>
        <v>605</v>
      </c>
      <c r="J36" s="115" t="s">
        <v>45</v>
      </c>
      <c r="K36" s="116" t="s">
        <v>29</v>
      </c>
      <c r="L36" s="117" t="s">
        <v>30</v>
      </c>
    </row>
    <row r="37" spans="1:80">
      <c r="A37" s="110" t="s">
        <v>26</v>
      </c>
      <c r="B37" s="111" t="s">
        <v>27</v>
      </c>
      <c r="C37" s="112">
        <v>161707</v>
      </c>
      <c r="D37" s="113">
        <v>8596.89</v>
      </c>
      <c r="E37" s="114">
        <v>44847</v>
      </c>
      <c r="F37" s="111">
        <v>1201906</v>
      </c>
      <c r="G37" s="115">
        <v>3.3</v>
      </c>
      <c r="H37" s="113">
        <v>95</v>
      </c>
      <c r="I37" s="113">
        <f t="shared" si="6"/>
        <v>313.5</v>
      </c>
      <c r="J37" s="115" t="s">
        <v>46</v>
      </c>
      <c r="K37" s="116" t="s">
        <v>29</v>
      </c>
      <c r="L37" s="117" t="s">
        <v>30</v>
      </c>
    </row>
    <row r="38" spans="1:80" ht="15" thickBot="1">
      <c r="A38" s="118" t="s">
        <v>26</v>
      </c>
      <c r="B38" s="119" t="s">
        <v>27</v>
      </c>
      <c r="C38" s="120">
        <v>161707</v>
      </c>
      <c r="D38" s="121">
        <v>8596.89</v>
      </c>
      <c r="E38" s="122">
        <v>44847</v>
      </c>
      <c r="F38" s="119">
        <v>1201906</v>
      </c>
      <c r="G38" s="123">
        <v>1</v>
      </c>
      <c r="H38" s="121">
        <v>60.89</v>
      </c>
      <c r="I38" s="121">
        <f t="shared" si="6"/>
        <v>60.89</v>
      </c>
      <c r="J38" s="123" t="s">
        <v>47</v>
      </c>
      <c r="K38" s="124" t="s">
        <v>29</v>
      </c>
      <c r="L38" s="125" t="s">
        <v>30</v>
      </c>
      <c r="N38" s="87">
        <f>SUM(I35:I38)</f>
        <v>8596.89</v>
      </c>
    </row>
    <row r="39" spans="1:80" ht="15" thickBot="1">
      <c r="A39" s="7" t="s">
        <v>38</v>
      </c>
      <c r="B39" s="8" t="s">
        <v>39</v>
      </c>
      <c r="C39" s="126">
        <v>21603</v>
      </c>
      <c r="D39" s="10">
        <v>1620</v>
      </c>
      <c r="E39" s="11">
        <v>44840</v>
      </c>
      <c r="F39" s="8">
        <v>13975</v>
      </c>
      <c r="G39" s="12">
        <v>6</v>
      </c>
      <c r="H39" s="10">
        <v>270</v>
      </c>
      <c r="I39" s="10">
        <f t="shared" si="6"/>
        <v>1620</v>
      </c>
      <c r="J39" s="12" t="s">
        <v>43</v>
      </c>
      <c r="K39" s="13" t="s">
        <v>29</v>
      </c>
      <c r="L39" s="14" t="s">
        <v>30</v>
      </c>
      <c r="P39" s="87"/>
      <c r="S39" s="87"/>
    </row>
    <row r="40" spans="1:80">
      <c r="A40" s="94" t="s">
        <v>38</v>
      </c>
      <c r="B40" s="95" t="s">
        <v>39</v>
      </c>
      <c r="C40" s="133">
        <v>21602</v>
      </c>
      <c r="D40" s="97">
        <v>2137.5</v>
      </c>
      <c r="E40" s="98">
        <v>44840</v>
      </c>
      <c r="F40" s="95">
        <v>13975</v>
      </c>
      <c r="G40" s="99">
        <v>2.5</v>
      </c>
      <c r="H40" s="97">
        <v>325</v>
      </c>
      <c r="I40" s="97">
        <f>+G40*H40</f>
        <v>812.5</v>
      </c>
      <c r="J40" s="99" t="s">
        <v>43</v>
      </c>
      <c r="K40" s="131" t="s">
        <v>29</v>
      </c>
      <c r="L40" s="100" t="s">
        <v>30</v>
      </c>
    </row>
    <row r="41" spans="1:80">
      <c r="A41" s="15" t="s">
        <v>38</v>
      </c>
      <c r="B41" s="16" t="s">
        <v>39</v>
      </c>
      <c r="C41" s="83">
        <v>21602</v>
      </c>
      <c r="D41" s="17">
        <v>2137.5</v>
      </c>
      <c r="E41" s="18">
        <v>44840</v>
      </c>
      <c r="F41" s="16">
        <v>13975</v>
      </c>
      <c r="G41" s="19">
        <v>1.5</v>
      </c>
      <c r="H41" s="17">
        <v>270</v>
      </c>
      <c r="I41" s="17">
        <f>+G41*H41</f>
        <v>405</v>
      </c>
      <c r="J41" s="19" t="s">
        <v>43</v>
      </c>
      <c r="K41" s="20" t="s">
        <v>29</v>
      </c>
      <c r="L41" s="21" t="s">
        <v>30</v>
      </c>
    </row>
    <row r="42" spans="1:80" ht="15" thickBot="1">
      <c r="A42" s="134" t="s">
        <v>38</v>
      </c>
      <c r="B42" s="135" t="s">
        <v>39</v>
      </c>
      <c r="C42" s="136">
        <v>21602</v>
      </c>
      <c r="D42" s="137">
        <v>2137.5</v>
      </c>
      <c r="E42" s="138">
        <v>44840</v>
      </c>
      <c r="F42" s="135">
        <v>13975</v>
      </c>
      <c r="G42" s="139">
        <v>4</v>
      </c>
      <c r="H42" s="137">
        <v>230</v>
      </c>
      <c r="I42" s="137">
        <f>+G42*H42</f>
        <v>920</v>
      </c>
      <c r="J42" s="139" t="s">
        <v>43</v>
      </c>
      <c r="K42" s="140" t="s">
        <v>29</v>
      </c>
      <c r="L42" s="141" t="s">
        <v>30</v>
      </c>
      <c r="P42" s="87">
        <f>SUM(I39:I42)</f>
        <v>3757.5</v>
      </c>
    </row>
    <row r="43" spans="1:80" ht="15" thickBot="1">
      <c r="A43" s="38" t="s">
        <v>32</v>
      </c>
      <c r="B43" s="39" t="s">
        <v>33</v>
      </c>
      <c r="C43" s="142" t="s">
        <v>51</v>
      </c>
      <c r="D43" s="40">
        <v>346.5</v>
      </c>
      <c r="E43" s="41">
        <v>44854</v>
      </c>
      <c r="F43" s="39">
        <v>1202178</v>
      </c>
      <c r="G43" s="42">
        <v>0.9</v>
      </c>
      <c r="H43" s="40">
        <v>385</v>
      </c>
      <c r="I43" s="40">
        <f>+G43*H43</f>
        <v>346.5</v>
      </c>
      <c r="J43" s="42" t="s">
        <v>28</v>
      </c>
      <c r="K43" s="43" t="s">
        <v>29</v>
      </c>
      <c r="L43" s="44" t="s">
        <v>30</v>
      </c>
      <c r="M43" s="87">
        <f>+I43</f>
        <v>346.5</v>
      </c>
    </row>
    <row r="44" spans="1:80">
      <c r="A44" s="102" t="s">
        <v>26</v>
      </c>
      <c r="B44" s="103" t="s">
        <v>27</v>
      </c>
      <c r="C44" s="104">
        <v>163110</v>
      </c>
      <c r="D44" s="105">
        <v>7396.5</v>
      </c>
      <c r="E44" s="106">
        <v>44868</v>
      </c>
      <c r="F44" s="103">
        <v>1202793</v>
      </c>
      <c r="G44" s="107">
        <v>25.7</v>
      </c>
      <c r="H44" s="105">
        <v>275</v>
      </c>
      <c r="I44" s="105">
        <f>+G44*H44</f>
        <v>7067.5</v>
      </c>
      <c r="J44" s="107" t="s">
        <v>44</v>
      </c>
      <c r="K44" s="108" t="s">
        <v>29</v>
      </c>
      <c r="L44" s="109" t="s">
        <v>30</v>
      </c>
    </row>
    <row r="45" spans="1:80" s="4" customFormat="1" ht="12.75" customHeight="1">
      <c r="A45" s="110" t="s">
        <v>26</v>
      </c>
      <c r="B45" s="111" t="s">
        <v>27</v>
      </c>
      <c r="C45" s="112">
        <v>163110</v>
      </c>
      <c r="D45" s="113">
        <v>7396.5</v>
      </c>
      <c r="E45" s="114">
        <v>44868</v>
      </c>
      <c r="F45" s="111">
        <v>1202793</v>
      </c>
      <c r="G45" s="115">
        <v>0.6</v>
      </c>
      <c r="H45" s="113">
        <v>200</v>
      </c>
      <c r="I45" s="113">
        <f t="shared" ref="I45:I50" si="7">+G45*H45</f>
        <v>120</v>
      </c>
      <c r="J45" s="115" t="s">
        <v>45</v>
      </c>
      <c r="K45" s="116" t="s">
        <v>29</v>
      </c>
      <c r="L45" s="117" t="s">
        <v>30</v>
      </c>
    </row>
    <row r="46" spans="1:80" ht="15" thickBot="1">
      <c r="A46" s="118" t="s">
        <v>26</v>
      </c>
      <c r="B46" s="119" t="s">
        <v>27</v>
      </c>
      <c r="C46" s="120">
        <v>163110</v>
      </c>
      <c r="D46" s="121">
        <v>7396.5</v>
      </c>
      <c r="E46" s="122">
        <v>44868</v>
      </c>
      <c r="F46" s="119">
        <v>1202793</v>
      </c>
      <c r="G46" s="123">
        <v>2.2000000000000002</v>
      </c>
      <c r="H46" s="121">
        <v>95</v>
      </c>
      <c r="I46" s="121">
        <f t="shared" si="7"/>
        <v>209.00000000000003</v>
      </c>
      <c r="J46" s="123" t="s">
        <v>46</v>
      </c>
      <c r="K46" s="124" t="s">
        <v>29</v>
      </c>
      <c r="L46" s="125" t="s">
        <v>30</v>
      </c>
      <c r="N46" s="87">
        <f>+I44+I45+I46</f>
        <v>7396.5</v>
      </c>
    </row>
    <row r="47" spans="1:80">
      <c r="A47" s="7" t="s">
        <v>32</v>
      </c>
      <c r="B47" s="8" t="s">
        <v>33</v>
      </c>
      <c r="C47" s="9" t="s">
        <v>49</v>
      </c>
      <c r="D47" s="10">
        <v>5411</v>
      </c>
      <c r="E47" s="11">
        <v>44833</v>
      </c>
      <c r="F47" s="8">
        <v>1201556</v>
      </c>
      <c r="G47" s="12">
        <v>8.6</v>
      </c>
      <c r="H47" s="10">
        <v>385</v>
      </c>
      <c r="I47" s="10">
        <f t="shared" si="7"/>
        <v>3311</v>
      </c>
      <c r="J47" s="12" t="s">
        <v>28</v>
      </c>
      <c r="K47" s="13" t="s">
        <v>29</v>
      </c>
      <c r="L47" s="14" t="s">
        <v>30</v>
      </c>
    </row>
    <row r="48" spans="1:80" ht="15" thickBot="1">
      <c r="A48" s="22" t="s">
        <v>32</v>
      </c>
      <c r="B48" s="23" t="s">
        <v>33</v>
      </c>
      <c r="C48" s="24" t="s">
        <v>49</v>
      </c>
      <c r="D48" s="25">
        <v>5411</v>
      </c>
      <c r="E48" s="26">
        <v>44833</v>
      </c>
      <c r="F48" s="23">
        <v>1201556</v>
      </c>
      <c r="G48" s="27">
        <v>4.2</v>
      </c>
      <c r="H48" s="25">
        <v>500</v>
      </c>
      <c r="I48" s="25">
        <f t="shared" si="7"/>
        <v>2100</v>
      </c>
      <c r="J48" s="27" t="s">
        <v>28</v>
      </c>
      <c r="K48" s="28" t="s">
        <v>29</v>
      </c>
      <c r="L48" s="29" t="s">
        <v>30</v>
      </c>
      <c r="M48" s="87"/>
    </row>
    <row r="49" spans="1:17">
      <c r="A49" s="94" t="s">
        <v>32</v>
      </c>
      <c r="B49" s="95" t="s">
        <v>33</v>
      </c>
      <c r="C49" s="130" t="s">
        <v>52</v>
      </c>
      <c r="D49" s="97">
        <v>2871.5</v>
      </c>
      <c r="E49" s="98">
        <v>44888</v>
      </c>
      <c r="F49" s="95">
        <v>1203592</v>
      </c>
      <c r="G49" s="99">
        <v>5.9</v>
      </c>
      <c r="H49" s="97">
        <v>385</v>
      </c>
      <c r="I49" s="97">
        <f t="shared" si="7"/>
        <v>2271.5</v>
      </c>
      <c r="J49" s="99" t="s">
        <v>28</v>
      </c>
      <c r="K49" s="131" t="s">
        <v>29</v>
      </c>
      <c r="L49" s="100" t="s">
        <v>30</v>
      </c>
      <c r="M49" s="87"/>
    </row>
    <row r="50" spans="1:17" ht="15" thickBot="1">
      <c r="A50" s="15" t="s">
        <v>32</v>
      </c>
      <c r="B50" s="16" t="s">
        <v>33</v>
      </c>
      <c r="C50" s="132" t="s">
        <v>52</v>
      </c>
      <c r="D50" s="17">
        <v>2871.5</v>
      </c>
      <c r="E50" s="18">
        <v>44888</v>
      </c>
      <c r="F50" s="16">
        <v>1203592</v>
      </c>
      <c r="G50" s="19">
        <v>1.2</v>
      </c>
      <c r="H50" s="17">
        <v>500</v>
      </c>
      <c r="I50" s="17">
        <f t="shared" si="7"/>
        <v>600</v>
      </c>
      <c r="J50" s="19" t="s">
        <v>28</v>
      </c>
      <c r="K50" s="20" t="s">
        <v>29</v>
      </c>
      <c r="L50" s="21" t="s">
        <v>30</v>
      </c>
      <c r="M50" s="87">
        <f>SUM(I47:I50)</f>
        <v>8282.5</v>
      </c>
    </row>
    <row r="51" spans="1:17">
      <c r="A51" s="7" t="s">
        <v>26</v>
      </c>
      <c r="B51" s="8" t="s">
        <v>27</v>
      </c>
      <c r="C51" s="126">
        <v>165327</v>
      </c>
      <c r="D51" s="10">
        <v>29630.87</v>
      </c>
      <c r="E51" s="11"/>
      <c r="F51" s="8" t="s">
        <v>53</v>
      </c>
      <c r="G51" s="12">
        <v>66.099999999999994</v>
      </c>
      <c r="H51" s="10">
        <v>275</v>
      </c>
      <c r="I51" s="10">
        <f>+G51*H51</f>
        <v>18177.5</v>
      </c>
      <c r="J51" s="12" t="s">
        <v>44</v>
      </c>
      <c r="K51" s="13" t="s">
        <v>29</v>
      </c>
      <c r="L51" s="14" t="s">
        <v>30</v>
      </c>
    </row>
    <row r="52" spans="1:17">
      <c r="A52" s="22" t="s">
        <v>26</v>
      </c>
      <c r="B52" s="23" t="s">
        <v>27</v>
      </c>
      <c r="C52" s="101">
        <v>165327</v>
      </c>
      <c r="D52" s="25">
        <v>29630.87</v>
      </c>
      <c r="E52" s="26"/>
      <c r="F52" s="23" t="s">
        <v>53</v>
      </c>
      <c r="G52" s="27">
        <v>39.9</v>
      </c>
      <c r="H52" s="25">
        <v>200</v>
      </c>
      <c r="I52" s="25">
        <f t="shared" ref="I52:I64" si="8">+G52*H52</f>
        <v>7980</v>
      </c>
      <c r="J52" s="27" t="s">
        <v>45</v>
      </c>
      <c r="K52" s="28" t="s">
        <v>29</v>
      </c>
      <c r="L52" s="29" t="s">
        <v>30</v>
      </c>
    </row>
    <row r="53" spans="1:17">
      <c r="A53" s="22" t="s">
        <v>26</v>
      </c>
      <c r="B53" s="23" t="s">
        <v>27</v>
      </c>
      <c r="C53" s="101">
        <v>165327</v>
      </c>
      <c r="D53" s="25">
        <v>29630.87</v>
      </c>
      <c r="E53" s="26"/>
      <c r="F53" s="23" t="s">
        <v>53</v>
      </c>
      <c r="G53" s="27">
        <v>25.3</v>
      </c>
      <c r="H53" s="25">
        <v>95</v>
      </c>
      <c r="I53" s="25">
        <f t="shared" si="8"/>
        <v>2403.5</v>
      </c>
      <c r="J53" s="27" t="s">
        <v>46</v>
      </c>
      <c r="K53" s="28" t="s">
        <v>29</v>
      </c>
      <c r="L53" s="29" t="s">
        <v>30</v>
      </c>
    </row>
    <row r="54" spans="1:17">
      <c r="A54" s="22" t="s">
        <v>26</v>
      </c>
      <c r="B54" s="23" t="s">
        <v>27</v>
      </c>
      <c r="C54" s="101">
        <v>165327</v>
      </c>
      <c r="D54" s="25">
        <v>29630.87</v>
      </c>
      <c r="E54" s="26"/>
      <c r="F54" s="23" t="s">
        <v>53</v>
      </c>
      <c r="G54" s="27">
        <v>1</v>
      </c>
      <c r="H54" s="25">
        <v>170</v>
      </c>
      <c r="I54" s="25">
        <f t="shared" si="8"/>
        <v>170</v>
      </c>
      <c r="J54" s="27" t="s">
        <v>31</v>
      </c>
      <c r="K54" s="28" t="s">
        <v>29</v>
      </c>
      <c r="L54" s="29" t="s">
        <v>30</v>
      </c>
    </row>
    <row r="55" spans="1:17">
      <c r="A55" s="22" t="s">
        <v>26</v>
      </c>
      <c r="B55" s="23" t="s">
        <v>27</v>
      </c>
      <c r="C55" s="101">
        <v>165327</v>
      </c>
      <c r="D55" s="25">
        <v>29630.87</v>
      </c>
      <c r="E55" s="26"/>
      <c r="F55" s="23" t="s">
        <v>53</v>
      </c>
      <c r="G55" s="27">
        <v>1</v>
      </c>
      <c r="H55" s="25">
        <v>866.12</v>
      </c>
      <c r="I55" s="25">
        <f t="shared" si="8"/>
        <v>866.12</v>
      </c>
      <c r="J55" s="27" t="s">
        <v>54</v>
      </c>
      <c r="K55" s="28" t="s">
        <v>29</v>
      </c>
      <c r="L55" s="29" t="s">
        <v>30</v>
      </c>
    </row>
    <row r="56" spans="1:17" ht="15" thickBot="1">
      <c r="A56" s="30" t="s">
        <v>26</v>
      </c>
      <c r="B56" s="31" t="s">
        <v>27</v>
      </c>
      <c r="C56" s="127">
        <v>165327</v>
      </c>
      <c r="D56" s="33">
        <v>29630.87</v>
      </c>
      <c r="E56" s="34"/>
      <c r="F56" s="31" t="s">
        <v>53</v>
      </c>
      <c r="G56" s="35">
        <v>1</v>
      </c>
      <c r="H56" s="33">
        <v>33.75</v>
      </c>
      <c r="I56" s="33">
        <f t="shared" si="8"/>
        <v>33.75</v>
      </c>
      <c r="J56" s="35" t="s">
        <v>55</v>
      </c>
      <c r="K56" s="36" t="s">
        <v>29</v>
      </c>
      <c r="L56" s="37" t="s">
        <v>30</v>
      </c>
      <c r="N56" s="87">
        <f>SUM(I51:I56)</f>
        <v>29630.87</v>
      </c>
    </row>
    <row r="57" spans="1:17">
      <c r="A57" s="94" t="s">
        <v>32</v>
      </c>
      <c r="B57" s="95" t="s">
        <v>33</v>
      </c>
      <c r="C57" s="130" t="s">
        <v>56</v>
      </c>
      <c r="D57" s="97">
        <v>4714</v>
      </c>
      <c r="E57" s="98"/>
      <c r="F57" s="95" t="s">
        <v>53</v>
      </c>
      <c r="G57" s="99">
        <v>6.4</v>
      </c>
      <c r="H57" s="97">
        <v>385</v>
      </c>
      <c r="I57" s="97">
        <f t="shared" si="8"/>
        <v>2464</v>
      </c>
      <c r="J57" s="99" t="s">
        <v>28</v>
      </c>
      <c r="K57" s="131" t="s">
        <v>29</v>
      </c>
      <c r="L57" s="100" t="s">
        <v>30</v>
      </c>
    </row>
    <row r="58" spans="1:17" ht="15" thickBot="1">
      <c r="A58" s="15" t="s">
        <v>32</v>
      </c>
      <c r="B58" s="16" t="s">
        <v>33</v>
      </c>
      <c r="C58" s="132" t="s">
        <v>56</v>
      </c>
      <c r="D58" s="17">
        <v>4714</v>
      </c>
      <c r="E58" s="18"/>
      <c r="F58" s="16" t="s">
        <v>53</v>
      </c>
      <c r="G58" s="19">
        <v>4.5</v>
      </c>
      <c r="H58" s="17">
        <v>500</v>
      </c>
      <c r="I58" s="17">
        <f t="shared" si="8"/>
        <v>2250</v>
      </c>
      <c r="J58" s="19" t="s">
        <v>28</v>
      </c>
      <c r="K58" s="20" t="s">
        <v>29</v>
      </c>
      <c r="L58" s="21" t="s">
        <v>30</v>
      </c>
      <c r="M58" s="87">
        <f>+I57+I58</f>
        <v>4714</v>
      </c>
    </row>
    <row r="59" spans="1:17">
      <c r="A59" s="7" t="s">
        <v>38</v>
      </c>
      <c r="B59" s="8" t="s">
        <v>39</v>
      </c>
      <c r="C59" s="84" t="s">
        <v>57</v>
      </c>
      <c r="D59" s="10">
        <v>8325</v>
      </c>
      <c r="E59" s="11"/>
      <c r="F59" s="8" t="s">
        <v>53</v>
      </c>
      <c r="G59" s="12">
        <v>12</v>
      </c>
      <c r="H59" s="10">
        <v>125</v>
      </c>
      <c r="I59" s="10">
        <f t="shared" si="8"/>
        <v>1500</v>
      </c>
      <c r="J59" s="12" t="s">
        <v>58</v>
      </c>
      <c r="K59" s="13" t="s">
        <v>29</v>
      </c>
      <c r="L59" s="14" t="s">
        <v>30</v>
      </c>
      <c r="Q59" s="143"/>
    </row>
    <row r="60" spans="1:17">
      <c r="A60" s="22" t="s">
        <v>38</v>
      </c>
      <c r="B60" s="23" t="s">
        <v>39</v>
      </c>
      <c r="C60" s="85" t="s">
        <v>57</v>
      </c>
      <c r="D60" s="25">
        <v>8325</v>
      </c>
      <c r="E60" s="26"/>
      <c r="F60" s="23" t="s">
        <v>53</v>
      </c>
      <c r="G60" s="27">
        <v>17</v>
      </c>
      <c r="H60" s="25">
        <v>125</v>
      </c>
      <c r="I60" s="25">
        <f t="shared" si="8"/>
        <v>2125</v>
      </c>
      <c r="J60" s="27" t="s">
        <v>59</v>
      </c>
      <c r="K60" s="28" t="s">
        <v>29</v>
      </c>
      <c r="L60" s="29" t="s">
        <v>30</v>
      </c>
    </row>
    <row r="61" spans="1:17">
      <c r="A61" s="22" t="s">
        <v>38</v>
      </c>
      <c r="B61" s="23" t="s">
        <v>39</v>
      </c>
      <c r="C61" s="85" t="s">
        <v>57</v>
      </c>
      <c r="D61" s="25">
        <v>8325</v>
      </c>
      <c r="E61" s="26"/>
      <c r="F61" s="23" t="s">
        <v>53</v>
      </c>
      <c r="G61" s="27">
        <v>1</v>
      </c>
      <c r="H61" s="25">
        <v>125</v>
      </c>
      <c r="I61" s="25">
        <f t="shared" si="8"/>
        <v>125</v>
      </c>
      <c r="J61" s="27" t="s">
        <v>60</v>
      </c>
      <c r="K61" s="28" t="s">
        <v>29</v>
      </c>
      <c r="L61" s="29" t="s">
        <v>30</v>
      </c>
    </row>
    <row r="62" spans="1:17">
      <c r="A62" s="22" t="s">
        <v>38</v>
      </c>
      <c r="B62" s="23" t="s">
        <v>39</v>
      </c>
      <c r="C62" s="85" t="s">
        <v>57</v>
      </c>
      <c r="D62" s="25">
        <v>8325</v>
      </c>
      <c r="E62" s="26"/>
      <c r="F62" s="23" t="s">
        <v>53</v>
      </c>
      <c r="G62" s="27">
        <v>1</v>
      </c>
      <c r="H62" s="25">
        <v>230</v>
      </c>
      <c r="I62" s="25">
        <f t="shared" si="8"/>
        <v>230</v>
      </c>
      <c r="J62" s="27" t="s">
        <v>61</v>
      </c>
      <c r="K62" s="28" t="s">
        <v>29</v>
      </c>
      <c r="L62" s="29" t="s">
        <v>30</v>
      </c>
    </row>
    <row r="63" spans="1:17">
      <c r="A63" s="22" t="s">
        <v>38</v>
      </c>
      <c r="B63" s="23" t="s">
        <v>39</v>
      </c>
      <c r="C63" s="85" t="s">
        <v>57</v>
      </c>
      <c r="D63" s="25">
        <v>8325</v>
      </c>
      <c r="E63" s="26"/>
      <c r="F63" s="23" t="s">
        <v>53</v>
      </c>
      <c r="G63" s="27">
        <v>14</v>
      </c>
      <c r="H63" s="25">
        <v>230</v>
      </c>
      <c r="I63" s="25">
        <f t="shared" si="8"/>
        <v>3220</v>
      </c>
      <c r="J63" s="27" t="s">
        <v>62</v>
      </c>
      <c r="K63" s="28" t="s">
        <v>29</v>
      </c>
      <c r="L63" s="29" t="s">
        <v>30</v>
      </c>
    </row>
    <row r="64" spans="1:17" ht="15" thickBot="1">
      <c r="A64" s="30" t="s">
        <v>38</v>
      </c>
      <c r="B64" s="31" t="s">
        <v>39</v>
      </c>
      <c r="C64" s="144" t="s">
        <v>57</v>
      </c>
      <c r="D64" s="33">
        <v>8325</v>
      </c>
      <c r="E64" s="34"/>
      <c r="F64" s="31" t="s">
        <v>53</v>
      </c>
      <c r="G64" s="35">
        <v>9</v>
      </c>
      <c r="H64" s="33">
        <v>125</v>
      </c>
      <c r="I64" s="33">
        <f t="shared" si="8"/>
        <v>1125</v>
      </c>
      <c r="J64" s="35" t="s">
        <v>63</v>
      </c>
      <c r="K64" s="36" t="s">
        <v>29</v>
      </c>
      <c r="L64" s="37" t="s">
        <v>30</v>
      </c>
      <c r="O64" s="87"/>
      <c r="P64" s="87">
        <f>SUM(I59:I64)</f>
        <v>8325</v>
      </c>
    </row>
    <row r="65" spans="1:18">
      <c r="A65" s="94" t="s">
        <v>64</v>
      </c>
      <c r="B65" s="95" t="s">
        <v>65</v>
      </c>
      <c r="C65" s="133">
        <v>213282</v>
      </c>
      <c r="D65" s="97">
        <v>3242.9</v>
      </c>
      <c r="E65" s="98">
        <v>44800</v>
      </c>
      <c r="F65" s="133">
        <v>13187</v>
      </c>
      <c r="G65" s="145"/>
      <c r="H65" s="97"/>
      <c r="I65" s="97">
        <v>3242.9</v>
      </c>
      <c r="J65" s="99" t="s">
        <v>66</v>
      </c>
      <c r="K65" s="131" t="s">
        <v>67</v>
      </c>
      <c r="L65" s="100" t="s">
        <v>68</v>
      </c>
    </row>
    <row r="66" spans="1:18" ht="15" thickBot="1">
      <c r="A66" s="134" t="s">
        <v>64</v>
      </c>
      <c r="B66" s="135" t="s">
        <v>65</v>
      </c>
      <c r="C66" s="136">
        <v>214856</v>
      </c>
      <c r="D66" s="137">
        <v>3229.59</v>
      </c>
      <c r="E66" s="138">
        <v>44833</v>
      </c>
      <c r="F66" s="135">
        <v>13880</v>
      </c>
      <c r="G66" s="139"/>
      <c r="H66" s="137"/>
      <c r="I66" s="137">
        <v>3229.59</v>
      </c>
      <c r="J66" s="139" t="s">
        <v>66</v>
      </c>
      <c r="K66" s="140" t="s">
        <v>67</v>
      </c>
      <c r="L66" s="141" t="s">
        <v>68</v>
      </c>
      <c r="R66" s="87">
        <f>+I66+I65</f>
        <v>6472.49</v>
      </c>
    </row>
    <row r="67" spans="1:18">
      <c r="A67" s="7" t="s">
        <v>32</v>
      </c>
      <c r="B67" s="8" t="s">
        <v>33</v>
      </c>
      <c r="C67" s="9" t="s">
        <v>69</v>
      </c>
      <c r="D67" s="10">
        <v>10659.5</v>
      </c>
      <c r="E67" s="11"/>
      <c r="F67" s="8" t="s">
        <v>53</v>
      </c>
      <c r="G67" s="12">
        <v>14.7</v>
      </c>
      <c r="H67" s="10">
        <v>385</v>
      </c>
      <c r="I67" s="10">
        <f t="shared" ref="I67:I68" si="9">+G67*H67</f>
        <v>5659.5</v>
      </c>
      <c r="J67" s="12" t="s">
        <v>28</v>
      </c>
      <c r="K67" s="13" t="s">
        <v>29</v>
      </c>
      <c r="L67" s="14" t="s">
        <v>30</v>
      </c>
    </row>
    <row r="68" spans="1:18" ht="15" thickBot="1">
      <c r="A68" s="30" t="s">
        <v>32</v>
      </c>
      <c r="B68" s="31" t="s">
        <v>33</v>
      </c>
      <c r="C68" s="32" t="s">
        <v>69</v>
      </c>
      <c r="D68" s="33">
        <v>10659.5</v>
      </c>
      <c r="E68" s="34"/>
      <c r="F68" s="31" t="s">
        <v>53</v>
      </c>
      <c r="G68" s="35">
        <v>10</v>
      </c>
      <c r="H68" s="33">
        <v>500</v>
      </c>
      <c r="I68" s="33">
        <f t="shared" si="9"/>
        <v>5000</v>
      </c>
      <c r="J68" s="35" t="s">
        <v>28</v>
      </c>
      <c r="K68" s="36" t="s">
        <v>29</v>
      </c>
      <c r="L68" s="37" t="s">
        <v>30</v>
      </c>
    </row>
    <row r="69" spans="1:18" ht="15" thickBot="1">
      <c r="A69" s="27" t="s">
        <v>26</v>
      </c>
      <c r="B69" s="23" t="s">
        <v>27</v>
      </c>
      <c r="C69" s="146" t="s">
        <v>70</v>
      </c>
      <c r="D69" s="25">
        <v>10886.5</v>
      </c>
      <c r="E69" s="26"/>
      <c r="F69" s="23"/>
      <c r="G69" s="27">
        <v>44.3</v>
      </c>
      <c r="H69" s="25">
        <f>I69/G69</f>
        <v>245.74492099322799</v>
      </c>
      <c r="I69" s="25">
        <v>10886.5</v>
      </c>
      <c r="J69" s="35" t="s">
        <v>28</v>
      </c>
      <c r="K69" s="28"/>
      <c r="L69" s="37" t="s">
        <v>30</v>
      </c>
    </row>
    <row r="70" spans="1:18" ht="15" thickBot="1">
      <c r="A70" s="27" t="s">
        <v>71</v>
      </c>
      <c r="B70" s="23"/>
      <c r="C70" s="24" t="s">
        <v>72</v>
      </c>
      <c r="D70" s="25">
        <v>456.14</v>
      </c>
      <c r="E70" s="26"/>
      <c r="F70" s="23"/>
      <c r="G70" s="27"/>
      <c r="H70" s="25"/>
      <c r="I70" s="25">
        <v>456.14</v>
      </c>
      <c r="J70" s="27" t="s">
        <v>55</v>
      </c>
      <c r="K70" s="28"/>
      <c r="L70" s="37" t="s">
        <v>73</v>
      </c>
    </row>
    <row r="71" spans="1:18" ht="15" thickBot="1">
      <c r="A71" s="27" t="s">
        <v>74</v>
      </c>
      <c r="B71" s="23"/>
      <c r="C71" s="24" t="s">
        <v>72</v>
      </c>
      <c r="D71" s="25">
        <v>50.83</v>
      </c>
      <c r="E71" s="26"/>
      <c r="F71" s="23"/>
      <c r="G71" s="27"/>
      <c r="H71" s="25"/>
      <c r="I71" s="25">
        <v>50.83</v>
      </c>
      <c r="J71" s="27" t="s">
        <v>75</v>
      </c>
      <c r="K71" s="28"/>
      <c r="L71" s="37" t="s">
        <v>73</v>
      </c>
    </row>
    <row r="72" spans="1:18" ht="15" thickBot="1">
      <c r="A72" s="27" t="s">
        <v>76</v>
      </c>
      <c r="B72" s="23"/>
      <c r="C72" s="24" t="s">
        <v>72</v>
      </c>
      <c r="D72" s="25">
        <v>12.28</v>
      </c>
      <c r="E72" s="26"/>
      <c r="F72" s="23"/>
      <c r="G72" s="27"/>
      <c r="H72" s="25"/>
      <c r="I72" s="25">
        <v>12.28</v>
      </c>
      <c r="J72" s="27" t="s">
        <v>75</v>
      </c>
      <c r="K72" s="28"/>
      <c r="L72" s="37" t="s">
        <v>73</v>
      </c>
    </row>
    <row r="73" spans="1:18" ht="15" thickBot="1">
      <c r="A73" s="27" t="s">
        <v>71</v>
      </c>
      <c r="B73" s="23"/>
      <c r="C73" s="24" t="s">
        <v>72</v>
      </c>
      <c r="D73" s="25">
        <v>5</v>
      </c>
      <c r="E73" s="26"/>
      <c r="F73" s="23"/>
      <c r="G73" s="27"/>
      <c r="H73" s="25"/>
      <c r="I73" s="25">
        <v>5</v>
      </c>
      <c r="J73" s="27" t="s">
        <v>75</v>
      </c>
      <c r="K73" s="28"/>
      <c r="L73" s="37" t="s">
        <v>73</v>
      </c>
    </row>
    <row r="74" spans="1:18" ht="15" thickBot="1">
      <c r="A74" s="27" t="s">
        <v>77</v>
      </c>
      <c r="B74" s="23"/>
      <c r="C74" s="24" t="s">
        <v>72</v>
      </c>
      <c r="D74" s="25">
        <v>176.74</v>
      </c>
      <c r="E74" s="26"/>
      <c r="F74" s="23"/>
      <c r="G74" s="27"/>
      <c r="H74" s="25"/>
      <c r="I74" s="25">
        <v>176.74</v>
      </c>
      <c r="J74" s="27" t="s">
        <v>75</v>
      </c>
      <c r="K74" s="28"/>
      <c r="L74" s="37" t="s">
        <v>73</v>
      </c>
    </row>
    <row r="75" spans="1:18" ht="15" thickBot="1">
      <c r="A75" s="27" t="s">
        <v>78</v>
      </c>
      <c r="B75" s="23"/>
      <c r="C75" s="24" t="s">
        <v>72</v>
      </c>
      <c r="D75" s="25">
        <v>30</v>
      </c>
      <c r="E75" s="26"/>
      <c r="F75" s="23"/>
      <c r="G75" s="27"/>
      <c r="H75" s="25"/>
      <c r="I75" s="25">
        <v>30</v>
      </c>
      <c r="J75" s="27" t="s">
        <v>55</v>
      </c>
      <c r="K75" s="28"/>
      <c r="L75" s="37" t="s">
        <v>73</v>
      </c>
    </row>
    <row r="76" spans="1:18" ht="15" thickBot="1">
      <c r="A76" s="27" t="s">
        <v>79</v>
      </c>
      <c r="B76" s="23"/>
      <c r="C76" s="24" t="s">
        <v>72</v>
      </c>
      <c r="D76" s="25">
        <v>33.76</v>
      </c>
      <c r="E76" s="26"/>
      <c r="F76" s="23"/>
      <c r="G76" s="27"/>
      <c r="H76" s="25"/>
      <c r="I76" s="25">
        <v>33.76</v>
      </c>
      <c r="J76" s="27" t="s">
        <v>55</v>
      </c>
      <c r="K76" s="28"/>
      <c r="L76" s="37" t="s">
        <v>73</v>
      </c>
    </row>
    <row r="77" spans="1:18" ht="15" thickBot="1">
      <c r="A77" s="27" t="s">
        <v>80</v>
      </c>
      <c r="B77" s="23"/>
      <c r="C77" s="24" t="s">
        <v>72</v>
      </c>
      <c r="D77" s="25">
        <v>327.10000000000002</v>
      </c>
      <c r="E77" s="26"/>
      <c r="F77" s="23"/>
      <c r="G77" s="27"/>
      <c r="H77" s="25"/>
      <c r="I77" s="25">
        <v>327.10000000000002</v>
      </c>
      <c r="J77" s="27" t="s">
        <v>55</v>
      </c>
      <c r="K77" s="28"/>
      <c r="L77" s="37" t="s">
        <v>73</v>
      </c>
    </row>
    <row r="78" spans="1:18" ht="15" thickBot="1">
      <c r="A78" s="27" t="s">
        <v>80</v>
      </c>
      <c r="B78" s="23"/>
      <c r="C78" s="24" t="s">
        <v>72</v>
      </c>
      <c r="D78" s="25">
        <v>335.1</v>
      </c>
      <c r="E78" s="26"/>
      <c r="F78" s="23"/>
      <c r="G78" s="27"/>
      <c r="H78" s="25"/>
      <c r="I78" s="25">
        <f>D78</f>
        <v>335.1</v>
      </c>
      <c r="J78" s="27" t="s">
        <v>55</v>
      </c>
      <c r="K78" s="28"/>
      <c r="L78" s="37" t="s">
        <v>73</v>
      </c>
    </row>
    <row r="79" spans="1:18" ht="15" thickBot="1">
      <c r="A79" s="27" t="s">
        <v>80</v>
      </c>
      <c r="B79" s="23"/>
      <c r="C79" s="24" t="s">
        <v>72</v>
      </c>
      <c r="D79" s="25">
        <v>30</v>
      </c>
      <c r="E79" s="26"/>
      <c r="F79" s="23"/>
      <c r="G79" s="27"/>
      <c r="H79" s="25"/>
      <c r="I79" s="25">
        <v>30</v>
      </c>
      <c r="J79" s="27" t="s">
        <v>55</v>
      </c>
      <c r="K79" s="28"/>
      <c r="L79" s="37" t="s">
        <v>73</v>
      </c>
    </row>
    <row r="80" spans="1:18" ht="15" thickBot="1">
      <c r="A80" s="27" t="s">
        <v>80</v>
      </c>
      <c r="B80" s="23"/>
      <c r="C80" s="24" t="s">
        <v>72</v>
      </c>
      <c r="D80" s="25">
        <v>30</v>
      </c>
      <c r="E80" s="26"/>
      <c r="F80" s="23"/>
      <c r="G80" s="27"/>
      <c r="H80" s="25"/>
      <c r="I80" s="25">
        <v>30</v>
      </c>
      <c r="J80" s="27" t="s">
        <v>55</v>
      </c>
      <c r="K80" s="28"/>
      <c r="L80" s="37" t="s">
        <v>73</v>
      </c>
    </row>
    <row r="81" spans="1:19" ht="15" thickBot="1">
      <c r="A81" s="27" t="s">
        <v>81</v>
      </c>
      <c r="B81" s="23"/>
      <c r="C81" s="24" t="s">
        <v>72</v>
      </c>
      <c r="D81" s="25">
        <v>125.65</v>
      </c>
      <c r="E81" s="26"/>
      <c r="F81" s="23"/>
      <c r="G81" s="27"/>
      <c r="H81" s="25"/>
      <c r="I81" s="25">
        <v>125.65</v>
      </c>
      <c r="J81" s="27" t="s">
        <v>55</v>
      </c>
      <c r="K81" s="28"/>
      <c r="L81" s="37" t="s">
        <v>73</v>
      </c>
    </row>
    <row r="82" spans="1:19" ht="15" thickBot="1">
      <c r="A82" s="27" t="s">
        <v>82</v>
      </c>
      <c r="B82" s="23"/>
      <c r="C82" s="24" t="s">
        <v>72</v>
      </c>
      <c r="D82" s="25">
        <v>46.18</v>
      </c>
      <c r="E82" s="26"/>
      <c r="F82" s="23"/>
      <c r="G82" s="27"/>
      <c r="H82" s="25"/>
      <c r="I82" s="25">
        <v>46.18</v>
      </c>
      <c r="J82" s="27" t="s">
        <v>55</v>
      </c>
      <c r="K82" s="28"/>
      <c r="L82" s="37" t="s">
        <v>73</v>
      </c>
    </row>
    <row r="83" spans="1:19" ht="15" thickBot="1">
      <c r="A83" s="27" t="s">
        <v>83</v>
      </c>
      <c r="B83" s="23"/>
      <c r="C83" s="24" t="s">
        <v>72</v>
      </c>
      <c r="D83" s="25">
        <v>143.16</v>
      </c>
      <c r="E83" s="26"/>
      <c r="F83" s="23"/>
      <c r="G83" s="27"/>
      <c r="H83" s="25"/>
      <c r="I83" s="25">
        <v>143.16</v>
      </c>
      <c r="J83" s="27" t="s">
        <v>84</v>
      </c>
      <c r="K83" s="28"/>
      <c r="L83" s="37" t="s">
        <v>73</v>
      </c>
    </row>
    <row r="84" spans="1:19" ht="15" thickBot="1">
      <c r="A84" s="27" t="s">
        <v>71</v>
      </c>
      <c r="B84" s="23"/>
      <c r="C84" s="24" t="s">
        <v>72</v>
      </c>
      <c r="D84" s="25">
        <v>725.41</v>
      </c>
      <c r="E84" s="26"/>
      <c r="F84" s="23"/>
      <c r="G84" s="27"/>
      <c r="H84" s="25"/>
      <c r="I84" s="25">
        <v>725.41</v>
      </c>
      <c r="J84" s="27" t="s">
        <v>85</v>
      </c>
      <c r="K84" s="28"/>
      <c r="L84" s="37" t="s">
        <v>73</v>
      </c>
    </row>
    <row r="85" spans="1:19" ht="15" thickBot="1">
      <c r="A85" s="27" t="s">
        <v>71</v>
      </c>
      <c r="B85" s="23"/>
      <c r="C85" s="24" t="s">
        <v>72</v>
      </c>
      <c r="D85" s="25">
        <v>27.56</v>
      </c>
      <c r="E85" s="26"/>
      <c r="F85" s="23"/>
      <c r="G85" s="27"/>
      <c r="H85" s="25"/>
      <c r="I85" s="25">
        <f>D85</f>
        <v>27.56</v>
      </c>
      <c r="J85" s="27" t="s">
        <v>75</v>
      </c>
      <c r="K85" s="28"/>
      <c r="L85" s="37" t="s">
        <v>73</v>
      </c>
    </row>
    <row r="86" spans="1:19" ht="15" thickBot="1">
      <c r="A86" s="27" t="s">
        <v>71</v>
      </c>
      <c r="B86" s="23"/>
      <c r="C86" s="24" t="s">
        <v>72</v>
      </c>
      <c r="D86" s="25">
        <v>6.36</v>
      </c>
      <c r="E86" s="26"/>
      <c r="F86" s="23"/>
      <c r="G86" s="27"/>
      <c r="H86" s="25"/>
      <c r="I86" s="25">
        <f>D86</f>
        <v>6.36</v>
      </c>
      <c r="J86" s="27" t="s">
        <v>75</v>
      </c>
      <c r="K86" s="28"/>
      <c r="L86" s="37" t="s">
        <v>73</v>
      </c>
    </row>
    <row r="87" spans="1:19" s="151" customFormat="1">
      <c r="A87" s="151" t="s">
        <v>26</v>
      </c>
      <c r="B87" s="152"/>
      <c r="C87" s="153" t="s">
        <v>86</v>
      </c>
      <c r="D87" s="154">
        <v>10000</v>
      </c>
      <c r="E87" s="154"/>
      <c r="F87" s="155"/>
      <c r="G87" s="154"/>
      <c r="H87" s="154"/>
      <c r="I87" s="154">
        <f>D87</f>
        <v>10000</v>
      </c>
      <c r="J87" s="151" t="s">
        <v>28</v>
      </c>
      <c r="K87" s="156"/>
      <c r="L87" s="151" t="s">
        <v>30</v>
      </c>
    </row>
    <row r="88" spans="1:19" s="151" customFormat="1">
      <c r="A88" s="151" t="s">
        <v>32</v>
      </c>
      <c r="B88" s="152"/>
      <c r="C88" s="153" t="s">
        <v>86</v>
      </c>
      <c r="D88" s="154">
        <v>5000</v>
      </c>
      <c r="E88" s="154"/>
      <c r="F88" s="155"/>
      <c r="G88" s="154"/>
      <c r="H88" s="154"/>
      <c r="I88" s="154">
        <f>D88</f>
        <v>5000</v>
      </c>
      <c r="J88" s="151" t="s">
        <v>28</v>
      </c>
      <c r="K88" s="156"/>
      <c r="L88" s="151" t="s">
        <v>30</v>
      </c>
    </row>
    <row r="89" spans="1:19">
      <c r="A89" s="27" t="s">
        <v>71</v>
      </c>
      <c r="B89" s="23"/>
      <c r="C89" s="24" t="s">
        <v>72</v>
      </c>
      <c r="D89" s="25">
        <v>420.18</v>
      </c>
      <c r="E89" s="26"/>
      <c r="F89" s="23"/>
      <c r="G89" s="27"/>
      <c r="H89" s="25"/>
      <c r="I89" s="25">
        <f>D89</f>
        <v>420.18</v>
      </c>
      <c r="J89" s="27" t="s">
        <v>85</v>
      </c>
      <c r="K89" s="28"/>
      <c r="L89" s="27" t="s">
        <v>73</v>
      </c>
    </row>
    <row r="90" spans="1:19" ht="15">
      <c r="A90" s="149" t="s">
        <v>87</v>
      </c>
      <c r="C90" s="6" t="s">
        <v>72</v>
      </c>
      <c r="D90" s="1">
        <v>37</v>
      </c>
      <c r="E90" s="26"/>
      <c r="F90" s="23"/>
      <c r="G90" s="27"/>
      <c r="H90" s="25"/>
      <c r="I90" s="25">
        <f>D90</f>
        <v>37</v>
      </c>
      <c r="J90" s="27"/>
      <c r="K90" s="28"/>
      <c r="L90" s="27"/>
      <c r="M90" s="87">
        <f t="shared" ref="M90:R90" si="10">SUM(M1:M66)</f>
        <v>50344.5</v>
      </c>
      <c r="N90" s="87">
        <f t="shared" si="10"/>
        <v>77763.929999999993</v>
      </c>
      <c r="O90" s="87">
        <f t="shared" si="10"/>
        <v>43480</v>
      </c>
      <c r="P90" s="87">
        <f t="shared" si="10"/>
        <v>41870</v>
      </c>
      <c r="Q90" s="87">
        <f t="shared" si="10"/>
        <v>24727.9977</v>
      </c>
      <c r="R90" s="87">
        <f t="shared" si="10"/>
        <v>6472.49</v>
      </c>
    </row>
    <row r="91" spans="1:19" ht="15">
      <c r="A91" s="149" t="s">
        <v>88</v>
      </c>
      <c r="C91" s="6" t="s">
        <v>72</v>
      </c>
      <c r="D91" s="1">
        <v>62</v>
      </c>
      <c r="E91" s="26"/>
      <c r="F91" s="23"/>
      <c r="G91" s="27"/>
      <c r="H91" s="25"/>
      <c r="I91" s="25">
        <v>62</v>
      </c>
      <c r="J91" s="27"/>
      <c r="K91" s="28"/>
      <c r="L91" s="27"/>
      <c r="M91" s="87"/>
      <c r="N91" s="87"/>
      <c r="O91" s="87"/>
      <c r="P91" s="87"/>
      <c r="Q91" s="87"/>
      <c r="R91" s="87"/>
    </row>
    <row r="92" spans="1:19" ht="15">
      <c r="I92" s="128">
        <f>SUM(I2:I91)</f>
        <v>284285.36769999994</v>
      </c>
      <c r="J92" t="s">
        <v>89</v>
      </c>
    </row>
    <row r="93" spans="1:19" ht="15">
      <c r="I93" s="129">
        <f>I92-I94</f>
        <v>82296.319999999949</v>
      </c>
      <c r="J93" t="s">
        <v>90</v>
      </c>
      <c r="N93" s="87">
        <f>+M90+N90</f>
        <v>128108.43</v>
      </c>
      <c r="S93" s="87">
        <f>+N93+Q94+R95</f>
        <v>244658.91769999999</v>
      </c>
    </row>
    <row r="94" spans="1:19" ht="15">
      <c r="I94" s="128">
        <v>201989.0477</v>
      </c>
      <c r="J94" t="s">
        <v>91</v>
      </c>
      <c r="L94" t="s">
        <v>92</v>
      </c>
      <c r="Q94" s="87">
        <f>+O90+P90+Q90</f>
        <v>110077.99770000001</v>
      </c>
      <c r="S94" s="87">
        <f>+I92-S93</f>
        <v>39626.449999999953</v>
      </c>
    </row>
    <row r="95" spans="1:19" ht="15">
      <c r="L95" t="s">
        <v>93</v>
      </c>
      <c r="R95" s="87">
        <f>+R90</f>
        <v>6472.49</v>
      </c>
    </row>
    <row r="96" spans="1:19" ht="15"/>
  </sheetData>
  <phoneticPr fontId="3" type="noConversion"/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415C6-4314-4F22-81FE-E58BF8EA6C91}">
  <dimension ref="A1:T48"/>
  <sheetViews>
    <sheetView topLeftCell="C1" zoomScaleNormal="100" zoomScaleSheetLayoutView="90" workbookViewId="0">
      <selection activeCell="U37" sqref="U37"/>
    </sheetView>
  </sheetViews>
  <sheetFormatPr defaultColWidth="12.42578125" defaultRowHeight="13.5" customHeight="1"/>
  <cols>
    <col min="1" max="2" width="0" style="51" hidden="1" customWidth="1"/>
    <col min="3" max="3" width="12.42578125" style="51"/>
    <col min="4" max="4" width="4.42578125" style="52" customWidth="1"/>
    <col min="5" max="5" width="30.28515625" style="52" customWidth="1"/>
    <col min="6" max="6" width="9" style="52" bestFit="1" customWidth="1"/>
    <col min="7" max="7" width="14" style="52" bestFit="1" customWidth="1"/>
    <col min="8" max="8" width="16.42578125" style="52" bestFit="1" customWidth="1"/>
    <col min="9" max="9" width="2.28515625" style="52" customWidth="1"/>
    <col min="10" max="10" width="12.42578125" style="52"/>
    <col min="11" max="11" width="3" style="52" customWidth="1"/>
    <col min="12" max="12" width="11.28515625" style="53" customWidth="1"/>
    <col min="13" max="13" width="3" style="53" customWidth="1"/>
    <col min="14" max="14" width="13.28515625" style="53" customWidth="1"/>
    <col min="15" max="15" width="3" style="53" customWidth="1"/>
    <col min="16" max="16" width="17" style="53" bestFit="1" customWidth="1"/>
    <col min="17" max="18" width="14.28515625" style="53" customWidth="1"/>
    <col min="19" max="20" width="12.42578125" style="51"/>
    <col min="21" max="25" width="10.28515625" style="51" customWidth="1"/>
    <col min="26" max="16384" width="12.42578125" style="51"/>
  </cols>
  <sheetData>
    <row r="1" spans="3:20">
      <c r="C1" s="51" t="s">
        <v>94</v>
      </c>
    </row>
    <row r="2" spans="3:20" s="48" customFormat="1" ht="16.5">
      <c r="C2" s="45" t="s">
        <v>95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45"/>
      <c r="R2" s="47"/>
    </row>
    <row r="3" spans="3:20" s="48" customFormat="1" ht="15.75">
      <c r="C3" s="45" t="s">
        <v>96</v>
      </c>
      <c r="E3" s="45"/>
      <c r="F3" s="45"/>
      <c r="G3" s="45"/>
      <c r="H3" s="45"/>
      <c r="I3" s="45"/>
      <c r="J3" s="45"/>
      <c r="K3" s="45"/>
      <c r="L3" s="47"/>
      <c r="M3" s="47"/>
      <c r="N3" s="47"/>
      <c r="O3" s="47"/>
      <c r="P3" s="49"/>
      <c r="Q3" s="47"/>
      <c r="R3" s="47"/>
    </row>
    <row r="4" spans="3:20" s="48" customFormat="1" ht="15">
      <c r="C4" s="147">
        <v>44834</v>
      </c>
      <c r="D4" s="147"/>
      <c r="E4" s="147"/>
      <c r="F4" s="50"/>
      <c r="G4" s="45"/>
      <c r="H4" s="45"/>
      <c r="I4" s="45"/>
      <c r="J4" s="45"/>
      <c r="K4" s="45"/>
      <c r="L4" s="47"/>
      <c r="M4" s="47"/>
      <c r="N4" s="47"/>
      <c r="O4" s="47"/>
      <c r="P4" s="47"/>
      <c r="Q4" s="47"/>
      <c r="R4" s="47"/>
    </row>
    <row r="5" spans="3:20" s="48" customFormat="1" ht="15">
      <c r="C5" s="148">
        <v>45291</v>
      </c>
      <c r="D5" s="148"/>
      <c r="E5" s="148"/>
      <c r="F5" s="45"/>
      <c r="G5" s="45"/>
      <c r="H5" s="45"/>
      <c r="I5" s="45"/>
      <c r="J5" s="45"/>
      <c r="K5" s="45"/>
      <c r="L5" s="45"/>
      <c r="M5" s="47"/>
      <c r="N5" s="45"/>
      <c r="O5" s="47"/>
      <c r="P5" s="47"/>
      <c r="Q5" s="47"/>
      <c r="R5" s="47"/>
    </row>
    <row r="6" spans="3:20">
      <c r="L6" s="52"/>
      <c r="N6" s="52"/>
    </row>
    <row r="7" spans="3:20" s="54" customFormat="1" ht="15">
      <c r="D7" s="55"/>
      <c r="E7" s="55" t="s">
        <v>97</v>
      </c>
      <c r="F7" s="55" t="s">
        <v>98</v>
      </c>
      <c r="G7" s="55" t="s">
        <v>99</v>
      </c>
      <c r="H7" s="55" t="s">
        <v>100</v>
      </c>
      <c r="I7" s="55"/>
      <c r="J7" s="55" t="s">
        <v>101</v>
      </c>
      <c r="K7" s="55"/>
      <c r="L7" s="55" t="s">
        <v>102</v>
      </c>
      <c r="M7" s="56"/>
      <c r="N7" s="55" t="s">
        <v>103</v>
      </c>
      <c r="O7" s="56"/>
      <c r="P7" s="56" t="s">
        <v>104</v>
      </c>
      <c r="Q7" s="56"/>
      <c r="R7" s="56"/>
    </row>
    <row r="8" spans="3:20" ht="15">
      <c r="L8" s="52"/>
      <c r="N8" s="45"/>
      <c r="Q8" s="55" t="s">
        <v>105</v>
      </c>
      <c r="R8" s="55" t="s">
        <v>106</v>
      </c>
    </row>
    <row r="9" spans="3:20" ht="15">
      <c r="C9" s="57" t="s">
        <v>107</v>
      </c>
      <c r="D9" s="58"/>
      <c r="E9" s="58"/>
      <c r="F9" s="58"/>
      <c r="G9" s="58"/>
      <c r="H9" s="58"/>
      <c r="I9" s="58"/>
      <c r="J9" s="57" t="s">
        <v>89</v>
      </c>
      <c r="L9" s="57" t="s">
        <v>108</v>
      </c>
      <c r="M9" s="59"/>
      <c r="N9" s="57" t="s">
        <v>109</v>
      </c>
      <c r="O9" s="59"/>
      <c r="P9" s="57" t="s">
        <v>110</v>
      </c>
      <c r="Q9" s="57" t="s">
        <v>111</v>
      </c>
      <c r="R9" s="57" t="s">
        <v>112</v>
      </c>
    </row>
    <row r="10" spans="3:20">
      <c r="L10" s="52"/>
      <c r="M10" s="59"/>
      <c r="N10" s="52"/>
      <c r="O10" s="59"/>
      <c r="P10" s="59"/>
      <c r="Q10" s="59"/>
      <c r="R10" s="59"/>
    </row>
    <row r="11" spans="3:20" ht="15">
      <c r="C11" s="60">
        <v>1</v>
      </c>
      <c r="D11" s="52" t="s">
        <v>113</v>
      </c>
      <c r="J11" s="75">
        <v>200000</v>
      </c>
      <c r="K11" s="76"/>
      <c r="L11" s="75">
        <f>66004-5000</f>
        <v>61004</v>
      </c>
      <c r="M11" s="77"/>
      <c r="N11" s="75"/>
      <c r="O11" s="77"/>
      <c r="P11" s="77">
        <f>+J11-L11</f>
        <v>138996</v>
      </c>
      <c r="Q11" s="53">
        <f>(500+385+450+570+275+300)/6</f>
        <v>413.33333333333331</v>
      </c>
      <c r="R11" s="53">
        <f>+J11/Q11</f>
        <v>483.87096774193549</v>
      </c>
      <c r="S11" s="59"/>
      <c r="T11" s="78" t="s">
        <v>114</v>
      </c>
    </row>
    <row r="12" spans="3:20" ht="15">
      <c r="C12" s="60">
        <f>+C11+1</f>
        <v>2</v>
      </c>
      <c r="D12" s="52" t="s">
        <v>115</v>
      </c>
      <c r="J12" s="52">
        <v>158875</v>
      </c>
      <c r="L12" s="52">
        <f>98650-10000</f>
        <v>88650</v>
      </c>
      <c r="N12" s="52"/>
      <c r="P12" s="73">
        <f>+J12-L12</f>
        <v>70225</v>
      </c>
      <c r="Q12" s="53">
        <f>+J12/R12</f>
        <v>254.2</v>
      </c>
      <c r="R12" s="53">
        <v>625</v>
      </c>
      <c r="T12" s="79"/>
    </row>
    <row r="13" spans="3:20" ht="15">
      <c r="C13" s="60"/>
      <c r="E13" s="52" t="s">
        <v>92</v>
      </c>
      <c r="L13" s="52"/>
      <c r="N13" s="52">
        <v>15000</v>
      </c>
      <c r="P13" s="73"/>
      <c r="T13" s="79"/>
    </row>
    <row r="14" spans="3:20" ht="15">
      <c r="C14" s="60">
        <f>+C12+1</f>
        <v>3</v>
      </c>
      <c r="D14" s="52" t="s">
        <v>116</v>
      </c>
      <c r="L14" s="52"/>
      <c r="N14" s="52"/>
      <c r="P14" s="74"/>
      <c r="T14" s="80" t="s">
        <v>117</v>
      </c>
    </row>
    <row r="15" spans="3:20" ht="15">
      <c r="C15" s="60">
        <f t="shared" ref="C15:C43" si="0">+C14+1</f>
        <v>4</v>
      </c>
      <c r="E15" s="52" t="s">
        <v>66</v>
      </c>
      <c r="F15" s="52">
        <v>12324</v>
      </c>
      <c r="G15" s="52" t="s">
        <v>118</v>
      </c>
      <c r="H15" s="52" t="s">
        <v>119</v>
      </c>
      <c r="J15" s="53">
        <f>F15*0.5125</f>
        <v>6316.0499999999993</v>
      </c>
      <c r="K15" s="51"/>
      <c r="L15" s="52">
        <v>4768.6400000000003</v>
      </c>
      <c r="N15" s="52"/>
      <c r="P15" s="74">
        <f>+J15-L15</f>
        <v>1547.4099999999989</v>
      </c>
      <c r="T15" s="80"/>
    </row>
    <row r="16" spans="3:20" ht="15">
      <c r="C16" s="60">
        <f t="shared" si="0"/>
        <v>5</v>
      </c>
      <c r="E16" s="52" t="s">
        <v>120</v>
      </c>
      <c r="F16" s="52">
        <v>12324</v>
      </c>
      <c r="G16" s="52" t="str">
        <f>G15</f>
        <v>=</v>
      </c>
      <c r="H16" s="52" t="s">
        <v>121</v>
      </c>
      <c r="J16" s="53">
        <f>F16*0.1025</f>
        <v>1263.21</v>
      </c>
      <c r="K16" s="51"/>
      <c r="L16" s="52">
        <v>1703.85</v>
      </c>
      <c r="N16" s="52"/>
      <c r="P16" s="53">
        <f>+J16-L16</f>
        <v>-440.63999999999987</v>
      </c>
      <c r="T16" s="81" t="s">
        <v>122</v>
      </c>
    </row>
    <row r="17" spans="3:20" ht="15">
      <c r="C17" s="60">
        <f t="shared" si="0"/>
        <v>6</v>
      </c>
      <c r="L17" s="52"/>
      <c r="N17" s="52"/>
      <c r="T17" s="81" t="s">
        <v>123</v>
      </c>
    </row>
    <row r="18" spans="3:20" ht="15">
      <c r="C18" s="60">
        <f t="shared" si="0"/>
        <v>7</v>
      </c>
      <c r="D18" s="52" t="s">
        <v>124</v>
      </c>
      <c r="J18" s="52">
        <v>1000</v>
      </c>
      <c r="L18" s="52">
        <f>b!I83</f>
        <v>143.16</v>
      </c>
      <c r="N18" s="52"/>
      <c r="P18" s="53">
        <f>+J18-L18</f>
        <v>856.84</v>
      </c>
      <c r="T18" s="81" t="s">
        <v>125</v>
      </c>
    </row>
    <row r="19" spans="3:20" ht="15">
      <c r="C19" s="60">
        <f t="shared" si="0"/>
        <v>8</v>
      </c>
      <c r="L19" s="52"/>
      <c r="N19" s="52"/>
      <c r="T19" s="81" t="s">
        <v>126</v>
      </c>
    </row>
    <row r="20" spans="3:20" ht="15">
      <c r="C20" s="60">
        <f t="shared" si="0"/>
        <v>9</v>
      </c>
      <c r="F20" s="61"/>
      <c r="G20" s="61"/>
      <c r="H20" s="61" t="s">
        <v>127</v>
      </c>
      <c r="L20" s="52"/>
      <c r="N20" s="52"/>
      <c r="T20" s="81" t="s">
        <v>128</v>
      </c>
    </row>
    <row r="21" spans="3:20" ht="15">
      <c r="C21" s="60">
        <f t="shared" si="0"/>
        <v>10</v>
      </c>
      <c r="F21" s="62" t="s">
        <v>129</v>
      </c>
      <c r="G21" s="63" t="s">
        <v>130</v>
      </c>
      <c r="H21" s="62" t="s">
        <v>131</v>
      </c>
      <c r="L21" s="52"/>
      <c r="N21" s="52"/>
      <c r="T21" s="81" t="s">
        <v>132</v>
      </c>
    </row>
    <row r="22" spans="3:20" ht="15">
      <c r="C22" s="60">
        <f t="shared" si="0"/>
        <v>11</v>
      </c>
      <c r="D22" s="52" t="s">
        <v>133</v>
      </c>
      <c r="F22" s="61"/>
      <c r="G22" s="61"/>
      <c r="H22" s="61"/>
      <c r="L22" s="52"/>
      <c r="N22" s="52"/>
      <c r="T22" s="81" t="s">
        <v>134</v>
      </c>
    </row>
    <row r="23" spans="3:20" ht="15">
      <c r="C23" s="60">
        <f t="shared" si="0"/>
        <v>12</v>
      </c>
      <c r="E23" s="61" t="s">
        <v>135</v>
      </c>
      <c r="F23" s="64">
        <v>3</v>
      </c>
      <c r="G23" s="61">
        <v>500</v>
      </c>
      <c r="H23" s="61">
        <v>1</v>
      </c>
      <c r="J23" s="52">
        <f>F23*G23*H23</f>
        <v>1500</v>
      </c>
      <c r="L23" s="52">
        <f>b!D77+b!D78+b!D79+b!D80</f>
        <v>722.2</v>
      </c>
      <c r="N23" s="52"/>
      <c r="P23" s="53">
        <f>+J23-L23</f>
        <v>777.8</v>
      </c>
      <c r="T23" s="81" t="s">
        <v>136</v>
      </c>
    </row>
    <row r="24" spans="3:20" ht="15">
      <c r="C24" s="60">
        <f>+C23+1</f>
        <v>13</v>
      </c>
      <c r="E24" s="61" t="s">
        <v>85</v>
      </c>
      <c r="F24" s="64">
        <v>4</v>
      </c>
      <c r="G24" s="61">
        <v>249</v>
      </c>
      <c r="H24" s="61">
        <v>2</v>
      </c>
      <c r="J24" s="52">
        <f>F24*G24*H24</f>
        <v>1992</v>
      </c>
      <c r="L24" s="52">
        <f>b!I70+b!I81+b!I84+b!I89</f>
        <v>1727.3799999999999</v>
      </c>
      <c r="N24" s="52"/>
      <c r="P24" s="53">
        <f>+J24-L24</f>
        <v>264.62000000000012</v>
      </c>
      <c r="T24" s="80" t="s">
        <v>137</v>
      </c>
    </row>
    <row r="25" spans="3:20" ht="15">
      <c r="C25" s="60">
        <f t="shared" si="0"/>
        <v>14</v>
      </c>
      <c r="E25" s="61" t="s">
        <v>138</v>
      </c>
      <c r="F25" s="64">
        <v>4</v>
      </c>
      <c r="G25" s="61">
        <v>65</v>
      </c>
      <c r="H25" s="61">
        <v>2</v>
      </c>
      <c r="J25" s="52">
        <f>F25*G25*H25</f>
        <v>520</v>
      </c>
      <c r="L25" s="52">
        <f>b!I86+b!I85+b!I82+b!I76+b!I75+b!I74+b!I73+b!I72+b!I71+b!D90+b!D91</f>
        <v>487.71</v>
      </c>
      <c r="N25" s="52"/>
      <c r="P25" s="53">
        <f>+J25-L25</f>
        <v>32.29000000000002</v>
      </c>
      <c r="T25" s="81" t="s">
        <v>139</v>
      </c>
    </row>
    <row r="26" spans="3:20" ht="15">
      <c r="C26" s="60">
        <f t="shared" si="0"/>
        <v>15</v>
      </c>
      <c r="G26" s="65"/>
      <c r="T26" s="81" t="s">
        <v>140</v>
      </c>
    </row>
    <row r="27" spans="3:20" ht="15">
      <c r="C27" s="60">
        <f t="shared" si="0"/>
        <v>16</v>
      </c>
      <c r="J27" s="66"/>
      <c r="T27" s="81" t="s">
        <v>141</v>
      </c>
    </row>
    <row r="28" spans="3:20" ht="15">
      <c r="C28" s="60">
        <f t="shared" si="0"/>
        <v>17</v>
      </c>
      <c r="D28" s="52" t="s">
        <v>142</v>
      </c>
      <c r="J28" s="67">
        <v>37000</v>
      </c>
      <c r="L28" s="53">
        <v>43480</v>
      </c>
      <c r="P28" s="53">
        <f>+J28-L28</f>
        <v>-6480</v>
      </c>
      <c r="Q28" s="53">
        <f>(325+295+270+230+200+150+125+65)/8</f>
        <v>207.5</v>
      </c>
      <c r="R28" s="53">
        <f>+J28/Q28</f>
        <v>178.31325301204819</v>
      </c>
      <c r="T28" s="81" t="s">
        <v>143</v>
      </c>
    </row>
    <row r="29" spans="3:20" ht="15">
      <c r="C29" s="60">
        <f t="shared" si="0"/>
        <v>18</v>
      </c>
      <c r="D29" s="52" t="s">
        <v>144</v>
      </c>
      <c r="J29" s="67">
        <v>22500</v>
      </c>
      <c r="L29" s="53">
        <v>41870</v>
      </c>
      <c r="P29" s="53">
        <f>+J29-L29</f>
        <v>-19370</v>
      </c>
      <c r="Q29" s="53">
        <f>(325+295+270+230+200+150+125+65)/8</f>
        <v>207.5</v>
      </c>
      <c r="R29" s="53">
        <f>+J29/Q29</f>
        <v>108.43373493975903</v>
      </c>
      <c r="T29" s="53"/>
    </row>
    <row r="30" spans="3:20" ht="15">
      <c r="C30" s="60">
        <f t="shared" si="0"/>
        <v>19</v>
      </c>
      <c r="D30" s="52" t="s">
        <v>145</v>
      </c>
      <c r="J30" s="68">
        <v>28350</v>
      </c>
      <c r="L30" s="53">
        <v>24727.9977</v>
      </c>
      <c r="P30" s="53">
        <f>+J30-L30</f>
        <v>3622.0023000000001</v>
      </c>
      <c r="Q30" s="53">
        <v>315</v>
      </c>
      <c r="R30" s="53">
        <v>90</v>
      </c>
    </row>
    <row r="31" spans="3:20" ht="15">
      <c r="C31" s="60">
        <f t="shared" si="0"/>
        <v>20</v>
      </c>
    </row>
    <row r="32" spans="3:20" ht="15">
      <c r="C32" s="60">
        <f t="shared" si="0"/>
        <v>21</v>
      </c>
      <c r="D32" s="52" t="s">
        <v>146</v>
      </c>
      <c r="J32" s="52">
        <f>SUM(J11:J30)</f>
        <v>459316.26</v>
      </c>
      <c r="L32" s="53">
        <f>SUM(L11:L30)</f>
        <v>269284.93770000001</v>
      </c>
      <c r="N32" s="150">
        <f>L32+N13</f>
        <v>284284.93770000001</v>
      </c>
    </row>
    <row r="33" spans="1:19" ht="15">
      <c r="C33" s="60">
        <f t="shared" si="0"/>
        <v>22</v>
      </c>
    </row>
    <row r="34" spans="1:19" ht="15">
      <c r="C34" s="60">
        <f t="shared" si="0"/>
        <v>23</v>
      </c>
      <c r="D34" s="52" t="s">
        <v>147</v>
      </c>
      <c r="J34" s="52">
        <f>SUM(J32:J33)</f>
        <v>459316.26</v>
      </c>
      <c r="L34" s="69"/>
      <c r="N34" s="69"/>
    </row>
    <row r="35" spans="1:19" ht="15">
      <c r="C35" s="60">
        <f t="shared" si="0"/>
        <v>24</v>
      </c>
      <c r="J35" s="66"/>
    </row>
    <row r="36" spans="1:19" ht="15">
      <c r="C36" s="60">
        <f t="shared" si="0"/>
        <v>25</v>
      </c>
      <c r="D36" s="52" t="s">
        <v>148</v>
      </c>
      <c r="J36" s="52">
        <v>0</v>
      </c>
      <c r="K36" s="51"/>
      <c r="L36" s="52"/>
      <c r="N36" s="52"/>
      <c r="S36" s="53"/>
    </row>
    <row r="37" spans="1:19" ht="15">
      <c r="C37" s="60">
        <f t="shared" si="0"/>
        <v>26</v>
      </c>
      <c r="L37" s="52"/>
      <c r="N37" s="52"/>
      <c r="S37" s="53"/>
    </row>
    <row r="38" spans="1:19" ht="15">
      <c r="C38" s="60">
        <f t="shared" si="0"/>
        <v>27</v>
      </c>
      <c r="D38" s="52" t="s">
        <v>89</v>
      </c>
      <c r="J38" s="52">
        <f>SUM(J34:J37)</f>
        <v>459316.26</v>
      </c>
      <c r="L38" s="52"/>
      <c r="N38" s="52"/>
      <c r="P38" s="52"/>
    </row>
    <row r="39" spans="1:19" ht="15">
      <c r="C39" s="60">
        <f t="shared" si="0"/>
        <v>28</v>
      </c>
      <c r="J39" s="66"/>
      <c r="L39" s="52"/>
      <c r="N39" s="52"/>
      <c r="P39" s="52"/>
    </row>
    <row r="40" spans="1:19" ht="15">
      <c r="C40" s="60">
        <f t="shared" si="0"/>
        <v>29</v>
      </c>
      <c r="D40" s="52" t="s">
        <v>149</v>
      </c>
      <c r="J40" s="58">
        <v>3</v>
      </c>
      <c r="L40" s="52"/>
      <c r="N40" s="52"/>
      <c r="P40" s="52"/>
    </row>
    <row r="41" spans="1:19" ht="15">
      <c r="C41" s="60">
        <f t="shared" si="0"/>
        <v>30</v>
      </c>
      <c r="J41" s="66"/>
      <c r="L41" s="52"/>
      <c r="N41" s="52"/>
      <c r="P41" s="52"/>
    </row>
    <row r="42" spans="1:19" ht="15">
      <c r="C42" s="60">
        <f t="shared" si="0"/>
        <v>31</v>
      </c>
      <c r="L42" s="52"/>
      <c r="N42" s="52"/>
      <c r="P42" s="52"/>
    </row>
    <row r="43" spans="1:19" ht="15">
      <c r="C43" s="60">
        <f t="shared" si="0"/>
        <v>32</v>
      </c>
      <c r="D43" s="45" t="s">
        <v>150</v>
      </c>
      <c r="J43" s="70">
        <f>+J38/J40</f>
        <v>153105.42000000001</v>
      </c>
      <c r="K43" s="71"/>
      <c r="L43" s="52"/>
      <c r="N43" s="52"/>
      <c r="P43" s="52"/>
    </row>
    <row r="44" spans="1:19" ht="15">
      <c r="C44" s="60"/>
      <c r="D44" s="45"/>
      <c r="J44" s="71"/>
      <c r="K44" s="71"/>
      <c r="L44" s="52"/>
      <c r="N44" s="52"/>
      <c r="P44" s="52"/>
    </row>
    <row r="45" spans="1:19" ht="15">
      <c r="C45" s="72" t="s">
        <v>151</v>
      </c>
      <c r="D45" s="52" t="s">
        <v>152</v>
      </c>
      <c r="J45" s="71"/>
      <c r="K45" s="71"/>
      <c r="L45" s="71"/>
      <c r="M45" s="59"/>
      <c r="N45" s="71"/>
      <c r="O45" s="59"/>
      <c r="P45" s="71"/>
    </row>
    <row r="46" spans="1:19" ht="15">
      <c r="C46" s="72" t="s">
        <v>153</v>
      </c>
      <c r="D46" s="52" t="s">
        <v>154</v>
      </c>
    </row>
    <row r="48" spans="1:19">
      <c r="A48" s="51" t="s">
        <v>155</v>
      </c>
    </row>
  </sheetData>
  <mergeCells count="2">
    <mergeCell ref="C4:E4"/>
    <mergeCell ref="C5:E5"/>
  </mergeCells>
  <pageMargins left="0.7" right="0.7" top="0.75" bottom="0.75" header="0.3" footer="0.3"/>
  <pageSetup scale="55" orientation="portrait" r:id="rId1"/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BADE57-78A3-4B8D-9B42-078C800D25D2}"/>
</file>

<file path=customXml/itemProps2.xml><?xml version="1.0" encoding="utf-8"?>
<ds:datastoreItem xmlns:ds="http://schemas.openxmlformats.org/officeDocument/2006/customXml" ds:itemID="{3C851C08-21AF-44DC-AEDB-F02282A9BA76}"/>
</file>

<file path=customXml/itemProps3.xml><?xml version="1.0" encoding="utf-8"?>
<ds:datastoreItem xmlns:ds="http://schemas.openxmlformats.org/officeDocument/2006/customXml" ds:itemID="{B2636771-6CC3-4D31-B9F7-A69BA17971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Janet Paciorek</dc:creator>
  <cp:keywords/>
  <dc:description/>
  <cp:lastModifiedBy>Todd Osterloh</cp:lastModifiedBy>
  <cp:revision/>
  <dcterms:created xsi:type="dcterms:W3CDTF">2022-06-16T18:42:55Z</dcterms:created>
  <dcterms:modified xsi:type="dcterms:W3CDTF">2022-12-09T20:38:42Z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