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2/"/>
    </mc:Choice>
  </mc:AlternateContent>
  <xr:revisionPtr revIDLastSave="270" documentId="8_{4265DE28-D7FA-4572-B160-E23689C7BAD1}" xr6:coauthVersionLast="47" xr6:coauthVersionMax="47" xr10:uidLastSave="{6DF25261-F9AA-4F09-A103-E7726725DD0F}"/>
  <bookViews>
    <workbookView xWindow="-120" yWindow="-120" windowWidth="29040" windowHeight="15840" firstSheet="1" activeTab="1" xr2:uid="{89A19369-9C88-4302-8BCC-A8C4A34FD050}"/>
  </bookViews>
  <sheets>
    <sheet name="Exh 19" sheetId="5" state="hidden" r:id="rId1"/>
    <sheet name="Exh 35" sheetId="1" r:id="rId2"/>
    <sheet name="Revolver" sheetId="2" r:id="rId3"/>
    <sheet name="Notes" sheetId="3" r:id="rId4"/>
    <sheet name="Hist-Forecast" sheetId="4" r:id="rId5"/>
  </sheets>
  <externalReferences>
    <externalReference r:id="rId6"/>
  </externalReferences>
  <definedNames>
    <definedName name="_xlnm.Print_Area" localSheetId="0">'Exh 19'!$A$1:$K$33</definedName>
    <definedName name="_xlnm.Print_Area" localSheetId="1">'Exh 35'!$A$1:$K$33</definedName>
    <definedName name="_xlnm.Print_Area" localSheetId="3">Notes!$A$1:$U$44</definedName>
    <definedName name="_xlnm.Print_Area" localSheetId="2">Revolver!$A$1:$I$44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9" i="3" l="1"/>
  <c r="O15" i="3"/>
  <c r="AG38" i="4"/>
  <c r="AE38" i="4"/>
  <c r="G39" i="3"/>
  <c r="E39" i="3"/>
  <c r="U27" i="3"/>
  <c r="S27" i="3"/>
  <c r="Q27" i="3"/>
  <c r="M27" i="3"/>
  <c r="K27" i="3"/>
  <c r="I27" i="3"/>
  <c r="G27" i="3"/>
  <c r="E27" i="3"/>
  <c r="C27" i="3"/>
  <c r="C39" i="3"/>
  <c r="K39" i="3"/>
  <c r="K15" i="3"/>
  <c r="AF38" i="4" l="1"/>
  <c r="AD38" i="4"/>
  <c r="AC38" i="4"/>
  <c r="AB38" i="4"/>
  <c r="AA38" i="4"/>
  <c r="AC3" i="4"/>
  <c r="AD3" i="4" s="1"/>
  <c r="AB3" i="4"/>
  <c r="AB30" i="4" s="1"/>
  <c r="AA3" i="4"/>
  <c r="AC30" i="4"/>
  <c r="AA30" i="4"/>
  <c r="Z30" i="4"/>
  <c r="Y30" i="4"/>
  <c r="X30" i="4"/>
  <c r="Y3" i="4"/>
  <c r="AE3" i="4" l="1"/>
  <c r="AD30" i="4"/>
  <c r="AM28" i="4"/>
  <c r="AL28" i="4"/>
  <c r="Z49" i="4"/>
  <c r="AA49" i="4" s="1"/>
  <c r="Y49" i="4"/>
  <c r="Z29" i="4"/>
  <c r="AA29" i="4" s="1"/>
  <c r="AB29" i="4" s="1"/>
  <c r="AC29" i="4" s="1"/>
  <c r="AD29" i="4" s="1"/>
  <c r="AE29" i="4" s="1"/>
  <c r="AF29" i="4" s="1"/>
  <c r="AG29" i="4" s="1"/>
  <c r="AH29" i="4" s="1"/>
  <c r="AI29" i="4" s="1"/>
  <c r="AJ29" i="4" s="1"/>
  <c r="AK29" i="4" s="1"/>
  <c r="AL29" i="4" s="1"/>
  <c r="AM29" i="4" s="1"/>
  <c r="AN29" i="4" s="1"/>
  <c r="AO29" i="4" s="1"/>
  <c r="AP29" i="4" s="1"/>
  <c r="Z28" i="4"/>
  <c r="AA28" i="4" s="1"/>
  <c r="AB28" i="4" s="1"/>
  <c r="AC28" i="4" s="1"/>
  <c r="AD28" i="4" s="1"/>
  <c r="AE28" i="4" s="1"/>
  <c r="AF28" i="4" s="1"/>
  <c r="AG28" i="4" s="1"/>
  <c r="AH28" i="4" s="1"/>
  <c r="AI28" i="4" s="1"/>
  <c r="AJ28" i="4" s="1"/>
  <c r="AK28" i="4" s="1"/>
  <c r="Y29" i="4"/>
  <c r="Y28" i="4"/>
  <c r="AF3" i="4" l="1"/>
  <c r="AE30" i="4"/>
  <c r="AN28" i="4"/>
  <c r="AO28" i="4" s="1"/>
  <c r="AP28" i="4" s="1"/>
  <c r="AF30" i="4" l="1"/>
  <c r="AG3" i="4"/>
  <c r="R41" i="4"/>
  <c r="AB49" i="4"/>
  <c r="AC49" i="4" s="1"/>
  <c r="AH3" i="4" l="1"/>
  <c r="AG30" i="4"/>
  <c r="AQ51" i="4"/>
  <c r="L43" i="4"/>
  <c r="K43" i="4"/>
  <c r="J43" i="4"/>
  <c r="I43" i="4"/>
  <c r="H43" i="4"/>
  <c r="G43" i="4"/>
  <c r="F43" i="4"/>
  <c r="E43" i="4"/>
  <c r="AB41" i="4"/>
  <c r="AA41" i="4"/>
  <c r="W41" i="4"/>
  <c r="V41" i="4"/>
  <c r="U41" i="4"/>
  <c r="T41" i="4"/>
  <c r="S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AB35" i="4"/>
  <c r="G13" i="5"/>
  <c r="E13" i="5"/>
  <c r="G12" i="5"/>
  <c r="E12" i="5"/>
  <c r="G11" i="5"/>
  <c r="E11" i="5"/>
  <c r="A12" i="5"/>
  <c r="A13" i="5" s="1"/>
  <c r="I24" i="1"/>
  <c r="I18" i="1"/>
  <c r="A23" i="2"/>
  <c r="A24" i="2" s="1"/>
  <c r="A25" i="2" s="1"/>
  <c r="A26" i="2" s="1"/>
  <c r="A27" i="2" s="1"/>
  <c r="A28" i="2" s="1"/>
  <c r="A29" i="2" s="1"/>
  <c r="A30" i="2" s="1"/>
  <c r="A31" i="2" s="1"/>
  <c r="A35" i="2" s="1"/>
  <c r="A36" i="2" s="1"/>
  <c r="A37" i="2" s="1"/>
  <c r="A38" i="2" s="1"/>
  <c r="A39" i="2" s="1"/>
  <c r="A40" i="2" s="1"/>
  <c r="A41" i="2" s="1"/>
  <c r="A42" i="2" s="1"/>
  <c r="A43" i="2" s="1"/>
  <c r="O29" i="3"/>
  <c r="A23" i="3"/>
  <c r="A24" i="3" s="1"/>
  <c r="A25" i="3" s="1"/>
  <c r="A26" i="3" s="1"/>
  <c r="A27" i="3" s="1"/>
  <c r="A28" i="3" s="1"/>
  <c r="A29" i="3" s="1"/>
  <c r="A30" i="3" s="1"/>
  <c r="A31" i="3" s="1"/>
  <c r="A35" i="3" s="1"/>
  <c r="A36" i="3" s="1"/>
  <c r="A37" i="3" s="1"/>
  <c r="A38" i="3" s="1"/>
  <c r="A39" i="3" s="1"/>
  <c r="A40" i="3" s="1"/>
  <c r="A41" i="3" s="1"/>
  <c r="A42" i="3" s="1"/>
  <c r="A43" i="3" s="1"/>
  <c r="I38" i="3"/>
  <c r="I37" i="3"/>
  <c r="I36" i="3"/>
  <c r="O41" i="3"/>
  <c r="M38" i="3"/>
  <c r="I26" i="3"/>
  <c r="M26" i="3" s="1"/>
  <c r="I25" i="3"/>
  <c r="M25" i="3" s="1"/>
  <c r="I24" i="3"/>
  <c r="AA2" i="4"/>
  <c r="AH38" i="4"/>
  <c r="U38" i="4"/>
  <c r="Z41" i="4" s="1"/>
  <c r="AD49" i="4"/>
  <c r="AE49" i="4" s="1"/>
  <c r="AF49" i="4" s="1"/>
  <c r="AG49" i="4" s="1"/>
  <c r="AH49" i="4" s="1"/>
  <c r="AI49" i="4" s="1"/>
  <c r="AJ49" i="4" s="1"/>
  <c r="AK49" i="4" s="1"/>
  <c r="AL49" i="4" s="1"/>
  <c r="AM49" i="4" s="1"/>
  <c r="AN49" i="4" s="1"/>
  <c r="AO49" i="4" s="1"/>
  <c r="AP49" i="4" s="1"/>
  <c r="K15" i="4"/>
  <c r="AI38" i="4" l="1"/>
  <c r="AJ38" i="4" s="1"/>
  <c r="AK38" i="4" s="1"/>
  <c r="AL38" i="4" s="1"/>
  <c r="AM38" i="4" s="1"/>
  <c r="AN38" i="4" s="1"/>
  <c r="AO38" i="4" s="1"/>
  <c r="AP38" i="4" s="1"/>
  <c r="E36" i="2" s="1"/>
  <c r="E41" i="2" s="1"/>
  <c r="AI41" i="4"/>
  <c r="AH30" i="4"/>
  <c r="AI3" i="4"/>
  <c r="X41" i="4"/>
  <c r="Y41" i="4"/>
  <c r="AF41" i="4"/>
  <c r="AC41" i="4"/>
  <c r="AD41" i="4"/>
  <c r="AE41" i="4"/>
  <c r="AG41" i="4"/>
  <c r="AH41" i="4"/>
  <c r="O35" i="4"/>
  <c r="W35" i="4"/>
  <c r="P35" i="4"/>
  <c r="X35" i="4"/>
  <c r="M35" i="4"/>
  <c r="R35" i="4"/>
  <c r="Z35" i="4"/>
  <c r="U35" i="4"/>
  <c r="N35" i="4"/>
  <c r="Q35" i="4"/>
  <c r="S35" i="4"/>
  <c r="AA35" i="4"/>
  <c r="V35" i="4"/>
  <c r="Y35" i="4"/>
  <c r="T35" i="4"/>
  <c r="E24" i="2"/>
  <c r="E29" i="2" s="1"/>
  <c r="AB2" i="4"/>
  <c r="G24" i="2"/>
  <c r="E31" i="2" s="1"/>
  <c r="M36" i="3"/>
  <c r="M37" i="3"/>
  <c r="M24" i="3"/>
  <c r="AI30" i="4" l="1"/>
  <c r="AJ3" i="4"/>
  <c r="I24" i="2"/>
  <c r="I29" i="2" s="1"/>
  <c r="AC2" i="4"/>
  <c r="AB39" i="4"/>
  <c r="AB43" i="4" s="1"/>
  <c r="AC35" i="4"/>
  <c r="AJ30" i="4" l="1"/>
  <c r="AK3" i="4"/>
  <c r="AD2" i="4"/>
  <c r="AC39" i="4"/>
  <c r="AC43" i="4" s="1"/>
  <c r="AD35" i="4"/>
  <c r="K39" i="4"/>
  <c r="L39" i="4"/>
  <c r="J39" i="4"/>
  <c r="I39" i="4"/>
  <c r="H39" i="4"/>
  <c r="G39" i="4"/>
  <c r="F39" i="4"/>
  <c r="E39" i="4"/>
  <c r="T24" i="4"/>
  <c r="U24" i="4" s="1"/>
  <c r="V24" i="4" s="1"/>
  <c r="W24" i="4" s="1"/>
  <c r="X24" i="4" s="1"/>
  <c r="Y24" i="4" s="1"/>
  <c r="Z24" i="4" s="1"/>
  <c r="AA24" i="4" s="1"/>
  <c r="Q24" i="4"/>
  <c r="P24" i="4" s="1"/>
  <c r="O24" i="4" s="1"/>
  <c r="P19" i="4"/>
  <c r="O19" i="4" s="1"/>
  <c r="Q19" i="4"/>
  <c r="S19" i="4"/>
  <c r="T19" i="4" s="1"/>
  <c r="U19" i="4" s="1"/>
  <c r="V19" i="4" s="1"/>
  <c r="W19" i="4" s="1"/>
  <c r="X19" i="4" s="1"/>
  <c r="Y19" i="4" s="1"/>
  <c r="Z19" i="4" s="1"/>
  <c r="AA19" i="4" s="1"/>
  <c r="S24" i="4"/>
  <c r="S9" i="4"/>
  <c r="T9" i="4" s="1"/>
  <c r="U9" i="4" s="1"/>
  <c r="V9" i="4" s="1"/>
  <c r="W9" i="4" s="1"/>
  <c r="X9" i="4" s="1"/>
  <c r="Y9" i="4" s="1"/>
  <c r="Z9" i="4" s="1"/>
  <c r="AA9" i="4" s="1"/>
  <c r="Q9" i="4"/>
  <c r="P9" i="4" s="1"/>
  <c r="O9" i="4" s="1"/>
  <c r="K9" i="4"/>
  <c r="J9" i="4" s="1"/>
  <c r="I9" i="4" s="1"/>
  <c r="H9" i="4" s="1"/>
  <c r="G9" i="4" s="1"/>
  <c r="F9" i="4" s="1"/>
  <c r="E9" i="4" s="1"/>
  <c r="D9" i="4" s="1"/>
  <c r="AK30" i="4" l="1"/>
  <c r="AL3" i="4"/>
  <c r="AD39" i="4"/>
  <c r="AD43" i="4" s="1"/>
  <c r="AE2" i="4"/>
  <c r="AE35" i="4"/>
  <c r="AB19" i="4"/>
  <c r="AC19" i="4" s="1"/>
  <c r="AD19" i="4" s="1"/>
  <c r="AE19" i="4" s="1"/>
  <c r="AF19" i="4" s="1"/>
  <c r="AG19" i="4" s="1"/>
  <c r="AH19" i="4" s="1"/>
  <c r="AI19" i="4" s="1"/>
  <c r="AJ19" i="4" s="1"/>
  <c r="AK19" i="4" s="1"/>
  <c r="AL19" i="4" s="1"/>
  <c r="AM19" i="4" s="1"/>
  <c r="AN19" i="4" s="1"/>
  <c r="AO19" i="4" s="1"/>
  <c r="AP19" i="4" s="1"/>
  <c r="S25" i="3"/>
  <c r="U25" i="3" s="1"/>
  <c r="AB24" i="4"/>
  <c r="AC24" i="4" s="1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AO24" i="4" s="1"/>
  <c r="AP24" i="4" s="1"/>
  <c r="S26" i="3"/>
  <c r="U26" i="3" s="1"/>
  <c r="AB9" i="4"/>
  <c r="AC9" i="4" s="1"/>
  <c r="AD9" i="4" s="1"/>
  <c r="AE9" i="4" s="1"/>
  <c r="AF9" i="4" s="1"/>
  <c r="AG9" i="4" s="1"/>
  <c r="AH9" i="4" s="1"/>
  <c r="AI9" i="4" s="1"/>
  <c r="AJ9" i="4" s="1"/>
  <c r="AK9" i="4" s="1"/>
  <c r="AL9" i="4" s="1"/>
  <c r="AM9" i="4" s="1"/>
  <c r="AN9" i="4" s="1"/>
  <c r="AO9" i="4" s="1"/>
  <c r="AP9" i="4" s="1"/>
  <c r="S23" i="3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Q20" i="4" s="1"/>
  <c r="AR20" i="4" s="1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5" i="4"/>
  <c r="O20" i="4"/>
  <c r="N25" i="4"/>
  <c r="N20" i="4"/>
  <c r="M25" i="4"/>
  <c r="M20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0" i="4"/>
  <c r="J10" i="4"/>
  <c r="I10" i="4"/>
  <c r="H10" i="4"/>
  <c r="G10" i="4"/>
  <c r="F10" i="4"/>
  <c r="E10" i="4"/>
  <c r="N51" i="4"/>
  <c r="N49" i="4"/>
  <c r="K14" i="4"/>
  <c r="S14" i="4"/>
  <c r="P14" i="4"/>
  <c r="O14" i="4" s="1"/>
  <c r="Q14" i="4"/>
  <c r="N14" i="4"/>
  <c r="N9" i="4"/>
  <c r="N38" i="4"/>
  <c r="N39" i="4" s="1"/>
  <c r="N24" i="4"/>
  <c r="N19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E53" i="4"/>
  <c r="F53" i="4"/>
  <c r="G53" i="4"/>
  <c r="H53" i="4"/>
  <c r="I53" i="4"/>
  <c r="J53" i="4"/>
  <c r="K53" i="4"/>
  <c r="L53" i="4"/>
  <c r="AA39" i="4"/>
  <c r="AA43" i="4" s="1"/>
  <c r="Z39" i="4"/>
  <c r="Y39" i="4"/>
  <c r="X39" i="4"/>
  <c r="W39" i="4"/>
  <c r="V39" i="4"/>
  <c r="U39" i="4"/>
  <c r="T39" i="4"/>
  <c r="S39" i="4"/>
  <c r="R39" i="4"/>
  <c r="Q39" i="4"/>
  <c r="P39" i="4"/>
  <c r="O39" i="4"/>
  <c r="W30" i="4"/>
  <c r="V30" i="4"/>
  <c r="U30" i="4"/>
  <c r="T30" i="4"/>
  <c r="T43" i="4" s="1"/>
  <c r="S30" i="4"/>
  <c r="S43" i="4" s="1"/>
  <c r="R30" i="4"/>
  <c r="R43" i="4" s="1"/>
  <c r="Q30" i="4"/>
  <c r="Q43" i="4" s="1"/>
  <c r="P30" i="4"/>
  <c r="P43" i="4" s="1"/>
  <c r="O30" i="4"/>
  <c r="O43" i="4" s="1"/>
  <c r="AQ49" i="4"/>
  <c r="AQ47" i="4"/>
  <c r="AQ38" i="4"/>
  <c r="E12" i="2" s="1"/>
  <c r="AQ25" i="4"/>
  <c r="AR25" i="4" s="1"/>
  <c r="AQ24" i="4"/>
  <c r="S14" i="3" s="1"/>
  <c r="AQ23" i="4"/>
  <c r="I14" i="3" s="1"/>
  <c r="U14" i="3" s="1"/>
  <c r="AQ19" i="4"/>
  <c r="S13" i="3" s="1"/>
  <c r="AQ18" i="4"/>
  <c r="I13" i="3" s="1"/>
  <c r="U13" i="3" s="1"/>
  <c r="AQ13" i="4"/>
  <c r="I12" i="3" s="1"/>
  <c r="N30" i="4"/>
  <c r="N43" i="4" s="1"/>
  <c r="J60" i="4"/>
  <c r="K60" i="4"/>
  <c r="M39" i="4"/>
  <c r="M30" i="4"/>
  <c r="M43" i="4" s="1"/>
  <c r="M53" i="4"/>
  <c r="L8" i="4"/>
  <c r="M8" i="4" s="1"/>
  <c r="O17" i="3"/>
  <c r="AL30" i="4" l="1"/>
  <c r="AM3" i="4"/>
  <c r="Z43" i="4"/>
  <c r="Y43" i="4"/>
  <c r="U43" i="4"/>
  <c r="V43" i="4"/>
  <c r="W43" i="4"/>
  <c r="X43" i="4"/>
  <c r="AF2" i="4"/>
  <c r="AE39" i="4"/>
  <c r="AE43" i="4" s="1"/>
  <c r="AJ41" i="4"/>
  <c r="AF35" i="4"/>
  <c r="L10" i="4"/>
  <c r="M10" i="4"/>
  <c r="L56" i="4"/>
  <c r="L58" i="4" s="1"/>
  <c r="Q38" i="3"/>
  <c r="Q14" i="3"/>
  <c r="S38" i="3"/>
  <c r="U38" i="3" s="1"/>
  <c r="Q26" i="3"/>
  <c r="Q23" i="3"/>
  <c r="Q35" i="3"/>
  <c r="Q11" i="3"/>
  <c r="S35" i="3"/>
  <c r="T14" i="4"/>
  <c r="Q25" i="3"/>
  <c r="S37" i="3"/>
  <c r="U37" i="3" s="1"/>
  <c r="Q37" i="3"/>
  <c r="Q39" i="3" s="1"/>
  <c r="Q13" i="3"/>
  <c r="Q15" i="3" s="1"/>
  <c r="E17" i="2"/>
  <c r="AQ53" i="4"/>
  <c r="K56" i="4"/>
  <c r="K58" i="4" s="1"/>
  <c r="M14" i="3"/>
  <c r="M13" i="3"/>
  <c r="N53" i="4"/>
  <c r="U14" i="4"/>
  <c r="L60" i="4"/>
  <c r="H56" i="4"/>
  <c r="H58" i="4" s="1"/>
  <c r="I60" i="4"/>
  <c r="I56" i="4"/>
  <c r="I58" i="4" s="1"/>
  <c r="J56" i="4"/>
  <c r="J58" i="4" s="1"/>
  <c r="M56" i="4"/>
  <c r="M58" i="4" s="1"/>
  <c r="O8" i="4"/>
  <c r="A1" i="3"/>
  <c r="A1" i="2"/>
  <c r="G13" i="1"/>
  <c r="G19" i="1"/>
  <c r="A12" i="1"/>
  <c r="A13" i="1" s="1"/>
  <c r="A17" i="1" s="1"/>
  <c r="AN3" i="4" l="1"/>
  <c r="AM30" i="4"/>
  <c r="AG2" i="4"/>
  <c r="AF39" i="4"/>
  <c r="AK41" i="4"/>
  <c r="AG35" i="4"/>
  <c r="M60" i="4"/>
  <c r="P8" i="4"/>
  <c r="O10" i="4"/>
  <c r="O56" i="4"/>
  <c r="O58" i="4" s="1"/>
  <c r="V14" i="4"/>
  <c r="G56" i="4"/>
  <c r="G58" i="4" s="1"/>
  <c r="E30" i="1"/>
  <c r="G30" i="1"/>
  <c r="A18" i="1"/>
  <c r="A19" i="1" s="1"/>
  <c r="AO3" i="4" l="1"/>
  <c r="AN30" i="4"/>
  <c r="AF43" i="4"/>
  <c r="AH2" i="4"/>
  <c r="AG39" i="4"/>
  <c r="AG43" i="4" s="1"/>
  <c r="AL41" i="4"/>
  <c r="AH35" i="4"/>
  <c r="Q8" i="4"/>
  <c r="P10" i="4"/>
  <c r="P60" i="4" s="1"/>
  <c r="P56" i="4"/>
  <c r="P58" i="4" s="1"/>
  <c r="H60" i="4"/>
  <c r="O60" i="4"/>
  <c r="W14" i="4"/>
  <c r="F56" i="4"/>
  <c r="F58" i="4" s="1"/>
  <c r="G60" i="4"/>
  <c r="A23" i="1"/>
  <c r="A24" i="1" s="1"/>
  <c r="A25" i="1" s="1"/>
  <c r="AP3" i="4" l="1"/>
  <c r="AP30" i="4" s="1"/>
  <c r="AO30" i="4"/>
  <c r="AI2" i="4"/>
  <c r="AH39" i="4"/>
  <c r="AH43" i="4" s="1"/>
  <c r="AM41" i="4"/>
  <c r="AI35" i="4"/>
  <c r="R8" i="4"/>
  <c r="Q10" i="4"/>
  <c r="Q60" i="4" s="1"/>
  <c r="Q56" i="4"/>
  <c r="Q58" i="4" s="1"/>
  <c r="X14" i="4"/>
  <c r="E56" i="4"/>
  <c r="E58" i="4" s="1"/>
  <c r="E60" i="4"/>
  <c r="F60" i="4"/>
  <c r="AJ2" i="4" l="1"/>
  <c r="AI39" i="4"/>
  <c r="AN41" i="4"/>
  <c r="AJ35" i="4"/>
  <c r="S8" i="4"/>
  <c r="R10" i="4"/>
  <c r="R60" i="4" s="1"/>
  <c r="N8" i="4"/>
  <c r="R56" i="4"/>
  <c r="R58" i="4" s="1"/>
  <c r="Y14" i="4"/>
  <c r="AK2" i="4" l="1"/>
  <c r="AJ39" i="4"/>
  <c r="AJ43" i="4" s="1"/>
  <c r="AI43" i="4"/>
  <c r="AO41" i="4"/>
  <c r="AK35" i="4"/>
  <c r="T8" i="4"/>
  <c r="S10" i="4"/>
  <c r="S60" i="4" s="1"/>
  <c r="S56" i="4"/>
  <c r="S58" i="4" s="1"/>
  <c r="N10" i="4"/>
  <c r="N60" i="4" s="1"/>
  <c r="N56" i="4"/>
  <c r="N58" i="4" s="1"/>
  <c r="Z14" i="4"/>
  <c r="AL2" i="4" l="1"/>
  <c r="AK39" i="4"/>
  <c r="S39" i="3"/>
  <c r="AP41" i="4"/>
  <c r="AQ29" i="4"/>
  <c r="S15" i="3" s="1"/>
  <c r="AL35" i="4"/>
  <c r="U8" i="4"/>
  <c r="T10" i="4"/>
  <c r="T56" i="4"/>
  <c r="T58" i="4" s="1"/>
  <c r="AA14" i="4"/>
  <c r="AM2" i="4" l="1"/>
  <c r="AL39" i="4"/>
  <c r="AL43" i="4" s="1"/>
  <c r="AK43" i="4"/>
  <c r="AM35" i="4"/>
  <c r="S24" i="3"/>
  <c r="V8" i="4"/>
  <c r="U10" i="4"/>
  <c r="U56" i="4"/>
  <c r="U58" i="4" s="1"/>
  <c r="T60" i="4"/>
  <c r="T61" i="4" s="1"/>
  <c r="AB14" i="4"/>
  <c r="AN2" i="4" l="1"/>
  <c r="AM39" i="4"/>
  <c r="AN35" i="4"/>
  <c r="U24" i="3"/>
  <c r="S29" i="3"/>
  <c r="U60" i="4"/>
  <c r="U61" i="4" s="1"/>
  <c r="W8" i="4"/>
  <c r="V10" i="4"/>
  <c r="V56" i="4"/>
  <c r="V58" i="4" s="1"/>
  <c r="AC14" i="4"/>
  <c r="AM43" i="4" l="1"/>
  <c r="AO2" i="4"/>
  <c r="AN39" i="4"/>
  <c r="AN43" i="4" s="1"/>
  <c r="AO35" i="4"/>
  <c r="AQ28" i="4"/>
  <c r="I15" i="3" s="1"/>
  <c r="V60" i="4"/>
  <c r="X8" i="4"/>
  <c r="W10" i="4"/>
  <c r="W60" i="4" s="1"/>
  <c r="W56" i="4"/>
  <c r="W58" i="4" s="1"/>
  <c r="AD14" i="4"/>
  <c r="AP2" i="4" l="1"/>
  <c r="AO39" i="4"/>
  <c r="AO43" i="4" s="1"/>
  <c r="U15" i="3"/>
  <c r="M15" i="3"/>
  <c r="I39" i="3"/>
  <c r="AQ30" i="4"/>
  <c r="AR30" i="4" s="1"/>
  <c r="AP35" i="4"/>
  <c r="AQ35" i="4" s="1"/>
  <c r="AR35" i="4" s="1"/>
  <c r="Y8" i="4"/>
  <c r="X10" i="4"/>
  <c r="X56" i="4"/>
  <c r="X58" i="4" s="1"/>
  <c r="AE14" i="4"/>
  <c r="G36" i="2" l="1"/>
  <c r="AP39" i="4"/>
  <c r="AQ2" i="4"/>
  <c r="G12" i="2" s="1"/>
  <c r="M39" i="3"/>
  <c r="U39" i="3"/>
  <c r="X60" i="4"/>
  <c r="Z8" i="4"/>
  <c r="Y10" i="4"/>
  <c r="Y56" i="4"/>
  <c r="Y58" i="4" s="1"/>
  <c r="AF14" i="4"/>
  <c r="E19" i="2" l="1"/>
  <c r="I12" i="2"/>
  <c r="I17" i="2" s="1"/>
  <c r="AP43" i="4"/>
  <c r="AQ39" i="4"/>
  <c r="AR39" i="4" s="1"/>
  <c r="E43" i="2"/>
  <c r="I36" i="2"/>
  <c r="I41" i="2" s="1"/>
  <c r="AA8" i="4"/>
  <c r="Z10" i="4"/>
  <c r="Z60" i="4" s="1"/>
  <c r="Z56" i="4"/>
  <c r="Z58" i="4" s="1"/>
  <c r="Y60" i="4"/>
  <c r="AG14" i="4"/>
  <c r="AB8" i="4" l="1"/>
  <c r="I23" i="3"/>
  <c r="AA10" i="4"/>
  <c r="AA56" i="4"/>
  <c r="AH14" i="4"/>
  <c r="AA58" i="4" l="1"/>
  <c r="E17" i="1"/>
  <c r="AA60" i="4"/>
  <c r="I17" i="1" s="1"/>
  <c r="U23" i="3"/>
  <c r="U29" i="3" s="1"/>
  <c r="M23" i="3"/>
  <c r="M29" i="3" s="1"/>
  <c r="I29" i="3"/>
  <c r="AC8" i="4"/>
  <c r="AB10" i="4"/>
  <c r="AB56" i="4"/>
  <c r="AB58" i="4" s="1"/>
  <c r="AI14" i="4"/>
  <c r="I31" i="3" l="1"/>
  <c r="AB66" i="4"/>
  <c r="K17" i="1"/>
  <c r="E18" i="1"/>
  <c r="K18" i="1" s="1"/>
  <c r="AA66" i="4"/>
  <c r="AD8" i="4"/>
  <c r="AC10" i="4"/>
  <c r="AC56" i="4"/>
  <c r="AC58" i="4" s="1"/>
  <c r="AB60" i="4"/>
  <c r="AJ14" i="4"/>
  <c r="E19" i="1" l="1"/>
  <c r="AC60" i="4"/>
  <c r="AC66" i="4"/>
  <c r="AE8" i="4"/>
  <c r="AD10" i="4"/>
  <c r="AD56" i="4"/>
  <c r="AD58" i="4" s="1"/>
  <c r="G31" i="1"/>
  <c r="G32" i="1" s="1"/>
  <c r="K19" i="1"/>
  <c r="AK14" i="4"/>
  <c r="AF8" i="4" l="1"/>
  <c r="AE10" i="4"/>
  <c r="AE56" i="4"/>
  <c r="AE58" i="4" s="1"/>
  <c r="AD66" i="4"/>
  <c r="AD60" i="4"/>
  <c r="AL14" i="4"/>
  <c r="AG8" i="4" l="1"/>
  <c r="AF10" i="4"/>
  <c r="AF56" i="4"/>
  <c r="AF58" i="4" s="1"/>
  <c r="AF66" i="4" s="1"/>
  <c r="AE66" i="4"/>
  <c r="AE60" i="4"/>
  <c r="AM14" i="4"/>
  <c r="AF60" i="4" l="1"/>
  <c r="AH8" i="4"/>
  <c r="AG10" i="4"/>
  <c r="AG56" i="4"/>
  <c r="AG58" i="4" s="1"/>
  <c r="AN14" i="4"/>
  <c r="AG60" i="4" l="1"/>
  <c r="AI8" i="4"/>
  <c r="AH10" i="4"/>
  <c r="AH56" i="4"/>
  <c r="AH58" i="4" s="1"/>
  <c r="AG66" i="4"/>
  <c r="AO14" i="4"/>
  <c r="AH60" i="4" l="1"/>
  <c r="AH66" i="4"/>
  <c r="AJ8" i="4"/>
  <c r="AI10" i="4"/>
  <c r="AI56" i="4"/>
  <c r="AI58" i="4" s="1"/>
  <c r="AI66" i="4" s="1"/>
  <c r="AP14" i="4"/>
  <c r="AQ9" i="4"/>
  <c r="S11" i="3" s="1"/>
  <c r="AI60" i="4" l="1"/>
  <c r="AK8" i="4"/>
  <c r="AJ10" i="4"/>
  <c r="AJ56" i="4"/>
  <c r="AJ58" i="4" s="1"/>
  <c r="Q24" i="3"/>
  <c r="Q29" i="3" s="1"/>
  <c r="S36" i="3"/>
  <c r="Q36" i="3"/>
  <c r="Q12" i="3"/>
  <c r="AQ15" i="4"/>
  <c r="AR15" i="4" s="1"/>
  <c r="AQ14" i="4"/>
  <c r="AJ66" i="4" l="1"/>
  <c r="S12" i="3"/>
  <c r="AJ60" i="4"/>
  <c r="Q41" i="3"/>
  <c r="AL8" i="4"/>
  <c r="AK10" i="4"/>
  <c r="AK56" i="4"/>
  <c r="AK58" i="4" s="1"/>
  <c r="AK66" i="4" s="1"/>
  <c r="Q17" i="3"/>
  <c r="U36" i="3"/>
  <c r="S41" i="3"/>
  <c r="M12" i="3"/>
  <c r="U12" i="3" l="1"/>
  <c r="S17" i="3"/>
  <c r="AM8" i="4"/>
  <c r="AL10" i="4"/>
  <c r="AL56" i="4"/>
  <c r="AL58" i="4" s="1"/>
  <c r="AL66" i="4" s="1"/>
  <c r="AL60" i="4" l="1"/>
  <c r="AN8" i="4"/>
  <c r="AM10" i="4"/>
  <c r="AK60" i="4"/>
  <c r="AM56" i="4" l="1"/>
  <c r="AM58" i="4" s="1"/>
  <c r="AO8" i="4"/>
  <c r="AN10" i="4"/>
  <c r="AN56" i="4"/>
  <c r="AN58" i="4" s="1"/>
  <c r="AN66" i="4" l="1"/>
  <c r="AN60" i="4"/>
  <c r="AP8" i="4"/>
  <c r="AO10" i="4"/>
  <c r="AO56" i="4"/>
  <c r="AO58" i="4" s="1"/>
  <c r="AO66" i="4" s="1"/>
  <c r="AM60" i="4"/>
  <c r="AM66" i="4"/>
  <c r="I30" i="1"/>
  <c r="AO60" i="4" l="1"/>
  <c r="I35" i="3"/>
  <c r="AP10" i="4"/>
  <c r="AQ8" i="4"/>
  <c r="I11" i="3" s="1"/>
  <c r="U11" i="3" l="1"/>
  <c r="U17" i="3" s="1"/>
  <c r="M11" i="3"/>
  <c r="M17" i="3" s="1"/>
  <c r="I17" i="3"/>
  <c r="AP56" i="4"/>
  <c r="AQ41" i="4"/>
  <c r="AQ56" i="4" s="1"/>
  <c r="AQ10" i="4"/>
  <c r="AR10" i="4" s="1"/>
  <c r="I41" i="3"/>
  <c r="M35" i="3"/>
  <c r="M41" i="3" s="1"/>
  <c r="U35" i="3"/>
  <c r="U41" i="3" s="1"/>
  <c r="I19" i="3" l="1"/>
  <c r="I43" i="3"/>
  <c r="AP60" i="4"/>
  <c r="I23" i="1" s="1"/>
  <c r="AQ43" i="4"/>
  <c r="AQ60" i="4" s="1"/>
  <c r="I11" i="1" s="1"/>
  <c r="AQ58" i="4"/>
  <c r="E12" i="1" s="1"/>
  <c r="K12" i="1" s="1"/>
  <c r="E11" i="1"/>
  <c r="AP58" i="4"/>
  <c r="E23" i="1"/>
  <c r="G23" i="1" s="1"/>
  <c r="K23" i="1" l="1"/>
  <c r="E24" i="1"/>
  <c r="AP66" i="4"/>
  <c r="K11" i="1"/>
  <c r="E13" i="1"/>
  <c r="K24" i="1" l="1"/>
  <c r="K25" i="1" s="1"/>
  <c r="G24" i="1"/>
  <c r="E31" i="1"/>
  <c r="E32" i="1" s="1"/>
  <c r="K13" i="1"/>
  <c r="E25" i="1"/>
  <c r="I31" i="1"/>
  <c r="I32" i="1" s="1"/>
</calcChain>
</file>

<file path=xl/sharedStrings.xml><?xml version="1.0" encoding="utf-8"?>
<sst xmlns="http://schemas.openxmlformats.org/spreadsheetml/2006/main" count="153" uniqueCount="81">
  <si>
    <t>Water Service Corporation of Kentucky</t>
  </si>
  <si>
    <t>Exhibit 19</t>
  </si>
  <si>
    <t>Docket No. XXXXXXX</t>
  </si>
  <si>
    <t>Capital Structure Requirements</t>
  </si>
  <si>
    <t>Line No.</t>
  </si>
  <si>
    <t>Year</t>
  </si>
  <si>
    <t>Debt (Revolver and Notes)*</t>
  </si>
  <si>
    <t>Equity*</t>
  </si>
  <si>
    <t xml:space="preserve"> </t>
  </si>
  <si>
    <t>Funding Additions</t>
  </si>
  <si>
    <t>from Cash Flow Forecast, Exhibit 16 - Financing</t>
  </si>
  <si>
    <t>* All Debt and Equity held at parent level (Corix Regulated Utilities (US), Inc.)</t>
  </si>
  <si>
    <t>Exhibit 35, Schedule A</t>
  </si>
  <si>
    <t>Cost of Capital Summary</t>
  </si>
  <si>
    <t>Requirement:</t>
  </si>
  <si>
    <t>(j) Cost of capital summary for both base and forecasted periods with supporting schedules providing details on each component of the capital structure;</t>
  </si>
  <si>
    <t>Description</t>
  </si>
  <si>
    <t>Capitalization Ratio</t>
  </si>
  <si>
    <t>Rate Base</t>
  </si>
  <si>
    <t>Embedded Cost</t>
  </si>
  <si>
    <t>Weighted Cost Rate</t>
  </si>
  <si>
    <t>13-Month Average Forecast Period, as of December 31, 2023</t>
  </si>
  <si>
    <t xml:space="preserve">Debt </t>
  </si>
  <si>
    <t>Equity</t>
  </si>
  <si>
    <t>Total</t>
  </si>
  <si>
    <t>Base Period, as of September 30, 2022</t>
  </si>
  <si>
    <t>Forecast Period, as of December 31, 2023</t>
  </si>
  <si>
    <t>Interest Synchronization</t>
  </si>
  <si>
    <t>13-Mo. Avg.,</t>
  </si>
  <si>
    <t>End of</t>
  </si>
  <si>
    <t>Forecast Period</t>
  </si>
  <si>
    <t>Base Period</t>
  </si>
  <si>
    <t>Weighted Cost of Debt</t>
  </si>
  <si>
    <t>Interest Expense</t>
  </si>
  <si>
    <t>Debt Issue</t>
  </si>
  <si>
    <t>Amount Outstanding</t>
  </si>
  <si>
    <t>Cost Rate</t>
  </si>
  <si>
    <t>Annualized Interest Expense</t>
  </si>
  <si>
    <t>Revolving Loan, $80 million limit</t>
  </si>
  <si>
    <t>Annualized Interest Rate</t>
  </si>
  <si>
    <t>Issue Date</t>
  </si>
  <si>
    <t>Maturity Date</t>
  </si>
  <si>
    <t>Original Principal</t>
  </si>
  <si>
    <t>Annual Issuance Expense Amortization</t>
  </si>
  <si>
    <t>Unamortized Issuance Expense</t>
  </si>
  <si>
    <t>Carrying Value</t>
  </si>
  <si>
    <t>6.58% Series 2006</t>
  </si>
  <si>
    <t>4.37%, Series 2018</t>
  </si>
  <si>
    <t>3.15%, Series 2020</t>
  </si>
  <si>
    <t>3.35%, Series 2020</t>
  </si>
  <si>
    <t>Revolver Interest Rate</t>
  </si>
  <si>
    <t>Rate</t>
  </si>
  <si>
    <t>MM</t>
  </si>
  <si>
    <t>13 mo avg</t>
  </si>
  <si>
    <t>Debt:</t>
  </si>
  <si>
    <t>balance</t>
  </si>
  <si>
    <t>unamort debt costs</t>
  </si>
  <si>
    <t>interest expense</t>
  </si>
  <si>
    <t>New Issuance</t>
  </si>
  <si>
    <t>see above</t>
  </si>
  <si>
    <t>Revolver</t>
  </si>
  <si>
    <t>Balance</t>
  </si>
  <si>
    <t>Total Debt Balance, net of Unamortized Debt Costs</t>
  </si>
  <si>
    <t>Equity:</t>
  </si>
  <si>
    <t>Common Stock</t>
  </si>
  <si>
    <t>Paid In Capital</t>
  </si>
  <si>
    <t>Retained Earnings</t>
  </si>
  <si>
    <t>Total Equity Balance</t>
  </si>
  <si>
    <t>Debt Ratio</t>
  </si>
  <si>
    <t>Equity Ratio</t>
  </si>
  <si>
    <t>Cost of Debt</t>
  </si>
  <si>
    <t>Contributions/(Dividends)</t>
  </si>
  <si>
    <t>Rolling avg</t>
  </si>
  <si>
    <t>CRU Capital Structure</t>
  </si>
  <si>
    <t>rate base from Exh 10</t>
  </si>
  <si>
    <t>Docket No. 2022-00147</t>
  </si>
  <si>
    <t>rate base from Exh 35</t>
  </si>
  <si>
    <t>Revolving Credit Facility - Corix Regulated Utilities (US), Inc.</t>
  </si>
  <si>
    <t>Long Term Debt Issuances - Corix Regulated Utilities (US), Inc.</t>
  </si>
  <si>
    <t>2022 Issuance Interest Rate</t>
  </si>
  <si>
    <t>Variable, Series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</si>
</sst>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  <numFmt numFmtId="170" formatCode="0.00000%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Courier"/>
      <family val="3"/>
    </font>
    <font>
      <sz val="10"/>
      <name val="Book Antiqua"/>
      <family val="1"/>
    </font>
    <font>
      <b/>
      <sz val="10"/>
      <color theme="1"/>
      <name val="Book Antiqua"/>
      <family val="1"/>
    </font>
    <font>
      <b/>
      <sz val="10"/>
      <color rgb="FFFF0000"/>
      <name val="Book Antiqua"/>
      <family val="1"/>
    </font>
    <font>
      <u/>
      <sz val="10"/>
      <color theme="1"/>
      <name val="Book Antiqua"/>
      <family val="1"/>
    </font>
    <font>
      <sz val="10"/>
      <color theme="1"/>
      <name val="Book Antiqua"/>
      <family val="1"/>
    </font>
    <font>
      <b/>
      <u/>
      <sz val="10"/>
      <color theme="1"/>
      <name val="Book Antiqua"/>
      <family val="1"/>
    </font>
    <font>
      <sz val="10"/>
      <name val="Arial"/>
      <family val="2"/>
    </font>
    <font>
      <sz val="10"/>
      <color rgb="FFFF0000"/>
      <name val="Book Antiqua"/>
      <family val="1"/>
    </font>
    <font>
      <sz val="10"/>
      <color rgb="FF0070C0"/>
      <name val="Book Antiqua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" fillId="0" borderId="0"/>
  </cellStyleXfs>
  <cellXfs count="95">
    <xf numFmtId="0" fontId="0" fillId="0" borderId="0" xfId="0"/>
    <xf numFmtId="164" fontId="3" fillId="0" borderId="0" xfId="0" applyNumberFormat="1" applyFont="1"/>
    <xf numFmtId="165" fontId="5" fillId="0" borderId="0" xfId="1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9" fontId="5" fillId="0" borderId="0" xfId="3" applyFont="1" applyFill="1" applyBorder="1" applyAlignment="1">
      <alignment horizontal="center"/>
    </xf>
    <xf numFmtId="0" fontId="3" fillId="0" borderId="0" xfId="0" applyFont="1"/>
    <xf numFmtId="165" fontId="5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/>
    <xf numFmtId="37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3" fillId="0" borderId="0" xfId="1" applyNumberFormat="1" applyFont="1" applyFill="1" applyBorder="1" applyAlignment="1">
      <alignment wrapText="1"/>
    </xf>
    <xf numFmtId="37" fontId="6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/>
    <xf numFmtId="37" fontId="8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5" fontId="5" fillId="0" borderId="0" xfId="1" applyNumberFormat="1" applyFont="1" applyBorder="1"/>
    <xf numFmtId="0" fontId="5" fillId="0" borderId="0" xfId="0" applyFont="1" applyAlignment="1">
      <alignment horizontal="center"/>
    </xf>
    <xf numFmtId="37" fontId="10" fillId="0" borderId="0" xfId="0" applyNumberFormat="1" applyFont="1"/>
    <xf numFmtId="37" fontId="9" fillId="0" borderId="0" xfId="0" applyNumberFormat="1" applyFont="1" applyAlignment="1">
      <alignment horizontal="left"/>
    </xf>
    <xf numFmtId="10" fontId="9" fillId="0" borderId="0" xfId="0" applyNumberFormat="1" applyFont="1"/>
    <xf numFmtId="37" fontId="5" fillId="0" borderId="0" xfId="0" applyNumberFormat="1" applyFont="1"/>
    <xf numFmtId="10" fontId="5" fillId="0" borderId="0" xfId="0" applyNumberFormat="1" applyFont="1"/>
    <xf numFmtId="10" fontId="5" fillId="0" borderId="2" xfId="0" applyNumberFormat="1" applyFont="1" applyBorder="1"/>
    <xf numFmtId="5" fontId="5" fillId="0" borderId="2" xfId="0" applyNumberFormat="1" applyFont="1" applyBorder="1"/>
    <xf numFmtId="43" fontId="5" fillId="0" borderId="0" xfId="1" applyFont="1" applyBorder="1"/>
    <xf numFmtId="37" fontId="10" fillId="0" borderId="0" xfId="0" applyNumberFormat="1" applyFont="1" applyAlignment="1">
      <alignment horizontal="left"/>
    </xf>
    <xf numFmtId="37" fontId="9" fillId="0" borderId="0" xfId="0" applyNumberFormat="1" applyFont="1"/>
    <xf numFmtId="5" fontId="5" fillId="0" borderId="0" xfId="0" applyNumberFormat="1" applyFont="1"/>
    <xf numFmtId="5" fontId="5" fillId="0" borderId="0" xfId="1" applyNumberFormat="1" applyFont="1"/>
    <xf numFmtId="7" fontId="5" fillId="0" borderId="0" xfId="0" applyNumberFormat="1" applyFont="1"/>
    <xf numFmtId="0" fontId="3" fillId="0" borderId="0" xfId="0" applyFont="1" applyAlignment="1">
      <alignment horizontal="left"/>
    </xf>
    <xf numFmtId="165" fontId="5" fillId="0" borderId="0" xfId="1" applyNumberFormat="1" applyFont="1" applyFill="1" applyBorder="1" applyAlignment="1">
      <alignment horizontal="fill"/>
    </xf>
    <xf numFmtId="166" fontId="5" fillId="0" borderId="0" xfId="3" applyNumberFormat="1" applyFont="1"/>
    <xf numFmtId="165" fontId="5" fillId="0" borderId="0" xfId="1" applyNumberFormat="1" applyFont="1"/>
    <xf numFmtId="43" fontId="5" fillId="0" borderId="0" xfId="0" applyNumberFormat="1" applyFont="1"/>
    <xf numFmtId="43" fontId="5" fillId="0" borderId="0" xfId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37" fontId="6" fillId="0" borderId="0" xfId="0" applyNumberFormat="1" applyFont="1" applyAlignment="1">
      <alignment horizontal="center" wrapText="1"/>
    </xf>
    <xf numFmtId="10" fontId="5" fillId="0" borderId="1" xfId="0" applyNumberFormat="1" applyFont="1" applyBorder="1"/>
    <xf numFmtId="165" fontId="3" fillId="0" borderId="0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10" fontId="5" fillId="0" borderId="0" xfId="3" applyNumberFormat="1" applyFont="1"/>
    <xf numFmtId="165" fontId="5" fillId="0" borderId="1" xfId="1" applyNumberFormat="1" applyFont="1" applyBorder="1"/>
    <xf numFmtId="0" fontId="12" fillId="0" borderId="0" xfId="0" applyFont="1"/>
    <xf numFmtId="14" fontId="3" fillId="0" borderId="1" xfId="0" applyNumberFormat="1" applyFont="1" applyBorder="1" applyAlignment="1">
      <alignment horizontal="center"/>
    </xf>
    <xf numFmtId="165" fontId="3" fillId="0" borderId="0" xfId="1" applyNumberFormat="1" applyFont="1"/>
    <xf numFmtId="10" fontId="3" fillId="0" borderId="0" xfId="3" applyNumberFormat="1" applyFont="1"/>
    <xf numFmtId="14" fontId="5" fillId="0" borderId="0" xfId="0" applyNumberFormat="1" applyFont="1" applyAlignment="1">
      <alignment horizontal="center"/>
    </xf>
    <xf numFmtId="10" fontId="12" fillId="0" borderId="0" xfId="3" applyNumberFormat="1" applyFont="1"/>
    <xf numFmtId="0" fontId="13" fillId="0" borderId="0" xfId="0" applyFont="1"/>
    <xf numFmtId="10" fontId="13" fillId="0" borderId="0" xfId="3" applyNumberFormat="1" applyFont="1"/>
    <xf numFmtId="165" fontId="13" fillId="0" borderId="0" xfId="1" applyNumberFormat="1" applyFont="1"/>
    <xf numFmtId="167" fontId="5" fillId="0" borderId="0" xfId="2" applyNumberFormat="1" applyFont="1"/>
    <xf numFmtId="10" fontId="5" fillId="0" borderId="6" xfId="3" applyNumberFormat="1" applyFont="1" applyBorder="1"/>
    <xf numFmtId="167" fontId="5" fillId="0" borderId="2" xfId="2" applyNumberFormat="1" applyFont="1" applyBorder="1"/>
    <xf numFmtId="0" fontId="6" fillId="0" borderId="0" xfId="0" applyFont="1"/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5" fillId="2" borderId="0" xfId="0" applyFont="1" applyFill="1"/>
    <xf numFmtId="165" fontId="9" fillId="0" borderId="0" xfId="1" applyNumberFormat="1" applyFont="1"/>
    <xf numFmtId="165" fontId="9" fillId="0" borderId="0" xfId="1" applyNumberFormat="1" applyFont="1" applyAlignment="1">
      <alignment horizontal="center"/>
    </xf>
    <xf numFmtId="165" fontId="5" fillId="0" borderId="0" xfId="1" applyNumberFormat="1" applyFont="1" applyFill="1"/>
    <xf numFmtId="10" fontId="12" fillId="3" borderId="0" xfId="3" applyNumberFormat="1" applyFont="1" applyFill="1"/>
    <xf numFmtId="14" fontId="3" fillId="3" borderId="1" xfId="0" applyNumberFormat="1" applyFont="1" applyFill="1" applyBorder="1" applyAlignment="1">
      <alignment horizontal="center"/>
    </xf>
    <xf numFmtId="165" fontId="5" fillId="3" borderId="0" xfId="1" applyNumberFormat="1" applyFont="1" applyFill="1"/>
    <xf numFmtId="165" fontId="3" fillId="3" borderId="0" xfId="1" applyNumberFormat="1" applyFont="1" applyFill="1"/>
    <xf numFmtId="10" fontId="3" fillId="3" borderId="0" xfId="3" applyNumberFormat="1" applyFont="1" applyFill="1"/>
    <xf numFmtId="10" fontId="5" fillId="3" borderId="0" xfId="3" applyNumberFormat="1" applyFont="1" applyFill="1"/>
    <xf numFmtId="10" fontId="13" fillId="3" borderId="0" xfId="3" applyNumberFormat="1" applyFont="1" applyFill="1"/>
    <xf numFmtId="165" fontId="13" fillId="3" borderId="0" xfId="1" applyNumberFormat="1" applyFont="1" applyFill="1"/>
    <xf numFmtId="0" fontId="13" fillId="3" borderId="0" xfId="0" applyFont="1" applyFill="1"/>
    <xf numFmtId="10" fontId="5" fillId="3" borderId="0" xfId="0" applyNumberFormat="1" applyFont="1" applyFill="1"/>
    <xf numFmtId="0" fontId="5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5" fontId="5" fillId="3" borderId="0" xfId="0" applyNumberFormat="1" applyFont="1" applyFill="1"/>
    <xf numFmtId="10" fontId="5" fillId="0" borderId="0" xfId="3" applyNumberFormat="1" applyFont="1" applyFill="1"/>
    <xf numFmtId="10" fontId="5" fillId="0" borderId="0" xfId="0" applyNumberFormat="1" applyFont="1" applyFill="1"/>
    <xf numFmtId="37" fontId="5" fillId="0" borderId="0" xfId="0" applyNumberFormat="1" applyFont="1" applyFill="1"/>
    <xf numFmtId="10" fontId="5" fillId="2" borderId="0" xfId="0" applyNumberFormat="1" applyFont="1" applyFill="1"/>
    <xf numFmtId="165" fontId="5" fillId="2" borderId="0" xfId="1" applyNumberFormat="1" applyFont="1" applyFill="1"/>
    <xf numFmtId="0" fontId="14" fillId="0" borderId="7" xfId="5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0" fontId="5" fillId="0" borderId="0" xfId="3" applyNumberFormat="1" applyFont="1"/>
    <xf numFmtId="170" fontId="5" fillId="0" borderId="0" xfId="0" applyNumberFormat="1" applyFont="1"/>
    <xf numFmtId="170" fontId="12" fillId="3" borderId="0" xfId="0" applyNumberFormat="1" applyFont="1" applyFill="1"/>
    <xf numFmtId="170" fontId="12" fillId="0" borderId="0" xfId="3" applyNumberFormat="1" applyFont="1"/>
    <xf numFmtId="170" fontId="12" fillId="3" borderId="0" xfId="3" applyNumberFormat="1" applyFont="1" applyFill="1"/>
  </cellXfs>
  <cellStyles count="6">
    <cellStyle name="Comma" xfId="1" builtinId="3"/>
    <cellStyle name="Currency" xfId="2" builtinId="4"/>
    <cellStyle name="Normal" xfId="0" builtinId="0"/>
    <cellStyle name="Normal 2" xfId="4" xr:uid="{624516F5-CD11-4246-BE2F-1170FFC6CACA}"/>
    <cellStyle name="Normal 6" xfId="5" xr:uid="{80E0123F-1F1A-46F8-AA08-E098DE5EC5B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Regulatory-Kentucky/Shared%20Documents/Kentucky/WSCKY%202022%20Rate%20Case/Template/Rate%20Filing%20Template%20MSW%20%20-%20as%20Fil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put Schedules &gt;&gt;"/>
      <sheetName val="Allocation Table"/>
      <sheetName val="Fusion Chart of Accounts"/>
      <sheetName val="Index"/>
      <sheetName val="Trial Balance Schedules &gt;&gt;"/>
      <sheetName val="Fusion TB Drop"/>
      <sheetName val="Linked TB"/>
      <sheetName val="Lead Exhibits &gt;&gt;"/>
      <sheetName val="Balance Sheet (2)"/>
      <sheetName val="Rate Base"/>
      <sheetName val="Income Statement"/>
      <sheetName val="3 Yr Income Stmt"/>
      <sheetName val="7+5"/>
      <sheetName val="Balance Sheet"/>
      <sheetName val="BY Balance Sheet"/>
      <sheetName val="Adjustment Work Papers &gt;&gt;"/>
      <sheetName val="Schedule A &gt;&gt;"/>
      <sheetName val="Plant in Service"/>
      <sheetName val="Accum Depr"/>
      <sheetName val="Cash Working Capital"/>
      <sheetName val="CIAC"/>
      <sheetName val="CTA"/>
      <sheetName val="ADIT"/>
      <sheetName val="Customer Deposits"/>
      <sheetName val="Inventory"/>
      <sheetName val="Oracle Fusion Asset"/>
      <sheetName val="PAA"/>
      <sheetName val="Excess Book Value"/>
      <sheetName val="Cost Free Capital"/>
      <sheetName val="Average Tax Accruals"/>
      <sheetName val="Excess Deferred Taxes"/>
      <sheetName val="Deferred Charges"/>
      <sheetName val="Proforma Plant"/>
      <sheetName val="Exhibit B Support&gt;&gt;"/>
      <sheetName val="Revenue"/>
      <sheetName val="Uncollectibles"/>
      <sheetName val="Forfeited Discounts"/>
      <sheetName val="Salary &amp; Wages"/>
      <sheetName val="Salary Captime"/>
      <sheetName val="Purchase Power"/>
      <sheetName val="Purchased Water &amp; Sewer"/>
      <sheetName val="Maintenance &amp; Repair"/>
      <sheetName val="Maintenance Testing"/>
      <sheetName val="Meter Reading"/>
      <sheetName val="Chemicals"/>
      <sheetName val="Transportation Expense"/>
      <sheetName val="Outside Service"/>
      <sheetName val="Office Supplies &amp; Other Exp"/>
      <sheetName val="Regulatory Commission Exp"/>
      <sheetName val="Pension &amp; Other Benefits "/>
      <sheetName val="Rent"/>
      <sheetName val="Insurance"/>
      <sheetName val="Office Utilities"/>
      <sheetName val="Miscellaneous &amp; Travel"/>
      <sheetName val="Depreciation Expense"/>
      <sheetName val="PAA Amortization"/>
      <sheetName val="ITC Amortization"/>
      <sheetName val="CIAC Amortization"/>
      <sheetName val="TOTI"/>
      <sheetName val="Income Taxes"/>
      <sheetName val="Exhibits F &gt;&gt;"/>
      <sheetName val="Cap Structure &amp; Cost of Debt"/>
      <sheetName val="Required Return"/>
      <sheetName val="Gross Revenue Requirement"/>
      <sheetName val="Service Revenue Requir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 t="str">
            <v>Water Service Company of Kentucky</v>
          </cell>
        </row>
      </sheetData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FF39-0032-4AE2-9100-E3519082362C}">
  <sheetPr>
    <tabColor rgb="FFFF0000"/>
  </sheetPr>
  <dimension ref="A1:T185"/>
  <sheetViews>
    <sheetView zoomScaleNormal="100" workbookViewId="0">
      <selection activeCell="J11" sqref="J11:J13"/>
    </sheetView>
  </sheetViews>
  <sheetFormatPr defaultColWidth="9" defaultRowHeight="13.5" x14ac:dyDescent="0.25"/>
  <cols>
    <col min="1" max="1" width="6.625" style="3" customWidth="1"/>
    <col min="2" max="2" width="3.5" style="2" customWidth="1"/>
    <col min="3" max="3" width="19.875" style="3" customWidth="1"/>
    <col min="4" max="4" width="3.5" style="2" customWidth="1"/>
    <col min="5" max="5" width="12.75" style="3" customWidth="1"/>
    <col min="6" max="6" width="3.5" style="2" customWidth="1"/>
    <col min="7" max="7" width="13.75" style="3" customWidth="1"/>
    <col min="8" max="8" width="3.5" style="2" customWidth="1"/>
    <col min="9" max="9" width="12.25" style="3" customWidth="1"/>
    <col min="10" max="10" width="3.5" style="2" customWidth="1"/>
    <col min="11" max="11" width="11.75" style="3" customWidth="1"/>
    <col min="12" max="12" width="9" style="3"/>
    <col min="13" max="13" width="13.25" style="3" bestFit="1" customWidth="1"/>
    <col min="14" max="14" width="11" style="3" bestFit="1" customWidth="1"/>
    <col min="15" max="15" width="9.625" style="3" bestFit="1" customWidth="1"/>
    <col min="16" max="16" width="10" style="3" customWidth="1"/>
    <col min="17" max="17" width="9.75" style="3" bestFit="1" customWidth="1"/>
    <col min="18" max="18" width="9.625" style="3" bestFit="1" customWidth="1"/>
    <col min="19" max="19" width="12" style="3" customWidth="1"/>
    <col min="20" max="20" width="9.25" style="3" bestFit="1" customWidth="1"/>
    <col min="21" max="16384" width="9" style="3"/>
  </cols>
  <sheetData>
    <row r="1" spans="1:20" ht="15" x14ac:dyDescent="0.3">
      <c r="A1" s="60" t="s">
        <v>0</v>
      </c>
      <c r="G1" s="5" t="s">
        <v>1</v>
      </c>
    </row>
    <row r="2" spans="1:20" ht="15" x14ac:dyDescent="0.3">
      <c r="A2" s="1" t="s">
        <v>2</v>
      </c>
    </row>
    <row r="3" spans="1:20" ht="15" x14ac:dyDescent="0.3">
      <c r="A3" s="1" t="s">
        <v>3</v>
      </c>
    </row>
    <row r="4" spans="1:20" x14ac:dyDescent="0.25">
      <c r="B4" s="6"/>
      <c r="D4" s="6"/>
      <c r="F4" s="6"/>
      <c r="H4" s="6"/>
      <c r="J4" s="6"/>
    </row>
    <row r="5" spans="1:20" x14ac:dyDescent="0.25">
      <c r="B5" s="8"/>
      <c r="D5" s="8"/>
      <c r="F5" s="8"/>
      <c r="H5" s="8"/>
      <c r="J5" s="8"/>
    </row>
    <row r="7" spans="1:20" s="14" customFormat="1" ht="30" x14ac:dyDescent="0.3">
      <c r="A7" s="11" t="s">
        <v>4</v>
      </c>
      <c r="B7" s="12"/>
      <c r="C7" s="13" t="s">
        <v>5</v>
      </c>
      <c r="D7" s="12"/>
      <c r="E7" s="13" t="s">
        <v>6</v>
      </c>
      <c r="F7" s="12"/>
      <c r="G7" s="13" t="s">
        <v>7</v>
      </c>
      <c r="H7" s="12" t="s">
        <v>8</v>
      </c>
      <c r="J7" s="2"/>
      <c r="K7" s="3"/>
      <c r="N7" s="15"/>
    </row>
    <row r="8" spans="1:20" s="14" customFormat="1" ht="15" x14ac:dyDescent="0.3">
      <c r="A8" s="40"/>
      <c r="B8" s="12"/>
      <c r="C8" s="41"/>
      <c r="D8" s="12"/>
      <c r="E8" s="41"/>
      <c r="F8" s="12"/>
      <c r="G8" s="41"/>
      <c r="H8" s="12"/>
      <c r="I8" s="3"/>
      <c r="J8" s="2"/>
      <c r="K8" s="3"/>
      <c r="N8" s="15"/>
    </row>
    <row r="9" spans="1:20" s="14" customFormat="1" ht="15" x14ac:dyDescent="0.3">
      <c r="A9" s="1" t="s">
        <v>9</v>
      </c>
      <c r="B9" s="12"/>
      <c r="C9" s="41"/>
      <c r="D9" s="12"/>
      <c r="E9" s="41"/>
      <c r="F9" s="12"/>
      <c r="G9" s="41"/>
      <c r="H9" s="12"/>
      <c r="I9" s="3"/>
      <c r="J9" s="2"/>
      <c r="K9" s="3"/>
      <c r="N9" s="15"/>
    </row>
    <row r="10" spans="1:20" ht="15" x14ac:dyDescent="0.3">
      <c r="C10" s="20"/>
      <c r="E10" s="17"/>
      <c r="G10" s="17"/>
      <c r="Q10" s="18"/>
      <c r="T10" s="18"/>
    </row>
    <row r="11" spans="1:20" x14ac:dyDescent="0.25">
      <c r="A11" s="19">
        <v>1</v>
      </c>
      <c r="C11" s="62">
        <v>2022</v>
      </c>
      <c r="E11" s="64">
        <f>+I11*0.5</f>
        <v>0</v>
      </c>
      <c r="G11" s="65">
        <f>+I11*0.5</f>
        <v>0</v>
      </c>
      <c r="I11" s="63"/>
      <c r="J11" s="3" t="s">
        <v>10</v>
      </c>
      <c r="Q11" s="18"/>
      <c r="T11" s="18"/>
    </row>
    <row r="12" spans="1:20" x14ac:dyDescent="0.25">
      <c r="A12" s="19">
        <f>A11+1</f>
        <v>2</v>
      </c>
      <c r="C12" s="62">
        <v>2023</v>
      </c>
      <c r="E12" s="64">
        <f>+I12*0.5</f>
        <v>0</v>
      </c>
      <c r="G12" s="65">
        <f>+I12*0.5</f>
        <v>0</v>
      </c>
      <c r="I12" s="63"/>
      <c r="J12" s="3" t="s">
        <v>10</v>
      </c>
    </row>
    <row r="13" spans="1:20" x14ac:dyDescent="0.25">
      <c r="A13" s="19">
        <f>A12+1</f>
        <v>3</v>
      </c>
      <c r="C13" s="62">
        <v>2024</v>
      </c>
      <c r="E13" s="64">
        <f>+I13*0.5</f>
        <v>0</v>
      </c>
      <c r="G13" s="65">
        <f>+I13*0.5</f>
        <v>0</v>
      </c>
      <c r="I13" s="63"/>
      <c r="J13" s="3" t="s">
        <v>10</v>
      </c>
    </row>
    <row r="14" spans="1:20" x14ac:dyDescent="0.25">
      <c r="A14" s="19"/>
      <c r="E14" s="22"/>
      <c r="G14" s="17"/>
      <c r="Q14" s="27"/>
      <c r="T14" s="27"/>
    </row>
    <row r="15" spans="1:20" ht="15" x14ac:dyDescent="0.3">
      <c r="A15" s="1"/>
      <c r="E15" s="22"/>
      <c r="G15" s="17"/>
      <c r="I15" s="22"/>
      <c r="K15" s="22"/>
      <c r="M15" s="36"/>
      <c r="N15" s="36"/>
      <c r="O15" s="36"/>
      <c r="P15" s="36"/>
      <c r="Q15" s="61"/>
      <c r="R15" s="36"/>
      <c r="T15" s="27"/>
    </row>
    <row r="16" spans="1:20" ht="15" x14ac:dyDescent="0.3">
      <c r="A16" s="19"/>
      <c r="C16" s="28"/>
      <c r="E16" s="22"/>
      <c r="G16" s="17"/>
      <c r="I16" s="22"/>
      <c r="K16" s="22"/>
      <c r="M16" s="36"/>
      <c r="N16" s="36"/>
      <c r="O16" s="36"/>
      <c r="P16" s="36"/>
      <c r="Q16" s="61"/>
      <c r="R16" s="36"/>
      <c r="T16" s="27"/>
    </row>
    <row r="17" spans="1:20" ht="15" x14ac:dyDescent="0.3">
      <c r="A17" s="7" t="s">
        <v>11</v>
      </c>
      <c r="C17" s="62"/>
      <c r="E17" s="22"/>
      <c r="G17" s="17"/>
      <c r="I17" s="22"/>
      <c r="K17" s="22"/>
      <c r="M17" s="36"/>
      <c r="N17" s="36"/>
      <c r="O17" s="36"/>
      <c r="P17" s="36"/>
      <c r="Q17" s="36"/>
      <c r="R17" s="36"/>
    </row>
    <row r="18" spans="1:20" x14ac:dyDescent="0.25">
      <c r="A18" s="19"/>
      <c r="C18" s="62"/>
      <c r="E18" s="22"/>
      <c r="G18" s="17"/>
      <c r="I18" s="22"/>
      <c r="K18" s="22"/>
      <c r="L18" s="30"/>
      <c r="M18" s="30"/>
      <c r="O18" s="30"/>
      <c r="Q18" s="27"/>
      <c r="T18" s="27"/>
    </row>
    <row r="19" spans="1:20" x14ac:dyDescent="0.25">
      <c r="A19" s="19"/>
      <c r="C19" s="62"/>
      <c r="E19" s="22"/>
      <c r="G19" s="17"/>
      <c r="I19" s="22"/>
      <c r="K19" s="22"/>
      <c r="L19" s="23"/>
      <c r="M19" s="30"/>
      <c r="N19" s="31"/>
      <c r="O19" s="32"/>
      <c r="P19" s="30"/>
    </row>
    <row r="20" spans="1:20" ht="15" x14ac:dyDescent="0.3">
      <c r="A20" s="33"/>
      <c r="B20" s="9"/>
      <c r="C20" s="7"/>
      <c r="D20" s="9"/>
      <c r="E20" s="22"/>
      <c r="G20" s="17"/>
      <c r="I20" s="22"/>
      <c r="K20" s="22"/>
      <c r="M20" s="30"/>
    </row>
    <row r="21" spans="1:20" ht="15" x14ac:dyDescent="0.3">
      <c r="A21" s="1"/>
      <c r="B21" s="9"/>
      <c r="C21" s="7"/>
      <c r="D21" s="9"/>
      <c r="E21" s="22"/>
      <c r="G21" s="17"/>
      <c r="I21" s="22"/>
      <c r="K21" s="22"/>
      <c r="M21" s="30"/>
    </row>
    <row r="22" spans="1:20" ht="15" x14ac:dyDescent="0.3">
      <c r="A22" s="19"/>
      <c r="C22" s="20"/>
      <c r="E22" s="22"/>
      <c r="G22" s="17"/>
      <c r="I22" s="22"/>
      <c r="K22" s="22"/>
      <c r="M22" s="30"/>
    </row>
    <row r="23" spans="1:20" x14ac:dyDescent="0.25">
      <c r="A23" s="19"/>
      <c r="C23" s="62"/>
      <c r="E23" s="22"/>
      <c r="G23" s="17"/>
      <c r="I23" s="22"/>
      <c r="K23" s="22"/>
      <c r="M23" s="30"/>
    </row>
    <row r="24" spans="1:20" x14ac:dyDescent="0.25">
      <c r="A24" s="19"/>
      <c r="C24" s="62"/>
      <c r="E24" s="22"/>
      <c r="G24" s="17"/>
      <c r="I24" s="22"/>
      <c r="K24" s="22"/>
      <c r="M24" s="30"/>
    </row>
    <row r="25" spans="1:20" x14ac:dyDescent="0.25">
      <c r="A25" s="19"/>
      <c r="C25" s="62"/>
      <c r="E25" s="22"/>
      <c r="G25" s="17"/>
      <c r="I25" s="22"/>
      <c r="K25" s="22"/>
      <c r="M25" s="30"/>
      <c r="N25" s="35"/>
    </row>
    <row r="26" spans="1:20" x14ac:dyDescent="0.25">
      <c r="A26" s="19"/>
      <c r="E26" s="22"/>
      <c r="G26" s="17"/>
      <c r="I26" s="22"/>
      <c r="K26" s="22"/>
      <c r="M26" s="30"/>
    </row>
    <row r="27" spans="1:20" x14ac:dyDescent="0.25">
      <c r="E27" s="22"/>
      <c r="G27" s="17"/>
      <c r="I27" s="22"/>
      <c r="K27" s="22"/>
    </row>
    <row r="28" spans="1:20" ht="15" x14ac:dyDescent="0.3">
      <c r="A28" s="7"/>
      <c r="E28" s="22"/>
      <c r="G28" s="17"/>
      <c r="I28" s="22"/>
      <c r="K28" s="22"/>
    </row>
    <row r="29" spans="1:20" x14ac:dyDescent="0.25">
      <c r="E29" s="22"/>
      <c r="G29" s="17"/>
      <c r="I29" s="22"/>
      <c r="K29" s="22"/>
    </row>
    <row r="30" spans="1:20" x14ac:dyDescent="0.25">
      <c r="A30" s="19"/>
      <c r="E30" s="22"/>
      <c r="G30" s="17"/>
      <c r="I30" s="22"/>
      <c r="K30" s="22"/>
      <c r="M30" s="30"/>
    </row>
    <row r="31" spans="1:20" x14ac:dyDescent="0.25">
      <c r="A31" s="19"/>
      <c r="E31" s="22"/>
      <c r="G31" s="17"/>
      <c r="I31" s="22"/>
      <c r="K31" s="22"/>
      <c r="M31" s="36"/>
      <c r="N31" s="37"/>
    </row>
    <row r="32" spans="1:20" x14ac:dyDescent="0.25">
      <c r="A32" s="19"/>
      <c r="E32" s="22"/>
      <c r="G32" s="17"/>
      <c r="I32" s="22"/>
      <c r="K32" s="22"/>
    </row>
    <row r="33" spans="1:11" x14ac:dyDescent="0.25">
      <c r="A33" s="19"/>
      <c r="E33" s="22"/>
      <c r="G33" s="17"/>
      <c r="I33" s="22"/>
      <c r="K33" s="22"/>
    </row>
    <row r="34" spans="1:11" x14ac:dyDescent="0.25">
      <c r="A34" s="19"/>
    </row>
    <row r="42" spans="1:11" x14ac:dyDescent="0.25">
      <c r="B42" s="34"/>
      <c r="D42" s="34"/>
      <c r="F42" s="34"/>
      <c r="H42" s="34"/>
      <c r="J42" s="34"/>
    </row>
    <row r="44" spans="1:11" x14ac:dyDescent="0.25">
      <c r="B44" s="34"/>
      <c r="D44" s="34"/>
      <c r="F44" s="34"/>
      <c r="H44" s="34"/>
      <c r="J44" s="34"/>
    </row>
    <row r="46" spans="1:11" x14ac:dyDescent="0.25">
      <c r="B46" s="34"/>
      <c r="D46" s="34"/>
      <c r="F46" s="34"/>
      <c r="H46" s="34"/>
      <c r="J46" s="34"/>
    </row>
    <row r="47" spans="1:11" x14ac:dyDescent="0.25">
      <c r="B47" s="34"/>
      <c r="D47" s="34"/>
      <c r="F47" s="34"/>
      <c r="H47" s="34"/>
      <c r="J47" s="34"/>
    </row>
    <row r="48" spans="1:11" x14ac:dyDescent="0.25">
      <c r="B48" s="38"/>
      <c r="D48" s="38"/>
      <c r="F48" s="38"/>
      <c r="H48" s="38"/>
      <c r="J48" s="38"/>
    </row>
    <row r="49" spans="2:10" x14ac:dyDescent="0.25">
      <c r="B49" s="38"/>
      <c r="D49" s="38"/>
      <c r="F49" s="38"/>
      <c r="H49" s="38"/>
      <c r="J49" s="38"/>
    </row>
    <row r="58" spans="2:10" x14ac:dyDescent="0.25">
      <c r="B58" s="6"/>
      <c r="D58" s="6"/>
      <c r="F58" s="6"/>
      <c r="H58" s="6"/>
      <c r="J58" s="6"/>
    </row>
    <row r="59" spans="2:10" x14ac:dyDescent="0.25">
      <c r="B59" s="8"/>
      <c r="D59" s="8"/>
      <c r="F59" s="8"/>
      <c r="H59" s="8"/>
      <c r="J59" s="8"/>
    </row>
    <row r="81" spans="2:10" x14ac:dyDescent="0.25">
      <c r="B81" s="34"/>
      <c r="D81" s="34"/>
      <c r="F81" s="34"/>
      <c r="H81" s="34"/>
      <c r="J81" s="34"/>
    </row>
    <row r="93" spans="2:10" x14ac:dyDescent="0.25">
      <c r="B93" s="34"/>
      <c r="D93" s="34"/>
      <c r="F93" s="34"/>
      <c r="H93" s="34"/>
      <c r="J93" s="34"/>
    </row>
    <row r="108" spans="2:10" x14ac:dyDescent="0.25">
      <c r="B108" s="34"/>
      <c r="D108" s="34"/>
      <c r="F108" s="34"/>
      <c r="H108" s="34"/>
      <c r="J108" s="34"/>
    </row>
    <row r="110" spans="2:10" x14ac:dyDescent="0.25">
      <c r="B110" s="34"/>
      <c r="D110" s="34"/>
      <c r="F110" s="34"/>
      <c r="H110" s="34"/>
      <c r="J110" s="34"/>
    </row>
    <row r="112" spans="2:10" x14ac:dyDescent="0.25">
      <c r="B112" s="34"/>
      <c r="D112" s="34"/>
      <c r="F112" s="34"/>
      <c r="H112" s="34"/>
      <c r="J112" s="34"/>
    </row>
    <row r="113" spans="2:10" x14ac:dyDescent="0.25">
      <c r="B113" s="34"/>
      <c r="D113" s="34"/>
      <c r="F113" s="34"/>
      <c r="H113" s="34"/>
      <c r="J113" s="34"/>
    </row>
    <row r="118" spans="2:10" x14ac:dyDescent="0.25">
      <c r="B118" s="39"/>
      <c r="D118" s="39"/>
      <c r="F118" s="39"/>
      <c r="H118" s="39"/>
      <c r="J118" s="39"/>
    </row>
    <row r="123" spans="2:10" x14ac:dyDescent="0.25">
      <c r="B123" s="6"/>
      <c r="D123" s="6"/>
      <c r="F123" s="6"/>
      <c r="H123" s="6"/>
      <c r="J123" s="6"/>
    </row>
    <row r="124" spans="2:10" x14ac:dyDescent="0.25">
      <c r="B124" s="8"/>
      <c r="D124" s="8"/>
      <c r="F124" s="8"/>
      <c r="H124" s="8"/>
      <c r="J124" s="8"/>
    </row>
    <row r="146" spans="2:10" x14ac:dyDescent="0.25">
      <c r="B146" s="34"/>
      <c r="D146" s="34"/>
      <c r="F146" s="34"/>
      <c r="H146" s="34"/>
      <c r="J146" s="34"/>
    </row>
    <row r="158" spans="2:10" x14ac:dyDescent="0.25">
      <c r="B158" s="34"/>
      <c r="D158" s="34"/>
      <c r="F158" s="34"/>
      <c r="H158" s="34"/>
      <c r="J158" s="34"/>
    </row>
    <row r="173" spans="2:10" x14ac:dyDescent="0.25">
      <c r="B173" s="34"/>
      <c r="D173" s="34"/>
      <c r="F173" s="34"/>
      <c r="H173" s="34"/>
      <c r="J173" s="34"/>
    </row>
    <row r="175" spans="2:10" x14ac:dyDescent="0.25">
      <c r="B175" s="34"/>
      <c r="D175" s="34"/>
      <c r="F175" s="34"/>
      <c r="H175" s="34"/>
      <c r="J175" s="34"/>
    </row>
    <row r="177" spans="2:10" x14ac:dyDescent="0.25">
      <c r="B177" s="34"/>
      <c r="D177" s="34"/>
      <c r="F177" s="34"/>
      <c r="H177" s="34"/>
      <c r="J177" s="34"/>
    </row>
    <row r="178" spans="2:10" x14ac:dyDescent="0.25">
      <c r="B178" s="34"/>
      <c r="D178" s="34"/>
      <c r="F178" s="34"/>
      <c r="H178" s="34"/>
      <c r="J178" s="34"/>
    </row>
    <row r="183" spans="2:10" x14ac:dyDescent="0.25">
      <c r="B183" s="39"/>
      <c r="D183" s="39"/>
      <c r="F183" s="39"/>
      <c r="H183" s="39"/>
      <c r="J183" s="39"/>
    </row>
    <row r="185" spans="2:10" x14ac:dyDescent="0.25">
      <c r="B185" s="39"/>
      <c r="D185" s="39"/>
      <c r="F185" s="39"/>
      <c r="H185" s="39"/>
      <c r="J185" s="39"/>
    </row>
  </sheetData>
  <pageMargins left="1" right="1" top="1.5" bottom="1" header="1" footer="1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1273-E692-4E2D-994E-BA688CE7C70E}">
  <sheetPr>
    <tabColor rgb="FF92D050"/>
    <pageSetUpPr fitToPage="1"/>
  </sheetPr>
  <dimension ref="A1:U185"/>
  <sheetViews>
    <sheetView tabSelected="1" zoomScaleNormal="100" workbookViewId="0">
      <selection activeCell="M12" sqref="M12"/>
    </sheetView>
  </sheetViews>
  <sheetFormatPr defaultColWidth="9" defaultRowHeight="13.5" x14ac:dyDescent="0.25"/>
  <cols>
    <col min="1" max="1" width="6.625" style="3" customWidth="1"/>
    <col min="2" max="2" width="3.5" style="2" customWidth="1"/>
    <col min="3" max="3" width="21.75" style="3" customWidth="1"/>
    <col min="4" max="4" width="3.5" style="2" customWidth="1"/>
    <col min="5" max="5" width="12.75" style="3" customWidth="1"/>
    <col min="6" max="6" width="3.5" style="2" customWidth="1"/>
    <col min="7" max="7" width="13.75" style="3" customWidth="1"/>
    <col min="8" max="8" width="3.5" style="2" customWidth="1"/>
    <col min="9" max="9" width="12.25" style="3" customWidth="1"/>
    <col min="10" max="10" width="3.5" style="2" customWidth="1"/>
    <col min="11" max="11" width="11.75" style="3" customWidth="1"/>
    <col min="12" max="12" width="9" style="3"/>
    <col min="13" max="13" width="13.125" style="3" bestFit="1" customWidth="1"/>
    <col min="14" max="14" width="10.875" style="3" bestFit="1" customWidth="1"/>
    <col min="15" max="15" width="9" style="3"/>
    <col min="16" max="16" width="27.125" style="3" bestFit="1" customWidth="1"/>
    <col min="17" max="17" width="9.125" style="3" bestFit="1" customWidth="1"/>
    <col min="18" max="18" width="9" style="3"/>
    <col min="19" max="19" width="27.125" style="3" bestFit="1" customWidth="1"/>
    <col min="20" max="20" width="9.25" style="3" bestFit="1" customWidth="1"/>
    <col min="21" max="16384" width="9" style="3"/>
  </cols>
  <sheetData>
    <row r="1" spans="1:21" ht="15" x14ac:dyDescent="0.3">
      <c r="A1" s="60" t="s">
        <v>0</v>
      </c>
      <c r="K1" s="5" t="s">
        <v>12</v>
      </c>
    </row>
    <row r="2" spans="1:21" ht="15" x14ac:dyDescent="0.3">
      <c r="A2" s="1" t="s">
        <v>75</v>
      </c>
    </row>
    <row r="3" spans="1:21" ht="15" x14ac:dyDescent="0.3">
      <c r="A3" s="1" t="s">
        <v>13</v>
      </c>
    </row>
    <row r="4" spans="1:21" x14ac:dyDescent="0.25">
      <c r="B4" s="6"/>
      <c r="D4" s="6"/>
      <c r="F4" s="6"/>
      <c r="H4" s="6"/>
      <c r="J4" s="6"/>
      <c r="O4" s="3" t="s">
        <v>14</v>
      </c>
    </row>
    <row r="5" spans="1:21" x14ac:dyDescent="0.25">
      <c r="B5" s="8"/>
      <c r="D5" s="8"/>
      <c r="F5" s="8"/>
      <c r="H5" s="8"/>
      <c r="J5" s="8"/>
      <c r="O5" s="86" t="s">
        <v>15</v>
      </c>
      <c r="P5" s="86"/>
      <c r="Q5" s="86"/>
      <c r="R5" s="86"/>
      <c r="S5" s="86"/>
      <c r="T5" s="86"/>
      <c r="U5" s="86"/>
    </row>
    <row r="6" spans="1:21" x14ac:dyDescent="0.25">
      <c r="O6" s="86"/>
      <c r="P6" s="86"/>
      <c r="Q6" s="86"/>
      <c r="R6" s="86"/>
      <c r="S6" s="86"/>
      <c r="T6" s="86"/>
      <c r="U6" s="86"/>
    </row>
    <row r="7" spans="1:21" s="14" customFormat="1" ht="30" x14ac:dyDescent="0.3">
      <c r="A7" s="11" t="s">
        <v>4</v>
      </c>
      <c r="B7" s="12"/>
      <c r="C7" s="13" t="s">
        <v>16</v>
      </c>
      <c r="D7" s="12"/>
      <c r="E7" s="13" t="s">
        <v>17</v>
      </c>
      <c r="F7" s="12"/>
      <c r="G7" s="13" t="s">
        <v>18</v>
      </c>
      <c r="H7" s="12" t="s">
        <v>8</v>
      </c>
      <c r="I7" s="13" t="s">
        <v>19</v>
      </c>
      <c r="J7" s="12" t="s">
        <v>8</v>
      </c>
      <c r="K7" s="13" t="s">
        <v>20</v>
      </c>
      <c r="N7" s="15"/>
      <c r="O7" s="86"/>
      <c r="P7" s="86"/>
      <c r="Q7" s="86"/>
      <c r="R7" s="86"/>
      <c r="S7" s="86"/>
      <c r="T7" s="86"/>
      <c r="U7" s="86"/>
    </row>
    <row r="8" spans="1:21" s="14" customFormat="1" ht="15" x14ac:dyDescent="0.3">
      <c r="A8" s="40"/>
      <c r="B8" s="12"/>
      <c r="C8" s="41"/>
      <c r="D8" s="12"/>
      <c r="E8" s="17"/>
      <c r="F8" s="2"/>
      <c r="G8" s="17"/>
      <c r="H8" s="2"/>
      <c r="I8" s="17"/>
      <c r="J8" s="2"/>
      <c r="K8" s="17"/>
      <c r="N8" s="15"/>
    </row>
    <row r="9" spans="1:21" ht="15" x14ac:dyDescent="0.3">
      <c r="A9" s="1" t="s">
        <v>21</v>
      </c>
      <c r="C9" s="16"/>
      <c r="F9" s="3"/>
      <c r="H9" s="3"/>
      <c r="J9" s="3"/>
      <c r="Q9" s="18"/>
      <c r="T9" s="18"/>
    </row>
    <row r="10" spans="1:21" ht="15" x14ac:dyDescent="0.3">
      <c r="C10" s="20"/>
      <c r="E10" s="17"/>
      <c r="G10" s="17"/>
      <c r="I10" s="17"/>
      <c r="K10" s="17"/>
      <c r="Q10" s="18"/>
      <c r="T10" s="18"/>
    </row>
    <row r="11" spans="1:21" x14ac:dyDescent="0.25">
      <c r="A11" s="19">
        <v>1</v>
      </c>
      <c r="C11" s="21" t="s">
        <v>22</v>
      </c>
      <c r="E11" s="22">
        <f>+'Hist-Forecast'!AQ56</f>
        <v>0.49850757742780322</v>
      </c>
      <c r="G11" s="83">
        <v>3888056.6512101959</v>
      </c>
      <c r="I11" s="22">
        <f>+'Hist-Forecast'!AQ60</f>
        <v>4.6452451131299713E-2</v>
      </c>
      <c r="K11" s="22">
        <f>ROUND(+E11*I11,4)</f>
        <v>2.3199999999999998E-2</v>
      </c>
      <c r="Q11" s="18"/>
      <c r="T11" s="18"/>
    </row>
    <row r="12" spans="1:21" x14ac:dyDescent="0.25">
      <c r="A12" s="19">
        <f>A11+1</f>
        <v>2</v>
      </c>
      <c r="C12" s="21" t="s">
        <v>23</v>
      </c>
      <c r="E12" s="22">
        <f>+'Hist-Forecast'!AQ58</f>
        <v>0.50149242257219684</v>
      </c>
      <c r="G12" s="83">
        <v>3842646.255764008</v>
      </c>
      <c r="I12" s="82">
        <v>0.106</v>
      </c>
      <c r="K12" s="22">
        <f>+E12*I12</f>
        <v>5.3158196792652865E-2</v>
      </c>
    </row>
    <row r="13" spans="1:21" ht="14.25" thickBot="1" x14ac:dyDescent="0.3">
      <c r="A13" s="19">
        <f>A12+1</f>
        <v>3</v>
      </c>
      <c r="C13" s="21" t="s">
        <v>24</v>
      </c>
      <c r="E13" s="25">
        <f>+E11+E12</f>
        <v>1</v>
      </c>
      <c r="G13" s="26">
        <f>SUM(G11:G12)</f>
        <v>7730702.9069742039</v>
      </c>
      <c r="I13" s="24"/>
      <c r="K13" s="25">
        <f>+K11+K12</f>
        <v>7.6358196792652863E-2</v>
      </c>
      <c r="N13" s="35" t="s">
        <v>76</v>
      </c>
    </row>
    <row r="14" spans="1:21" ht="14.25" thickTop="1" x14ac:dyDescent="0.25">
      <c r="A14" s="19"/>
      <c r="Q14" s="27"/>
      <c r="T14" s="27"/>
    </row>
    <row r="15" spans="1:21" ht="15" x14ac:dyDescent="0.3">
      <c r="A15" s="1" t="s">
        <v>25</v>
      </c>
      <c r="Q15" s="27"/>
      <c r="T15" s="27"/>
    </row>
    <row r="16" spans="1:21" ht="15" x14ac:dyDescent="0.3">
      <c r="A16" s="19"/>
      <c r="C16" s="28"/>
      <c r="E16" s="22"/>
      <c r="G16" s="29"/>
      <c r="I16" s="22"/>
      <c r="K16" s="22"/>
      <c r="Q16" s="27"/>
      <c r="T16" s="27"/>
    </row>
    <row r="17" spans="1:20" x14ac:dyDescent="0.25">
      <c r="A17" s="19">
        <f>+A13+1</f>
        <v>4</v>
      </c>
      <c r="C17" s="21" t="s">
        <v>22</v>
      </c>
      <c r="E17" s="22">
        <f>+'Hist-Forecast'!AA56</f>
        <v>0.4989690531834351</v>
      </c>
      <c r="G17" s="83">
        <v>3807422</v>
      </c>
      <c r="I17" s="22">
        <f>+'Hist-Forecast'!AA60*12</f>
        <v>4.7462898188409625E-2</v>
      </c>
      <c r="K17" s="22">
        <f>ROUND(+E17*I17,8)</f>
        <v>2.3682519999999999E-2</v>
      </c>
      <c r="M17" s="30"/>
      <c r="N17" s="23"/>
      <c r="O17" s="30"/>
    </row>
    <row r="18" spans="1:20" x14ac:dyDescent="0.25">
      <c r="A18" s="19">
        <f>A17+1</f>
        <v>5</v>
      </c>
      <c r="C18" s="21" t="s">
        <v>23</v>
      </c>
      <c r="E18" s="22">
        <f>+'Hist-Forecast'!AA58</f>
        <v>0.5010309468165649</v>
      </c>
      <c r="G18" s="83">
        <v>3807421.9041787311</v>
      </c>
      <c r="I18" s="24">
        <f>+I12</f>
        <v>0.106</v>
      </c>
      <c r="K18" s="22">
        <f>ROUND(+E18*I18,8)</f>
        <v>5.3109280000000002E-2</v>
      </c>
      <c r="L18" s="30"/>
      <c r="M18" s="30"/>
      <c r="O18" s="30"/>
      <c r="Q18" s="27"/>
      <c r="T18" s="27"/>
    </row>
    <row r="19" spans="1:20" ht="14.25" thickBot="1" x14ac:dyDescent="0.3">
      <c r="A19" s="19">
        <f>A18+1</f>
        <v>6</v>
      </c>
      <c r="C19" s="21" t="s">
        <v>24</v>
      </c>
      <c r="E19" s="25">
        <f>+E17+E18</f>
        <v>1</v>
      </c>
      <c r="G19" s="26">
        <f>SUM(G17:G18)</f>
        <v>7614843.9041787311</v>
      </c>
      <c r="I19" s="22"/>
      <c r="K19" s="25">
        <f>+K17+K18</f>
        <v>7.6791799999999993E-2</v>
      </c>
      <c r="L19" s="23"/>
      <c r="M19" s="30"/>
      <c r="N19" s="35" t="s">
        <v>76</v>
      </c>
      <c r="O19" s="32"/>
      <c r="P19" s="30"/>
    </row>
    <row r="20" spans="1:20" ht="15.75" thickTop="1" x14ac:dyDescent="0.3">
      <c r="A20" s="33"/>
      <c r="B20" s="9"/>
      <c r="C20" s="7"/>
      <c r="D20" s="9"/>
      <c r="E20" s="10"/>
      <c r="F20" s="9"/>
      <c r="G20" s="10"/>
      <c r="H20" s="9"/>
      <c r="I20" s="10"/>
      <c r="J20" s="9"/>
      <c r="K20" s="10"/>
      <c r="M20" s="30"/>
    </row>
    <row r="21" spans="1:20" ht="15" x14ac:dyDescent="0.3">
      <c r="A21" s="1" t="s">
        <v>26</v>
      </c>
      <c r="B21" s="9"/>
      <c r="C21" s="7"/>
      <c r="D21" s="9"/>
      <c r="E21" s="10"/>
      <c r="F21" s="9"/>
      <c r="G21" s="10"/>
      <c r="H21" s="9"/>
      <c r="I21" s="10"/>
      <c r="J21" s="9"/>
      <c r="K21" s="10"/>
      <c r="M21" s="30"/>
    </row>
    <row r="22" spans="1:20" ht="15" x14ac:dyDescent="0.3">
      <c r="A22" s="19"/>
      <c r="C22" s="20"/>
      <c r="E22" s="17"/>
      <c r="G22" s="17"/>
      <c r="I22" s="17"/>
      <c r="K22" s="17"/>
      <c r="M22" s="30"/>
    </row>
    <row r="23" spans="1:20" x14ac:dyDescent="0.25">
      <c r="A23" s="19">
        <f>+A19+1</f>
        <v>7</v>
      </c>
      <c r="C23" s="21" t="s">
        <v>22</v>
      </c>
      <c r="E23" s="22">
        <f>+'Hist-Forecast'!AP56</f>
        <v>0.49912117944189194</v>
      </c>
      <c r="G23" s="83">
        <f>+E23*G25</f>
        <v>3965664.0131714079</v>
      </c>
      <c r="I23" s="22">
        <f>+'Hist-Forecast'!AP60*12</f>
        <v>4.5762864205680889E-2</v>
      </c>
      <c r="K23" s="22">
        <f>ROUND(+E23*I23,8)</f>
        <v>2.2841210000000001E-2</v>
      </c>
      <c r="M23" s="30"/>
    </row>
    <row r="24" spans="1:20" x14ac:dyDescent="0.25">
      <c r="A24" s="19">
        <f>A23+1</f>
        <v>8</v>
      </c>
      <c r="C24" s="21" t="s">
        <v>23</v>
      </c>
      <c r="E24" s="22">
        <f>+'Hist-Forecast'!AP58</f>
        <v>0.50087882055810806</v>
      </c>
      <c r="G24" s="83">
        <f>+E24*G25</f>
        <v>3979628.9868285921</v>
      </c>
      <c r="I24" s="22">
        <f>+I12</f>
        <v>0.106</v>
      </c>
      <c r="K24" s="22">
        <f>ROUND(+E24*I24,8)</f>
        <v>5.3093149999999999E-2</v>
      </c>
      <c r="M24" s="30"/>
    </row>
    <row r="25" spans="1:20" ht="14.25" thickBot="1" x14ac:dyDescent="0.3">
      <c r="A25" s="19">
        <f>A24+1</f>
        <v>9</v>
      </c>
      <c r="C25" s="21" t="s">
        <v>24</v>
      </c>
      <c r="E25" s="25">
        <f>+E23+E24</f>
        <v>1</v>
      </c>
      <c r="G25" s="26">
        <v>7945293</v>
      </c>
      <c r="I25" s="24"/>
      <c r="K25" s="25">
        <f>+K23+K24</f>
        <v>7.5934360000000006E-2</v>
      </c>
      <c r="M25" s="30"/>
      <c r="N25" s="35" t="s">
        <v>74</v>
      </c>
    </row>
    <row r="26" spans="1:20" ht="14.25" thickTop="1" x14ac:dyDescent="0.25">
      <c r="A26" s="19"/>
      <c r="M26" s="30"/>
    </row>
    <row r="27" spans="1:20" ht="15" x14ac:dyDescent="0.3">
      <c r="A27" s="7" t="s">
        <v>27</v>
      </c>
    </row>
    <row r="28" spans="1:20" ht="15" x14ac:dyDescent="0.3">
      <c r="A28" s="7"/>
      <c r="E28" s="4" t="s">
        <v>28</v>
      </c>
      <c r="F28" s="43"/>
      <c r="G28" s="4" t="s">
        <v>29</v>
      </c>
      <c r="H28" s="43"/>
      <c r="I28" s="4" t="s">
        <v>29</v>
      </c>
    </row>
    <row r="29" spans="1:20" ht="15" x14ac:dyDescent="0.3">
      <c r="E29" s="44" t="s">
        <v>30</v>
      </c>
      <c r="F29" s="43"/>
      <c r="G29" s="44" t="s">
        <v>31</v>
      </c>
      <c r="H29" s="43"/>
      <c r="I29" s="44" t="s">
        <v>30</v>
      </c>
    </row>
    <row r="30" spans="1:20" x14ac:dyDescent="0.25">
      <c r="A30" s="19">
        <v>10</v>
      </c>
      <c r="C30" s="3" t="s">
        <v>18</v>
      </c>
      <c r="E30" s="30">
        <f>+G13</f>
        <v>7730702.9069742039</v>
      </c>
      <c r="G30" s="30">
        <f>+G19</f>
        <v>7614843.9041787311</v>
      </c>
      <c r="I30" s="30">
        <f>+G25</f>
        <v>7945293</v>
      </c>
      <c r="M30" s="30"/>
    </row>
    <row r="31" spans="1:20" x14ac:dyDescent="0.25">
      <c r="A31" s="19">
        <v>11</v>
      </c>
      <c r="C31" s="3" t="s">
        <v>32</v>
      </c>
      <c r="E31" s="42">
        <f>+K11</f>
        <v>2.3199999999999998E-2</v>
      </c>
      <c r="G31" s="42">
        <f>+K17</f>
        <v>2.3682519999999999E-2</v>
      </c>
      <c r="I31" s="42">
        <f>+K23</f>
        <v>2.2841210000000001E-2</v>
      </c>
      <c r="M31" s="36"/>
      <c r="N31" s="37"/>
    </row>
    <row r="32" spans="1:20" ht="14.25" thickBot="1" x14ac:dyDescent="0.3">
      <c r="A32" s="19">
        <v>12</v>
      </c>
      <c r="C32" s="3" t="s">
        <v>33</v>
      </c>
      <c r="E32" s="26">
        <f>+E30*E31</f>
        <v>179352.30744180153</v>
      </c>
      <c r="G32" s="26">
        <f>+G30*G31</f>
        <v>180338.69305759086</v>
      </c>
      <c r="I32" s="26">
        <f>+I30*I31</f>
        <v>181480.10592453001</v>
      </c>
    </row>
    <row r="33" spans="1:10" ht="14.25" thickTop="1" x14ac:dyDescent="0.25">
      <c r="A33" s="19"/>
    </row>
    <row r="34" spans="1:10" x14ac:dyDescent="0.25">
      <c r="A34" s="19"/>
    </row>
    <row r="42" spans="1:10" x14ac:dyDescent="0.25">
      <c r="B42" s="34"/>
      <c r="D42" s="34"/>
      <c r="F42" s="34"/>
      <c r="H42" s="34"/>
      <c r="J42" s="34"/>
    </row>
    <row r="44" spans="1:10" x14ac:dyDescent="0.25">
      <c r="B44" s="34"/>
      <c r="D44" s="34"/>
      <c r="F44" s="34"/>
      <c r="H44" s="34"/>
      <c r="J44" s="34"/>
    </row>
    <row r="46" spans="1:10" x14ac:dyDescent="0.25">
      <c r="B46" s="34"/>
      <c r="D46" s="34"/>
      <c r="F46" s="34"/>
      <c r="H46" s="34"/>
      <c r="J46" s="34"/>
    </row>
    <row r="47" spans="1:10" x14ac:dyDescent="0.25">
      <c r="B47" s="34"/>
      <c r="D47" s="34"/>
      <c r="F47" s="34"/>
      <c r="H47" s="34"/>
      <c r="J47" s="34"/>
    </row>
    <row r="48" spans="1:10" x14ac:dyDescent="0.25">
      <c r="B48" s="38"/>
      <c r="D48" s="38"/>
      <c r="F48" s="38"/>
      <c r="H48" s="38"/>
      <c r="J48" s="38"/>
    </row>
    <row r="49" spans="2:10" x14ac:dyDescent="0.25">
      <c r="B49" s="38"/>
      <c r="D49" s="38"/>
      <c r="F49" s="38"/>
      <c r="H49" s="38"/>
      <c r="J49" s="38"/>
    </row>
    <row r="58" spans="2:10" x14ac:dyDescent="0.25">
      <c r="B58" s="6"/>
      <c r="D58" s="6"/>
      <c r="F58" s="6"/>
      <c r="H58" s="6"/>
      <c r="J58" s="6"/>
    </row>
    <row r="59" spans="2:10" x14ac:dyDescent="0.25">
      <c r="B59" s="8"/>
      <c r="D59" s="8"/>
      <c r="F59" s="8"/>
      <c r="H59" s="8"/>
      <c r="J59" s="8"/>
    </row>
    <row r="81" spans="2:10" x14ac:dyDescent="0.25">
      <c r="B81" s="34"/>
      <c r="D81" s="34"/>
      <c r="F81" s="34"/>
      <c r="H81" s="34"/>
      <c r="J81" s="34"/>
    </row>
    <row r="93" spans="2:10" x14ac:dyDescent="0.25">
      <c r="B93" s="34"/>
      <c r="D93" s="34"/>
      <c r="F93" s="34"/>
      <c r="H93" s="34"/>
      <c r="J93" s="34"/>
    </row>
    <row r="108" spans="2:10" x14ac:dyDescent="0.25">
      <c r="B108" s="34"/>
      <c r="D108" s="34"/>
      <c r="F108" s="34"/>
      <c r="H108" s="34"/>
      <c r="J108" s="34"/>
    </row>
    <row r="110" spans="2:10" x14ac:dyDescent="0.25">
      <c r="B110" s="34"/>
      <c r="D110" s="34"/>
      <c r="F110" s="34"/>
      <c r="H110" s="34"/>
      <c r="J110" s="34"/>
    </row>
    <row r="112" spans="2:10" x14ac:dyDescent="0.25">
      <c r="B112" s="34"/>
      <c r="D112" s="34"/>
      <c r="F112" s="34"/>
      <c r="H112" s="34"/>
      <c r="J112" s="34"/>
    </row>
    <row r="113" spans="2:10" x14ac:dyDescent="0.25">
      <c r="B113" s="34"/>
      <c r="D113" s="34"/>
      <c r="F113" s="34"/>
      <c r="H113" s="34"/>
      <c r="J113" s="34"/>
    </row>
    <row r="118" spans="2:10" x14ac:dyDescent="0.25">
      <c r="B118" s="39"/>
      <c r="D118" s="39"/>
      <c r="F118" s="39"/>
      <c r="H118" s="39"/>
      <c r="J118" s="39"/>
    </row>
    <row r="123" spans="2:10" x14ac:dyDescent="0.25">
      <c r="B123" s="6"/>
      <c r="D123" s="6"/>
      <c r="F123" s="6"/>
      <c r="H123" s="6"/>
      <c r="J123" s="6"/>
    </row>
    <row r="124" spans="2:10" x14ac:dyDescent="0.25">
      <c r="B124" s="8"/>
      <c r="D124" s="8"/>
      <c r="F124" s="8"/>
      <c r="H124" s="8"/>
      <c r="J124" s="8"/>
    </row>
    <row r="146" spans="2:10" x14ac:dyDescent="0.25">
      <c r="B146" s="34"/>
      <c r="D146" s="34"/>
      <c r="F146" s="34"/>
      <c r="H146" s="34"/>
      <c r="J146" s="34"/>
    </row>
    <row r="158" spans="2:10" x14ac:dyDescent="0.25">
      <c r="B158" s="34"/>
      <c r="D158" s="34"/>
      <c r="F158" s="34"/>
      <c r="H158" s="34"/>
      <c r="J158" s="34"/>
    </row>
    <row r="173" spans="2:10" x14ac:dyDescent="0.25">
      <c r="B173" s="34"/>
      <c r="D173" s="34"/>
      <c r="F173" s="34"/>
      <c r="H173" s="34"/>
      <c r="J173" s="34"/>
    </row>
    <row r="175" spans="2:10" x14ac:dyDescent="0.25">
      <c r="B175" s="34"/>
      <c r="D175" s="34"/>
      <c r="F175" s="34"/>
      <c r="H175" s="34"/>
      <c r="J175" s="34"/>
    </row>
    <row r="177" spans="2:10" x14ac:dyDescent="0.25">
      <c r="B177" s="34"/>
      <c r="D177" s="34"/>
      <c r="F177" s="34"/>
      <c r="H177" s="34"/>
      <c r="J177" s="34"/>
    </row>
    <row r="178" spans="2:10" x14ac:dyDescent="0.25">
      <c r="B178" s="34"/>
      <c r="D178" s="34"/>
      <c r="F178" s="34"/>
      <c r="H178" s="34"/>
      <c r="J178" s="34"/>
    </row>
    <row r="183" spans="2:10" x14ac:dyDescent="0.25">
      <c r="B183" s="39"/>
      <c r="D183" s="39"/>
      <c r="F183" s="39"/>
      <c r="H183" s="39"/>
      <c r="J183" s="39"/>
    </row>
    <row r="185" spans="2:10" x14ac:dyDescent="0.25">
      <c r="B185" s="39"/>
      <c r="D185" s="39"/>
      <c r="F185" s="39"/>
      <c r="H185" s="39"/>
      <c r="J185" s="39"/>
    </row>
  </sheetData>
  <mergeCells count="1">
    <mergeCell ref="O5:U7"/>
  </mergeCells>
  <pageMargins left="1" right="1" top="1.5" bottom="1" header="1" footer="1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572DE-B13F-4A1B-9DFE-5BA3EDC5F628}">
  <sheetPr>
    <tabColor rgb="FF92D050"/>
    <pageSetUpPr fitToPage="1"/>
  </sheetPr>
  <dimension ref="A1:I44"/>
  <sheetViews>
    <sheetView zoomScaleNormal="100" workbookViewId="0">
      <selection activeCell="I25" sqref="I25"/>
    </sheetView>
  </sheetViews>
  <sheetFormatPr defaultRowHeight="12" x14ac:dyDescent="0.15"/>
  <cols>
    <col min="2" max="2" width="1.625" customWidth="1"/>
    <col min="3" max="3" width="30.5" customWidth="1"/>
    <col min="4" max="4" width="1.625" customWidth="1"/>
    <col min="5" max="5" width="13.625" customWidth="1"/>
    <col min="6" max="6" width="1.625" customWidth="1"/>
    <col min="8" max="8" width="1.625" customWidth="1"/>
    <col min="9" max="9" width="11.375" customWidth="1"/>
  </cols>
  <sheetData>
    <row r="1" spans="1:9" ht="15" x14ac:dyDescent="0.3">
      <c r="A1" s="1" t="str">
        <f>'[1]Cap Structure &amp; Cost of Debt'!A1</f>
        <v>Water Service Company of Kentucky</v>
      </c>
      <c r="B1" s="2"/>
      <c r="C1" s="3"/>
      <c r="D1" s="2"/>
      <c r="E1" s="3"/>
      <c r="F1" s="2"/>
      <c r="G1" s="3"/>
      <c r="H1" s="2"/>
      <c r="I1" s="5" t="s">
        <v>12</v>
      </c>
    </row>
    <row r="2" spans="1:9" ht="15" x14ac:dyDescent="0.3">
      <c r="A2" s="1" t="s">
        <v>75</v>
      </c>
      <c r="B2" s="2"/>
      <c r="C2" s="3"/>
      <c r="D2" s="2"/>
      <c r="E2" s="3"/>
      <c r="F2" s="2"/>
      <c r="G2" s="3"/>
      <c r="H2" s="2"/>
      <c r="I2" s="5"/>
    </row>
    <row r="3" spans="1:9" ht="15" x14ac:dyDescent="0.3">
      <c r="A3" s="1" t="s">
        <v>13</v>
      </c>
      <c r="B3" s="1"/>
      <c r="C3" s="2"/>
      <c r="D3" s="3"/>
      <c r="E3" s="2"/>
      <c r="F3" s="3"/>
      <c r="G3" s="2"/>
      <c r="H3" s="3"/>
      <c r="I3" s="3"/>
    </row>
    <row r="4" spans="1:9" ht="15" x14ac:dyDescent="0.3">
      <c r="A4" s="3"/>
      <c r="B4" s="1"/>
      <c r="C4" s="6"/>
      <c r="D4" s="3"/>
      <c r="E4" s="6"/>
      <c r="F4" s="3"/>
      <c r="G4" s="6"/>
      <c r="H4" s="3"/>
      <c r="I4" s="3"/>
    </row>
    <row r="5" spans="1:9" ht="15" x14ac:dyDescent="0.3">
      <c r="A5" s="7" t="s">
        <v>77</v>
      </c>
      <c r="B5" s="1"/>
      <c r="C5" s="6"/>
      <c r="D5" s="3"/>
      <c r="E5" s="6"/>
      <c r="F5" s="3"/>
      <c r="G5" s="6"/>
      <c r="H5" s="3"/>
      <c r="I5" s="3"/>
    </row>
    <row r="6" spans="1:9" ht="13.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45" x14ac:dyDescent="0.3">
      <c r="A7" s="11" t="s">
        <v>4</v>
      </c>
      <c r="B7" s="3"/>
      <c r="C7" s="11" t="s">
        <v>34</v>
      </c>
      <c r="D7" s="40"/>
      <c r="E7" s="11" t="s">
        <v>35</v>
      </c>
      <c r="F7" s="40"/>
      <c r="G7" s="11" t="s">
        <v>36</v>
      </c>
      <c r="H7" s="40"/>
      <c r="I7" s="11" t="s">
        <v>37</v>
      </c>
    </row>
    <row r="8" spans="1:9" ht="15" x14ac:dyDescent="0.3">
      <c r="A8" s="40"/>
      <c r="B8" s="3"/>
      <c r="C8" s="40"/>
      <c r="D8" s="40"/>
      <c r="E8" s="40"/>
      <c r="F8" s="40"/>
      <c r="G8" s="40"/>
      <c r="H8" s="40"/>
      <c r="I8" s="40"/>
    </row>
    <row r="9" spans="1:9" ht="15" x14ac:dyDescent="0.3">
      <c r="A9" s="1" t="s">
        <v>21</v>
      </c>
      <c r="B9" s="3"/>
      <c r="C9" s="40"/>
      <c r="D9" s="40"/>
      <c r="E9" s="40"/>
      <c r="F9" s="40"/>
      <c r="G9" s="40"/>
      <c r="H9" s="40"/>
      <c r="I9" s="40"/>
    </row>
    <row r="10" spans="1:9" ht="15" x14ac:dyDescent="0.3">
      <c r="A10" s="1"/>
      <c r="B10" s="3"/>
      <c r="C10" s="40"/>
      <c r="D10" s="40"/>
      <c r="E10" s="40"/>
      <c r="F10" s="40"/>
      <c r="G10" s="40"/>
      <c r="H10" s="40"/>
      <c r="I10" s="40"/>
    </row>
    <row r="11" spans="1:9" ht="13.5" x14ac:dyDescent="0.25">
      <c r="A11" s="19">
        <v>1</v>
      </c>
      <c r="B11" s="3"/>
      <c r="C11" s="3"/>
      <c r="D11" s="3"/>
      <c r="E11" s="57"/>
      <c r="F11" s="3"/>
      <c r="G11" s="46"/>
      <c r="H11" s="3"/>
      <c r="I11" s="57"/>
    </row>
    <row r="12" spans="1:9" ht="13.5" x14ac:dyDescent="0.25">
      <c r="A12" s="19">
        <v>2</v>
      </c>
      <c r="B12" s="3"/>
      <c r="C12" s="3" t="s">
        <v>38</v>
      </c>
      <c r="D12" s="3"/>
      <c r="E12" s="36">
        <f>+'Hist-Forecast'!$AQ$38</f>
        <v>38769230.769230768</v>
      </c>
      <c r="F12" s="3"/>
      <c r="G12" s="46">
        <f>+'Hist-Forecast'!$AQ$2</f>
        <v>3.8574099999999993E-2</v>
      </c>
      <c r="H12" s="3"/>
      <c r="I12" s="36">
        <f>+E12*G12</f>
        <v>1495488.1846153843</v>
      </c>
    </row>
    <row r="13" spans="1:9" ht="13.5" x14ac:dyDescent="0.25">
      <c r="A13" s="19">
        <v>3</v>
      </c>
      <c r="B13" s="3"/>
      <c r="C13" s="3"/>
      <c r="D13" s="3"/>
      <c r="E13" s="36"/>
      <c r="F13" s="3"/>
      <c r="G13" s="46"/>
      <c r="H13" s="3"/>
      <c r="I13" s="36"/>
    </row>
    <row r="14" spans="1:9" ht="13.5" x14ac:dyDescent="0.25">
      <c r="A14" s="19">
        <v>4</v>
      </c>
      <c r="B14" s="3"/>
      <c r="C14" s="3"/>
      <c r="D14" s="3"/>
      <c r="E14" s="36"/>
      <c r="F14" s="3"/>
      <c r="G14" s="46"/>
      <c r="H14" s="3"/>
      <c r="I14" s="36"/>
    </row>
    <row r="15" spans="1:9" ht="13.5" x14ac:dyDescent="0.25">
      <c r="A15" s="19">
        <v>5</v>
      </c>
      <c r="B15" s="3"/>
      <c r="C15" s="3"/>
      <c r="D15" s="3"/>
      <c r="E15" s="36"/>
      <c r="F15" s="3"/>
      <c r="G15" s="46"/>
      <c r="H15" s="3"/>
      <c r="I15" s="36"/>
    </row>
    <row r="16" spans="1:9" ht="13.5" x14ac:dyDescent="0.25">
      <c r="A16" s="19">
        <v>6</v>
      </c>
      <c r="B16" s="3"/>
      <c r="C16" s="3"/>
      <c r="D16" s="3"/>
      <c r="E16" s="47"/>
      <c r="F16" s="3"/>
      <c r="G16" s="46"/>
      <c r="H16" s="3"/>
      <c r="I16" s="47"/>
    </row>
    <row r="17" spans="1:9" ht="14.25" thickBot="1" x14ac:dyDescent="0.3">
      <c r="A17" s="19">
        <v>7</v>
      </c>
      <c r="B17" s="3"/>
      <c r="C17" s="3"/>
      <c r="D17" s="3"/>
      <c r="E17" s="59">
        <f>SUM(E11:E16)</f>
        <v>38769230.769230768</v>
      </c>
      <c r="F17" s="3"/>
      <c r="G17" s="46"/>
      <c r="H17" s="3"/>
      <c r="I17" s="59">
        <f>SUM(I11:I16)</f>
        <v>1495488.1846153843</v>
      </c>
    </row>
    <row r="18" spans="1:9" ht="14.25" thickTop="1" x14ac:dyDescent="0.25">
      <c r="A18" s="19">
        <v>8</v>
      </c>
      <c r="B18" s="3"/>
      <c r="C18" s="3"/>
      <c r="D18" s="3"/>
      <c r="E18" s="36"/>
      <c r="F18" s="3"/>
      <c r="G18" s="46"/>
      <c r="H18" s="3"/>
      <c r="I18" s="36"/>
    </row>
    <row r="19" spans="1:9" ht="14.25" thickBot="1" x14ac:dyDescent="0.3">
      <c r="A19" s="19">
        <v>9</v>
      </c>
      <c r="B19" s="3"/>
      <c r="C19" s="3" t="s">
        <v>39</v>
      </c>
      <c r="D19" s="3"/>
      <c r="E19" s="58">
        <f>+G12</f>
        <v>3.8574099999999993E-2</v>
      </c>
      <c r="F19" s="3"/>
      <c r="G19" s="46"/>
      <c r="H19" s="3"/>
      <c r="I19" s="36"/>
    </row>
    <row r="20" spans="1:9" ht="14.25" thickTop="1" x14ac:dyDescent="0.25">
      <c r="A20" s="19"/>
      <c r="B20" s="3"/>
      <c r="C20" s="3"/>
      <c r="D20" s="3"/>
      <c r="E20" s="36"/>
      <c r="F20" s="3"/>
      <c r="G20" s="46"/>
      <c r="H20" s="3"/>
      <c r="I20" s="36"/>
    </row>
    <row r="21" spans="1:9" ht="15" x14ac:dyDescent="0.3">
      <c r="A21" s="1" t="s">
        <v>25</v>
      </c>
      <c r="B21" s="3"/>
      <c r="C21" s="3"/>
      <c r="D21" s="3"/>
      <c r="E21" s="35"/>
      <c r="F21" s="3"/>
      <c r="G21" s="46"/>
      <c r="H21" s="3"/>
      <c r="I21" s="36"/>
    </row>
    <row r="22" spans="1:9" ht="13.5" x14ac:dyDescent="0.25">
      <c r="A22" s="3"/>
      <c r="B22" s="3"/>
      <c r="C22" s="3"/>
      <c r="D22" s="3"/>
      <c r="E22" s="36"/>
      <c r="F22" s="3"/>
      <c r="G22" s="46"/>
      <c r="H22" s="3"/>
      <c r="I22" s="36"/>
    </row>
    <row r="23" spans="1:9" ht="13.5" x14ac:dyDescent="0.25">
      <c r="A23" s="19">
        <f>+A19+1</f>
        <v>10</v>
      </c>
      <c r="B23" s="3"/>
      <c r="C23" s="3"/>
      <c r="D23" s="3"/>
      <c r="E23" s="57"/>
      <c r="F23" s="3"/>
      <c r="G23" s="46"/>
      <c r="H23" s="3"/>
      <c r="I23" s="57"/>
    </row>
    <row r="24" spans="1:9" ht="13.5" x14ac:dyDescent="0.25">
      <c r="A24" s="19">
        <f>+A23+1</f>
        <v>11</v>
      </c>
      <c r="B24" s="3"/>
      <c r="C24" s="3" t="s">
        <v>38</v>
      </c>
      <c r="D24" s="3"/>
      <c r="E24" s="36">
        <f>+'Hist-Forecast'!$AA$38</f>
        <v>8000000</v>
      </c>
      <c r="F24" s="3"/>
      <c r="G24" s="46">
        <f>+'Hist-Forecast'!$AA$2</f>
        <v>3.85741E-2</v>
      </c>
      <c r="H24" s="3"/>
      <c r="I24" s="36">
        <f>+E24*G24</f>
        <v>308592.8</v>
      </c>
    </row>
    <row r="25" spans="1:9" ht="13.5" x14ac:dyDescent="0.25">
      <c r="A25" s="19">
        <f t="shared" ref="A25:A31" si="0">+A24+1</f>
        <v>12</v>
      </c>
      <c r="B25" s="3"/>
      <c r="C25" s="3"/>
      <c r="D25" s="3"/>
      <c r="E25" s="36"/>
      <c r="F25" s="3"/>
      <c r="G25" s="46"/>
      <c r="H25" s="3"/>
      <c r="I25" s="36"/>
    </row>
    <row r="26" spans="1:9" ht="13.5" x14ac:dyDescent="0.25">
      <c r="A26" s="19">
        <f t="shared" si="0"/>
        <v>13</v>
      </c>
      <c r="B26" s="3"/>
      <c r="C26" s="3"/>
      <c r="D26" s="3"/>
      <c r="E26" s="36"/>
      <c r="F26" s="3"/>
      <c r="G26" s="46"/>
      <c r="H26" s="3"/>
      <c r="I26" s="36"/>
    </row>
    <row r="27" spans="1:9" ht="13.5" x14ac:dyDescent="0.25">
      <c r="A27" s="19">
        <f t="shared" si="0"/>
        <v>14</v>
      </c>
      <c r="B27" s="3"/>
      <c r="C27" s="3"/>
      <c r="D27" s="3"/>
      <c r="E27" s="36"/>
      <c r="F27" s="3"/>
      <c r="G27" s="46"/>
      <c r="H27" s="3"/>
      <c r="I27" s="36"/>
    </row>
    <row r="28" spans="1:9" ht="13.5" x14ac:dyDescent="0.25">
      <c r="A28" s="19">
        <f t="shared" si="0"/>
        <v>15</v>
      </c>
      <c r="B28" s="3"/>
      <c r="C28" s="3"/>
      <c r="D28" s="3"/>
      <c r="E28" s="47"/>
      <c r="F28" s="3"/>
      <c r="G28" s="46"/>
      <c r="H28" s="3"/>
      <c r="I28" s="47"/>
    </row>
    <row r="29" spans="1:9" ht="14.25" thickBot="1" x14ac:dyDescent="0.3">
      <c r="A29" s="19">
        <f t="shared" si="0"/>
        <v>16</v>
      </c>
      <c r="B29" s="3"/>
      <c r="C29" s="3"/>
      <c r="D29" s="3"/>
      <c r="E29" s="59">
        <f>SUM(E23:E28)</f>
        <v>8000000</v>
      </c>
      <c r="F29" s="3"/>
      <c r="G29" s="46"/>
      <c r="H29" s="3"/>
      <c r="I29" s="59">
        <f>SUM(I23:I28)</f>
        <v>308592.8</v>
      </c>
    </row>
    <row r="30" spans="1:9" ht="14.25" thickTop="1" x14ac:dyDescent="0.25">
      <c r="A30" s="19">
        <f t="shared" si="0"/>
        <v>17</v>
      </c>
      <c r="B30" s="3"/>
      <c r="C30" s="3"/>
      <c r="D30" s="3"/>
      <c r="E30" s="36"/>
      <c r="F30" s="3"/>
      <c r="G30" s="46"/>
      <c r="H30" s="3"/>
      <c r="I30" s="36"/>
    </row>
    <row r="31" spans="1:9" ht="14.25" thickBot="1" x14ac:dyDescent="0.3">
      <c r="A31" s="19">
        <f t="shared" si="0"/>
        <v>18</v>
      </c>
      <c r="B31" s="3"/>
      <c r="C31" s="3" t="s">
        <v>39</v>
      </c>
      <c r="D31" s="3"/>
      <c r="E31" s="58">
        <f>+G24</f>
        <v>3.85741E-2</v>
      </c>
      <c r="F31" s="3"/>
      <c r="G31" s="46"/>
      <c r="H31" s="3"/>
      <c r="I31" s="36"/>
    </row>
    <row r="32" spans="1:9" ht="14.25" thickTop="1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ht="15" x14ac:dyDescent="0.3">
      <c r="A33" s="1" t="s">
        <v>26</v>
      </c>
      <c r="B33" s="3"/>
      <c r="C33" s="3"/>
      <c r="D33" s="3"/>
      <c r="E33" s="3"/>
      <c r="F33" s="3"/>
      <c r="G33" s="3"/>
      <c r="H33" s="3"/>
      <c r="I33" s="3"/>
    </row>
    <row r="34" spans="1:9" ht="13.5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ht="13.5" x14ac:dyDescent="0.25">
      <c r="A35" s="19">
        <f>+A31+1</f>
        <v>19</v>
      </c>
      <c r="B35" s="3"/>
      <c r="C35" s="3"/>
      <c r="D35" s="3"/>
      <c r="E35" s="57"/>
      <c r="F35" s="3"/>
      <c r="G35" s="46"/>
      <c r="H35" s="3"/>
      <c r="I35" s="57"/>
    </row>
    <row r="36" spans="1:9" ht="13.5" x14ac:dyDescent="0.25">
      <c r="A36" s="19">
        <f>+A35+1</f>
        <v>20</v>
      </c>
      <c r="B36" s="3"/>
      <c r="C36" s="3" t="s">
        <v>38</v>
      </c>
      <c r="D36" s="3"/>
      <c r="E36" s="36">
        <f>+'Hist-Forecast'!$AP$38</f>
        <v>48000000</v>
      </c>
      <c r="F36" s="3"/>
      <c r="G36" s="46">
        <f>+'Hist-Forecast'!$AP$2</f>
        <v>3.85741E-2</v>
      </c>
      <c r="H36" s="3"/>
      <c r="I36" s="36">
        <f>+E36*G36</f>
        <v>1851556.8</v>
      </c>
    </row>
    <row r="37" spans="1:9" ht="13.5" x14ac:dyDescent="0.25">
      <c r="A37" s="19">
        <f t="shared" ref="A37:A43" si="1">+A36+1</f>
        <v>21</v>
      </c>
      <c r="B37" s="3"/>
      <c r="C37" s="3"/>
      <c r="D37" s="3"/>
      <c r="E37" s="36"/>
      <c r="F37" s="3"/>
      <c r="G37" s="46"/>
      <c r="H37" s="3"/>
      <c r="I37" s="36"/>
    </row>
    <row r="38" spans="1:9" ht="13.5" x14ac:dyDescent="0.25">
      <c r="A38" s="19">
        <f t="shared" si="1"/>
        <v>22</v>
      </c>
      <c r="B38" s="3"/>
      <c r="C38" s="3"/>
      <c r="D38" s="3"/>
      <c r="E38" s="36"/>
      <c r="F38" s="3"/>
      <c r="G38" s="46"/>
      <c r="H38" s="3"/>
      <c r="I38" s="36"/>
    </row>
    <row r="39" spans="1:9" ht="13.5" x14ac:dyDescent="0.25">
      <c r="A39" s="19">
        <f t="shared" si="1"/>
        <v>23</v>
      </c>
      <c r="B39" s="3"/>
      <c r="C39" s="3"/>
      <c r="D39" s="3"/>
      <c r="E39" s="36"/>
      <c r="F39" s="3"/>
      <c r="G39" s="46"/>
      <c r="H39" s="3"/>
      <c r="I39" s="36"/>
    </row>
    <row r="40" spans="1:9" ht="13.5" x14ac:dyDescent="0.25">
      <c r="A40" s="19">
        <f t="shared" si="1"/>
        <v>24</v>
      </c>
      <c r="B40" s="3"/>
      <c r="C40" s="3"/>
      <c r="D40" s="3"/>
      <c r="E40" s="47"/>
      <c r="F40" s="3"/>
      <c r="G40" s="46"/>
      <c r="H40" s="3"/>
      <c r="I40" s="47"/>
    </row>
    <row r="41" spans="1:9" ht="14.25" thickBot="1" x14ac:dyDescent="0.3">
      <c r="A41" s="19">
        <f t="shared" si="1"/>
        <v>25</v>
      </c>
      <c r="B41" s="3"/>
      <c r="C41" s="3"/>
      <c r="D41" s="3"/>
      <c r="E41" s="59">
        <f>SUM(E35:E40)</f>
        <v>48000000</v>
      </c>
      <c r="F41" s="3"/>
      <c r="G41" s="46"/>
      <c r="H41" s="3"/>
      <c r="I41" s="59">
        <f>SUM(I35:I40)</f>
        <v>1851556.8</v>
      </c>
    </row>
    <row r="42" spans="1:9" ht="14.25" thickTop="1" x14ac:dyDescent="0.25">
      <c r="A42" s="19">
        <f t="shared" si="1"/>
        <v>26</v>
      </c>
      <c r="B42" s="3"/>
      <c r="C42" s="3"/>
      <c r="D42" s="3"/>
      <c r="E42" s="36"/>
      <c r="F42" s="3"/>
      <c r="G42" s="46"/>
      <c r="H42" s="3"/>
      <c r="I42" s="36"/>
    </row>
    <row r="43" spans="1:9" ht="14.25" thickBot="1" x14ac:dyDescent="0.3">
      <c r="A43" s="19">
        <f t="shared" si="1"/>
        <v>27</v>
      </c>
      <c r="B43" s="3"/>
      <c r="C43" s="3" t="s">
        <v>39</v>
      </c>
      <c r="D43" s="3"/>
      <c r="E43" s="58">
        <f>+G36</f>
        <v>3.85741E-2</v>
      </c>
      <c r="F43" s="3"/>
      <c r="G43" s="46"/>
      <c r="H43" s="3"/>
      <c r="I43" s="36"/>
    </row>
    <row r="44" spans="1:9" ht="12.75" thickTop="1" x14ac:dyDescent="0.15"/>
  </sheetData>
  <pageMargins left="1" right="1" top="1.5" bottom="1" header="1" footer="1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ABDC-1BAA-4BA2-BCC8-9F2F4F71E8F7}">
  <sheetPr>
    <tabColor rgb="FF92D050"/>
    <pageSetUpPr fitToPage="1"/>
  </sheetPr>
  <dimension ref="A1:W44"/>
  <sheetViews>
    <sheetView topLeftCell="A4" zoomScaleNormal="100" workbookViewId="0">
      <selection activeCell="O32" sqref="O32"/>
    </sheetView>
  </sheetViews>
  <sheetFormatPr defaultColWidth="9" defaultRowHeight="13.5" x14ac:dyDescent="0.25"/>
  <cols>
    <col min="1" max="1" width="7.875" style="3" customWidth="1"/>
    <col min="2" max="2" width="1.625" style="3" customWidth="1"/>
    <col min="3" max="3" width="15.25" style="3" customWidth="1"/>
    <col min="4" max="4" width="1.625" style="3" customWidth="1"/>
    <col min="5" max="5" width="10.375" style="3" customWidth="1"/>
    <col min="6" max="6" width="1.625" style="3" customWidth="1"/>
    <col min="7" max="7" width="10.625" style="3" customWidth="1"/>
    <col min="8" max="8" width="1.625" style="3" customWidth="1"/>
    <col min="9" max="9" width="12.75" style="3" customWidth="1"/>
    <col min="10" max="10" width="1.625" style="3" customWidth="1"/>
    <col min="11" max="11" width="9" style="3"/>
    <col min="12" max="12" width="1.625" style="3" customWidth="1"/>
    <col min="13" max="13" width="11.5" style="3" customWidth="1"/>
    <col min="14" max="14" width="1.625" style="3" customWidth="1"/>
    <col min="15" max="15" width="12.125" style="3" customWidth="1"/>
    <col min="16" max="16" width="1.625" style="3" customWidth="1"/>
    <col min="17" max="17" width="12.25" style="3" customWidth="1"/>
    <col min="18" max="18" width="1.625" style="3" customWidth="1"/>
    <col min="19" max="19" width="12.125" style="3" customWidth="1"/>
    <col min="20" max="20" width="1.625" style="3" customWidth="1"/>
    <col min="21" max="21" width="11.875" style="3" customWidth="1"/>
    <col min="22" max="16384" width="9" style="3"/>
  </cols>
  <sheetData>
    <row r="1" spans="1:23" ht="15" x14ac:dyDescent="0.3">
      <c r="A1" s="1" t="str">
        <f>'[1]Cap Structure &amp; Cost of Debt'!A1</f>
        <v>Water Service Company of Kentucky</v>
      </c>
      <c r="B1" s="1"/>
      <c r="C1" s="2"/>
      <c r="E1" s="2"/>
      <c r="G1" s="2"/>
      <c r="I1" s="2"/>
      <c r="K1" s="2"/>
      <c r="O1" s="2"/>
      <c r="U1" s="5" t="s">
        <v>12</v>
      </c>
    </row>
    <row r="2" spans="1:23" ht="15" x14ac:dyDescent="0.3">
      <c r="A2" s="1" t="s">
        <v>75</v>
      </c>
      <c r="B2" s="1"/>
      <c r="C2" s="2"/>
      <c r="E2" s="2"/>
      <c r="G2" s="2"/>
      <c r="I2" s="2"/>
      <c r="K2" s="2"/>
      <c r="O2" s="2"/>
      <c r="P2" s="5"/>
    </row>
    <row r="3" spans="1:23" ht="15" x14ac:dyDescent="0.3">
      <c r="A3" s="1" t="s">
        <v>13</v>
      </c>
      <c r="B3" s="1"/>
      <c r="C3" s="2"/>
      <c r="E3" s="2"/>
      <c r="G3" s="2"/>
      <c r="I3" s="2"/>
      <c r="K3" s="2"/>
      <c r="O3" s="2"/>
    </row>
    <row r="4" spans="1:23" ht="15" x14ac:dyDescent="0.3">
      <c r="B4" s="1"/>
      <c r="C4" s="6"/>
      <c r="E4" s="6"/>
      <c r="G4" s="6"/>
      <c r="I4" s="6"/>
      <c r="K4" s="6"/>
      <c r="O4" s="6"/>
    </row>
    <row r="5" spans="1:23" ht="15" x14ac:dyDescent="0.3">
      <c r="A5" s="7" t="s">
        <v>78</v>
      </c>
      <c r="B5" s="1"/>
      <c r="C5" s="6"/>
      <c r="E5" s="6"/>
      <c r="G5" s="6"/>
      <c r="I5" s="6"/>
      <c r="K5" s="6"/>
      <c r="O5" s="6"/>
    </row>
    <row r="7" spans="1:23" s="45" customFormat="1" ht="60" x14ac:dyDescent="0.3">
      <c r="A7" s="11" t="s">
        <v>4</v>
      </c>
      <c r="B7" s="3"/>
      <c r="C7" s="11" t="s">
        <v>34</v>
      </c>
      <c r="D7" s="40"/>
      <c r="E7" s="11" t="s">
        <v>40</v>
      </c>
      <c r="F7" s="40"/>
      <c r="G7" s="11" t="s">
        <v>41</v>
      </c>
      <c r="H7" s="40"/>
      <c r="I7" s="11" t="s">
        <v>35</v>
      </c>
      <c r="J7" s="40"/>
      <c r="K7" s="11" t="s">
        <v>36</v>
      </c>
      <c r="L7" s="40"/>
      <c r="M7" s="11" t="s">
        <v>37</v>
      </c>
      <c r="N7" s="40"/>
      <c r="O7" s="11" t="s">
        <v>42</v>
      </c>
      <c r="P7" s="40"/>
      <c r="Q7" s="11" t="s">
        <v>43</v>
      </c>
      <c r="R7" s="40"/>
      <c r="S7" s="11" t="s">
        <v>44</v>
      </c>
      <c r="T7" s="40"/>
      <c r="U7" s="11" t="s">
        <v>45</v>
      </c>
      <c r="V7" s="40"/>
      <c r="W7" s="40"/>
    </row>
    <row r="8" spans="1:23" s="45" customFormat="1" ht="15" x14ac:dyDescent="0.3">
      <c r="A8" s="40"/>
      <c r="B8" s="3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s="45" customFormat="1" ht="15" x14ac:dyDescent="0.3">
      <c r="A9" s="1" t="s">
        <v>21</v>
      </c>
      <c r="B9" s="3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45" customFormat="1" ht="15" x14ac:dyDescent="0.3">
      <c r="B10" s="3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x14ac:dyDescent="0.25">
      <c r="A11" s="19">
        <v>1</v>
      </c>
      <c r="C11" s="3" t="s">
        <v>46</v>
      </c>
      <c r="E11" s="52">
        <v>38917</v>
      </c>
      <c r="F11" s="19"/>
      <c r="G11" s="52">
        <v>49877</v>
      </c>
      <c r="I11" s="57">
        <f>+'Hist-Forecast'!$AQ$8</f>
        <v>121846153.84615384</v>
      </c>
      <c r="K11" s="46">
        <v>6.5799999999999997E-2</v>
      </c>
      <c r="M11" s="57">
        <f>+I11*K11</f>
        <v>8017476.9230769221</v>
      </c>
      <c r="O11" s="57">
        <v>180000000</v>
      </c>
      <c r="P11" s="36"/>
      <c r="Q11" s="57">
        <f>+'Hist-Forecast'!$AP$9-'Hist-Forecast'!$AD$9</f>
        <v>42434.399999999441</v>
      </c>
      <c r="R11" s="36"/>
      <c r="S11" s="57">
        <f>+'Hist-Forecast'!$AQ$9</f>
        <v>-553541.40000000084</v>
      </c>
      <c r="T11" s="36"/>
      <c r="U11" s="57">
        <f>+I11+S11</f>
        <v>121292612.44615383</v>
      </c>
    </row>
    <row r="12" spans="1:23" x14ac:dyDescent="0.25">
      <c r="A12" s="19">
        <v>2</v>
      </c>
      <c r="C12" s="3" t="s">
        <v>47</v>
      </c>
      <c r="E12" s="52">
        <v>43377</v>
      </c>
      <c r="F12" s="19"/>
      <c r="G12" s="52">
        <v>48856</v>
      </c>
      <c r="I12" s="36">
        <f>+'Hist-Forecast'!$AQ$13</f>
        <v>100000000</v>
      </c>
      <c r="K12" s="46">
        <v>4.3700000000000003E-2</v>
      </c>
      <c r="M12" s="36">
        <f t="shared" ref="M12:M15" si="0">+I12*K12</f>
        <v>4370000</v>
      </c>
      <c r="N12" s="36"/>
      <c r="O12" s="36">
        <v>100000000</v>
      </c>
      <c r="P12" s="36"/>
      <c r="Q12" s="36">
        <f>+'Hist-Forecast'!$AP$14-'Hist-Forecast'!$AD$14</f>
        <v>34812</v>
      </c>
      <c r="R12" s="36"/>
      <c r="S12" s="36">
        <f>+'Hist-Forecast'!$AQ$14</f>
        <v>-356824</v>
      </c>
      <c r="T12" s="36"/>
      <c r="U12" s="36">
        <f>+I12+S12</f>
        <v>99643176</v>
      </c>
    </row>
    <row r="13" spans="1:23" x14ac:dyDescent="0.25">
      <c r="A13" s="19">
        <v>3</v>
      </c>
      <c r="C13" s="3" t="s">
        <v>48</v>
      </c>
      <c r="E13" s="52">
        <v>43977</v>
      </c>
      <c r="F13" s="19"/>
      <c r="G13" s="52">
        <v>47629</v>
      </c>
      <c r="I13" s="36">
        <f>+'Hist-Forecast'!$AQ$18</f>
        <v>50000000</v>
      </c>
      <c r="K13" s="46">
        <v>3.15E-2</v>
      </c>
      <c r="M13" s="36">
        <f t="shared" si="0"/>
        <v>1575000</v>
      </c>
      <c r="N13" s="36"/>
      <c r="O13" s="36">
        <v>50000000</v>
      </c>
      <c r="P13" s="36"/>
      <c r="Q13" s="36">
        <f>+'Hist-Forecast'!$AP$19-'Hist-Forecast'!$AD$19</f>
        <v>27371.159999999916</v>
      </c>
      <c r="R13" s="36"/>
      <c r="S13" s="36">
        <f>+'Hist-Forecast'!$AQ$19</f>
        <v>-189317.26000000013</v>
      </c>
      <c r="T13" s="36"/>
      <c r="U13" s="36">
        <f t="shared" ref="U13:U15" si="1">+I13+S13</f>
        <v>49810682.740000002</v>
      </c>
    </row>
    <row r="14" spans="1:23" x14ac:dyDescent="0.25">
      <c r="A14" s="19">
        <v>4</v>
      </c>
      <c r="C14" s="3" t="s">
        <v>49</v>
      </c>
      <c r="E14" s="52">
        <v>43977</v>
      </c>
      <c r="F14" s="19"/>
      <c r="G14" s="52">
        <v>49455</v>
      </c>
      <c r="I14" s="36">
        <f>+'Hist-Forecast'!$AQ$23</f>
        <v>50000000</v>
      </c>
      <c r="K14" s="46">
        <v>3.3500000000000002E-2</v>
      </c>
      <c r="M14" s="36">
        <f t="shared" si="0"/>
        <v>1675000</v>
      </c>
      <c r="N14" s="36"/>
      <c r="O14" s="36">
        <v>50000000</v>
      </c>
      <c r="P14" s="36"/>
      <c r="Q14" s="36">
        <f>+'Hist-Forecast'!$AP$24-'Hist-Forecast'!$AD$24</f>
        <v>18247.439999999944</v>
      </c>
      <c r="R14" s="36"/>
      <c r="S14" s="36">
        <f>+'Hist-Forecast'!$AQ$24</f>
        <v>-217448.84000000005</v>
      </c>
      <c r="T14" s="36"/>
      <c r="U14" s="36">
        <f t="shared" si="1"/>
        <v>49782551.159999996</v>
      </c>
    </row>
    <row r="15" spans="1:23" x14ac:dyDescent="0.25">
      <c r="A15" s="19">
        <v>5</v>
      </c>
      <c r="C15" s="3" t="s">
        <v>80</v>
      </c>
      <c r="E15" s="52">
        <v>44739</v>
      </c>
      <c r="F15" s="19"/>
      <c r="G15" s="52">
        <v>45588</v>
      </c>
      <c r="I15" s="36">
        <f>+'Hist-Forecast'!$AQ$28</f>
        <v>57692307.692307696</v>
      </c>
      <c r="K15" s="46">
        <f>+'Hist-Forecast'!AP3</f>
        <v>3.8769600000000001E-2</v>
      </c>
      <c r="M15" s="36">
        <f t="shared" si="0"/>
        <v>2236707.6923076925</v>
      </c>
      <c r="N15" s="36"/>
      <c r="O15" s="36">
        <f>+I15</f>
        <v>57692307.692307696</v>
      </c>
      <c r="P15" s="36"/>
      <c r="Q15" s="36">
        <f>+Q13</f>
        <v>27371.159999999916</v>
      </c>
      <c r="R15" s="36"/>
      <c r="S15" s="36">
        <f>+'Hist-Forecast'!$AQ$29</f>
        <v>-73000</v>
      </c>
      <c r="T15" s="36"/>
      <c r="U15" s="36">
        <f t="shared" si="1"/>
        <v>57619307.692307696</v>
      </c>
    </row>
    <row r="16" spans="1:23" x14ac:dyDescent="0.25">
      <c r="A16" s="19">
        <v>6</v>
      </c>
      <c r="E16" s="52"/>
      <c r="F16" s="19"/>
      <c r="G16" s="52"/>
      <c r="I16" s="36"/>
      <c r="K16" s="4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4.25" thickBot="1" x14ac:dyDescent="0.3">
      <c r="A17" s="19">
        <v>7</v>
      </c>
      <c r="E17" s="19"/>
      <c r="F17" s="19"/>
      <c r="G17" s="19"/>
      <c r="I17" s="59">
        <f>SUM(I11:I16)</f>
        <v>379538461.53846157</v>
      </c>
      <c r="K17" s="46"/>
      <c r="M17" s="59">
        <f>SUM(M11:M16)</f>
        <v>17874184.615384616</v>
      </c>
      <c r="N17" s="36"/>
      <c r="O17" s="59">
        <f>SUM(O11:O16)</f>
        <v>437692307.69230771</v>
      </c>
      <c r="P17" s="36"/>
      <c r="Q17" s="59">
        <f>SUM(Q11:Q16)</f>
        <v>150236.15999999922</v>
      </c>
      <c r="R17" s="36"/>
      <c r="S17" s="59">
        <f>SUM(S11:S16)</f>
        <v>-1390131.5000000012</v>
      </c>
      <c r="T17" s="36"/>
      <c r="U17" s="59">
        <f>SUM(U11:U16)</f>
        <v>378148330.03846157</v>
      </c>
    </row>
    <row r="18" spans="1:21" ht="14.25" thickTop="1" x14ac:dyDescent="0.25">
      <c r="A18" s="19">
        <v>8</v>
      </c>
      <c r="E18" s="19"/>
      <c r="F18" s="19"/>
      <c r="G18" s="19"/>
      <c r="I18" s="36"/>
      <c r="K18" s="4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4.25" thickBot="1" x14ac:dyDescent="0.3">
      <c r="A19" s="19">
        <v>9</v>
      </c>
      <c r="C19" s="3" t="s">
        <v>39</v>
      </c>
      <c r="E19" s="19"/>
      <c r="F19" s="19"/>
      <c r="G19" s="19"/>
      <c r="I19" s="58">
        <f>+M17/U17</f>
        <v>4.7267654503635195E-2</v>
      </c>
      <c r="K19" s="4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4.25" thickTop="1" x14ac:dyDescent="0.25">
      <c r="A20" s="19"/>
      <c r="E20" s="19"/>
      <c r="F20" s="19"/>
      <c r="G20" s="19"/>
      <c r="I20" s="36"/>
      <c r="K20" s="4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5" x14ac:dyDescent="0.3">
      <c r="A21" s="1" t="s">
        <v>25</v>
      </c>
      <c r="E21" s="19"/>
      <c r="F21" s="19"/>
      <c r="G21" s="19"/>
      <c r="I21" s="35"/>
      <c r="K21" s="46"/>
      <c r="M21" s="36"/>
      <c r="N21" s="36"/>
      <c r="O21" s="36"/>
      <c r="P21" s="36"/>
      <c r="Q21" s="36"/>
      <c r="R21" s="36"/>
      <c r="S21" s="36"/>
      <c r="T21" s="36"/>
      <c r="U21" s="36"/>
    </row>
    <row r="22" spans="1:21" x14ac:dyDescent="0.25">
      <c r="E22" s="19"/>
      <c r="F22" s="19"/>
      <c r="G22" s="19"/>
      <c r="I22" s="36"/>
      <c r="K22" s="46"/>
      <c r="M22" s="36"/>
      <c r="N22" s="36"/>
      <c r="O22" s="36"/>
      <c r="P22" s="36"/>
      <c r="Q22" s="36"/>
      <c r="R22" s="36"/>
      <c r="S22" s="36"/>
      <c r="T22" s="36"/>
      <c r="U22" s="36"/>
    </row>
    <row r="23" spans="1:21" x14ac:dyDescent="0.25">
      <c r="A23" s="19">
        <f>+A19+1</f>
        <v>10</v>
      </c>
      <c r="C23" s="3" t="s">
        <v>46</v>
      </c>
      <c r="E23" s="52">
        <v>38917</v>
      </c>
      <c r="F23" s="19"/>
      <c r="G23" s="52">
        <v>49877</v>
      </c>
      <c r="I23" s="57">
        <f>+'Hist-Forecast'!$AA$8</f>
        <v>126000000</v>
      </c>
      <c r="K23" s="46">
        <v>6.5799999999999997E-2</v>
      </c>
      <c r="M23" s="57">
        <f>+I23*K23</f>
        <v>8290800</v>
      </c>
      <c r="O23" s="57">
        <v>180000000</v>
      </c>
      <c r="P23" s="36"/>
      <c r="Q23" s="57">
        <f>+'Hist-Forecast'!$AP$9-'Hist-Forecast'!$AD$9</f>
        <v>42434.399999999441</v>
      </c>
      <c r="R23" s="36"/>
      <c r="S23" s="57">
        <f>+'Hist-Forecast'!$AA$9</f>
        <v>-585367.20000000042</v>
      </c>
      <c r="T23" s="36"/>
      <c r="U23" s="57">
        <f>+I23+S23</f>
        <v>125414632.8</v>
      </c>
    </row>
    <row r="24" spans="1:21" x14ac:dyDescent="0.25">
      <c r="A24" s="19">
        <f>+A23+1</f>
        <v>11</v>
      </c>
      <c r="C24" s="3" t="s">
        <v>47</v>
      </c>
      <c r="E24" s="52">
        <v>43377</v>
      </c>
      <c r="F24" s="19"/>
      <c r="G24" s="52">
        <v>48856</v>
      </c>
      <c r="I24" s="36">
        <f>+'Hist-Forecast'!$AA$13</f>
        <v>100000000</v>
      </c>
      <c r="K24" s="46">
        <v>4.3700000000000003E-2</v>
      </c>
      <c r="M24" s="36">
        <f t="shared" ref="M24:M26" si="2">+I24*K24</f>
        <v>4370000</v>
      </c>
      <c r="N24" s="36"/>
      <c r="O24" s="36">
        <v>100000000</v>
      </c>
      <c r="P24" s="36"/>
      <c r="Q24" s="36">
        <f>+'Hist-Forecast'!$AP$14-'Hist-Forecast'!$AD$14</f>
        <v>34812</v>
      </c>
      <c r="R24" s="36"/>
      <c r="S24" s="36">
        <f>+'Hist-Forecast'!$AA$14</f>
        <v>-382933</v>
      </c>
      <c r="T24" s="36"/>
      <c r="U24" s="36">
        <f>+I24+S24</f>
        <v>99617067</v>
      </c>
    </row>
    <row r="25" spans="1:21" x14ac:dyDescent="0.25">
      <c r="A25" s="19">
        <f t="shared" ref="A25:A31" si="3">+A24+1</f>
        <v>12</v>
      </c>
      <c r="C25" s="3" t="s">
        <v>48</v>
      </c>
      <c r="E25" s="52">
        <v>43977</v>
      </c>
      <c r="F25" s="19"/>
      <c r="G25" s="52">
        <v>47629</v>
      </c>
      <c r="I25" s="36">
        <f>+'Hist-Forecast'!$AA$18</f>
        <v>50000000</v>
      </c>
      <c r="K25" s="46">
        <v>3.15E-2</v>
      </c>
      <c r="M25" s="36">
        <f t="shared" si="2"/>
        <v>1575000</v>
      </c>
      <c r="N25" s="36"/>
      <c r="O25" s="36">
        <v>50000000</v>
      </c>
      <c r="P25" s="36"/>
      <c r="Q25" s="36">
        <f>+'Hist-Forecast'!$AP$19-'Hist-Forecast'!$AD$19</f>
        <v>27371.159999999916</v>
      </c>
      <c r="R25" s="36"/>
      <c r="S25" s="36">
        <f>+'Hist-Forecast'!$AA$19</f>
        <v>-209845.63000000006</v>
      </c>
      <c r="T25" s="36"/>
      <c r="U25" s="36">
        <f t="shared" ref="U25:U27" si="4">+I25+S25</f>
        <v>49790154.369999997</v>
      </c>
    </row>
    <row r="26" spans="1:21" x14ac:dyDescent="0.25">
      <c r="A26" s="19">
        <f t="shared" si="3"/>
        <v>13</v>
      </c>
      <c r="C26" s="3" t="s">
        <v>49</v>
      </c>
      <c r="E26" s="52">
        <v>43977</v>
      </c>
      <c r="F26" s="19"/>
      <c r="G26" s="52">
        <v>49455</v>
      </c>
      <c r="I26" s="36">
        <f>+'Hist-Forecast'!$AA$23</f>
        <v>50000000</v>
      </c>
      <c r="K26" s="46">
        <v>3.3500000000000002E-2</v>
      </c>
      <c r="M26" s="36">
        <f t="shared" si="2"/>
        <v>1675000</v>
      </c>
      <c r="N26" s="36"/>
      <c r="O26" s="36">
        <v>50000000</v>
      </c>
      <c r="P26" s="36"/>
      <c r="Q26" s="36">
        <f>+'Hist-Forecast'!$AP$24-'Hist-Forecast'!$AD$24</f>
        <v>18247.439999999944</v>
      </c>
      <c r="R26" s="36"/>
      <c r="S26" s="36">
        <f>+'Hist-Forecast'!$AA$24</f>
        <v>-231134.42000000004</v>
      </c>
      <c r="T26" s="36"/>
      <c r="U26" s="36">
        <f t="shared" si="4"/>
        <v>49768865.579999998</v>
      </c>
    </row>
    <row r="27" spans="1:21" x14ac:dyDescent="0.25">
      <c r="A27" s="19">
        <f t="shared" si="3"/>
        <v>14</v>
      </c>
      <c r="C27" s="3" t="str">
        <f>+C15</f>
        <v>Variable, Series 2022</v>
      </c>
      <c r="E27" s="52">
        <f>+E15</f>
        <v>44739</v>
      </c>
      <c r="F27" s="19"/>
      <c r="G27" s="52">
        <f>+G15</f>
        <v>45588</v>
      </c>
      <c r="I27" s="36">
        <f>+'Hist-Forecast'!$AA$28</f>
        <v>50000000</v>
      </c>
      <c r="K27" s="46">
        <f>+'Hist-Forecast'!AA3</f>
        <v>3.8769600000000001E-2</v>
      </c>
      <c r="M27" s="36">
        <f t="shared" ref="M27" si="5">+I27*K27</f>
        <v>1938480</v>
      </c>
      <c r="N27" s="36"/>
      <c r="O27" s="36">
        <v>50000000</v>
      </c>
      <c r="P27" s="36"/>
      <c r="Q27" s="36">
        <f>+'Hist-Forecast'!$AP$29-'Hist-Forecast'!$AD$29</f>
        <v>54750</v>
      </c>
      <c r="R27" s="36"/>
      <c r="S27" s="36">
        <f>+'Hist-Forecast'!$AA$29</f>
        <v>-114062.5</v>
      </c>
      <c r="T27" s="36"/>
      <c r="U27" s="36">
        <f t="shared" si="4"/>
        <v>49885937.5</v>
      </c>
    </row>
    <row r="28" spans="1:21" x14ac:dyDescent="0.25">
      <c r="A28" s="19">
        <f t="shared" si="3"/>
        <v>15</v>
      </c>
      <c r="E28" s="19"/>
      <c r="F28" s="19"/>
      <c r="G28" s="19"/>
      <c r="I28" s="47"/>
      <c r="K28" s="46"/>
      <c r="M28" s="47"/>
      <c r="N28" s="36"/>
      <c r="O28" s="47"/>
      <c r="P28" s="36"/>
      <c r="Q28" s="47"/>
      <c r="R28" s="36"/>
      <c r="S28" s="47"/>
      <c r="T28" s="36"/>
      <c r="U28" s="47"/>
    </row>
    <row r="29" spans="1:21" ht="14.25" thickBot="1" x14ac:dyDescent="0.3">
      <c r="A29" s="19">
        <f t="shared" si="3"/>
        <v>16</v>
      </c>
      <c r="E29" s="19"/>
      <c r="F29" s="19"/>
      <c r="G29" s="19"/>
      <c r="I29" s="59">
        <f>SUM(I23:I28)</f>
        <v>376000000</v>
      </c>
      <c r="K29" s="46"/>
      <c r="M29" s="59">
        <f>SUM(M23:M28)</f>
        <v>17849280</v>
      </c>
      <c r="N29" s="36"/>
      <c r="O29" s="59">
        <f>SUM(O23:O28)</f>
        <v>430000000</v>
      </c>
      <c r="P29" s="36"/>
      <c r="Q29" s="59">
        <f>SUM(Q23:Q28)</f>
        <v>177614.9999999993</v>
      </c>
      <c r="R29" s="36"/>
      <c r="S29" s="59">
        <f>SUM(S23:S28)</f>
        <v>-1523342.7500000005</v>
      </c>
      <c r="T29" s="36"/>
      <c r="U29" s="59">
        <f>SUM(U23:U28)</f>
        <v>374476657.25</v>
      </c>
    </row>
    <row r="30" spans="1:21" ht="14.25" thickTop="1" x14ac:dyDescent="0.25">
      <c r="A30" s="19">
        <f t="shared" si="3"/>
        <v>17</v>
      </c>
      <c r="E30" s="19"/>
      <c r="F30" s="19"/>
      <c r="G30" s="19"/>
      <c r="I30" s="36"/>
      <c r="K30" s="4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4.25" thickBot="1" x14ac:dyDescent="0.3">
      <c r="A31" s="19">
        <f t="shared" si="3"/>
        <v>18</v>
      </c>
      <c r="C31" s="3" t="s">
        <v>39</v>
      </c>
      <c r="E31" s="19"/>
      <c r="F31" s="19"/>
      <c r="G31" s="19"/>
      <c r="I31" s="58">
        <f>+M29/U29</f>
        <v>4.7664599793956854E-2</v>
      </c>
      <c r="K31" s="4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4.25" thickTop="1" x14ac:dyDescent="0.25"/>
    <row r="33" spans="1:21" ht="15" x14ac:dyDescent="0.3">
      <c r="A33" s="1" t="s">
        <v>26</v>
      </c>
    </row>
    <row r="35" spans="1:21" x14ac:dyDescent="0.25">
      <c r="A35" s="19">
        <f>+A31+1</f>
        <v>19</v>
      </c>
      <c r="C35" s="3" t="s">
        <v>46</v>
      </c>
      <c r="E35" s="52">
        <v>38917</v>
      </c>
      <c r="F35" s="19"/>
      <c r="G35" s="52">
        <v>49877</v>
      </c>
      <c r="I35" s="57">
        <f>+'Hist-Forecast'!$AP$8</f>
        <v>117000000</v>
      </c>
      <c r="K35" s="46">
        <v>6.5799999999999997E-2</v>
      </c>
      <c r="M35" s="57">
        <f>+I35*K35</f>
        <v>7698600</v>
      </c>
      <c r="O35" s="57">
        <v>180000000</v>
      </c>
      <c r="P35" s="36"/>
      <c r="Q35" s="57">
        <f>+'Hist-Forecast'!$AP$9-'Hist-Forecast'!$AD$9</f>
        <v>42434.399999999441</v>
      </c>
      <c r="R35" s="36"/>
      <c r="S35" s="57">
        <f>+'Hist-Forecast'!$AP$9</f>
        <v>-532324.20000000112</v>
      </c>
      <c r="T35" s="36"/>
      <c r="U35" s="57">
        <f>+I35+S35</f>
        <v>116467675.8</v>
      </c>
    </row>
    <row r="36" spans="1:21" x14ac:dyDescent="0.25">
      <c r="A36" s="19">
        <f>+A35+1</f>
        <v>20</v>
      </c>
      <c r="C36" s="3" t="s">
        <v>47</v>
      </c>
      <c r="E36" s="52">
        <v>43377</v>
      </c>
      <c r="F36" s="19"/>
      <c r="G36" s="52">
        <v>48856</v>
      </c>
      <c r="I36" s="36">
        <f>+'Hist-Forecast'!$AP$13</f>
        <v>100000000</v>
      </c>
      <c r="K36" s="46">
        <v>4.3700000000000003E-2</v>
      </c>
      <c r="M36" s="36">
        <f t="shared" ref="M36:M39" si="6">+I36*K36</f>
        <v>4370000</v>
      </c>
      <c r="N36" s="36"/>
      <c r="O36" s="36">
        <v>100000000</v>
      </c>
      <c r="P36" s="36"/>
      <c r="Q36" s="36">
        <f>+'Hist-Forecast'!$AP$14-'Hist-Forecast'!$AD$14</f>
        <v>34812</v>
      </c>
      <c r="R36" s="36"/>
      <c r="S36" s="36">
        <f>+'Hist-Forecast'!$AP$14</f>
        <v>-339418</v>
      </c>
      <c r="T36" s="36"/>
      <c r="U36" s="36">
        <f>+I36+S36</f>
        <v>99660582</v>
      </c>
    </row>
    <row r="37" spans="1:21" x14ac:dyDescent="0.25">
      <c r="A37" s="19">
        <f t="shared" ref="A37:A43" si="7">+A36+1</f>
        <v>21</v>
      </c>
      <c r="C37" s="3" t="s">
        <v>48</v>
      </c>
      <c r="E37" s="52">
        <v>43977</v>
      </c>
      <c r="F37" s="19"/>
      <c r="G37" s="52">
        <v>47629</v>
      </c>
      <c r="I37" s="36">
        <f>+'Hist-Forecast'!$AP$18</f>
        <v>50000000</v>
      </c>
      <c r="K37" s="46">
        <v>3.15E-2</v>
      </c>
      <c r="M37" s="36">
        <f t="shared" si="6"/>
        <v>1575000</v>
      </c>
      <c r="N37" s="36"/>
      <c r="O37" s="36">
        <v>50000000</v>
      </c>
      <c r="P37" s="36"/>
      <c r="Q37" s="36">
        <f>+'Hist-Forecast'!$AP$19-'Hist-Forecast'!$AD$19</f>
        <v>27371.159999999916</v>
      </c>
      <c r="R37" s="36"/>
      <c r="S37" s="36">
        <f>+'Hist-Forecast'!$AP$19</f>
        <v>-175631.68000000017</v>
      </c>
      <c r="T37" s="36"/>
      <c r="U37" s="36">
        <f t="shared" ref="U37:U39" si="8">+I37+S37</f>
        <v>49824368.32</v>
      </c>
    </row>
    <row r="38" spans="1:21" x14ac:dyDescent="0.25">
      <c r="A38" s="19">
        <f t="shared" si="7"/>
        <v>22</v>
      </c>
      <c r="C38" s="3" t="s">
        <v>49</v>
      </c>
      <c r="E38" s="52">
        <v>43977</v>
      </c>
      <c r="F38" s="19"/>
      <c r="G38" s="52">
        <v>49455</v>
      </c>
      <c r="I38" s="36">
        <f>+'Hist-Forecast'!$AP$23</f>
        <v>50000000</v>
      </c>
      <c r="K38" s="46">
        <v>3.3500000000000002E-2</v>
      </c>
      <c r="M38" s="36">
        <f t="shared" si="6"/>
        <v>1675000</v>
      </c>
      <c r="N38" s="36"/>
      <c r="O38" s="36">
        <v>50000000</v>
      </c>
      <c r="P38" s="36"/>
      <c r="Q38" s="36">
        <f>+'Hist-Forecast'!$AP$24-'Hist-Forecast'!$AD$24</f>
        <v>18247.439999999944</v>
      </c>
      <c r="R38" s="36"/>
      <c r="S38" s="36">
        <f>+'Hist-Forecast'!$AP$24</f>
        <v>-208325.12000000011</v>
      </c>
      <c r="T38" s="36"/>
      <c r="U38" s="36">
        <f t="shared" si="8"/>
        <v>49791674.880000003</v>
      </c>
    </row>
    <row r="39" spans="1:21" x14ac:dyDescent="0.25">
      <c r="A39" s="19">
        <f t="shared" si="7"/>
        <v>23</v>
      </c>
      <c r="C39" s="3" t="str">
        <f>+C15</f>
        <v>Variable, Series 2022</v>
      </c>
      <c r="E39" s="52">
        <f>+E15</f>
        <v>44739</v>
      </c>
      <c r="F39" s="19"/>
      <c r="G39" s="52">
        <f>+G15</f>
        <v>45588</v>
      </c>
      <c r="I39" s="36">
        <f>+'Hist-Forecast'!$AP$28</f>
        <v>75000000</v>
      </c>
      <c r="K39" s="46">
        <f>+'Hist-Forecast'!AP3</f>
        <v>3.8769600000000001E-2</v>
      </c>
      <c r="M39" s="36">
        <f t="shared" si="6"/>
        <v>2907720</v>
      </c>
      <c r="N39" s="36"/>
      <c r="O39" s="36">
        <f>+I39</f>
        <v>75000000</v>
      </c>
      <c r="P39" s="36"/>
      <c r="Q39" s="36">
        <f>+Q37</f>
        <v>27371.159999999916</v>
      </c>
      <c r="R39" s="36"/>
      <c r="S39" s="36">
        <f>+'Hist-Forecast'!$AP$29</f>
        <v>-45625</v>
      </c>
      <c r="T39" s="36"/>
      <c r="U39" s="36">
        <f t="shared" si="8"/>
        <v>74954375</v>
      </c>
    </row>
    <row r="40" spans="1:21" x14ac:dyDescent="0.25">
      <c r="A40" s="19">
        <f t="shared" si="7"/>
        <v>24</v>
      </c>
      <c r="E40" s="52"/>
      <c r="F40" s="19"/>
      <c r="G40" s="52"/>
      <c r="I40" s="36"/>
      <c r="K40" s="4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4.25" thickBot="1" x14ac:dyDescent="0.3">
      <c r="A41" s="19">
        <f t="shared" si="7"/>
        <v>25</v>
      </c>
      <c r="E41" s="19"/>
      <c r="F41" s="19"/>
      <c r="G41" s="19"/>
      <c r="I41" s="59">
        <f>SUM(I35:I40)</f>
        <v>392000000</v>
      </c>
      <c r="K41" s="46"/>
      <c r="M41" s="59">
        <f>SUM(M35:M40)</f>
        <v>18226320</v>
      </c>
      <c r="N41" s="36"/>
      <c r="O41" s="59">
        <f>SUM(O35:O40)</f>
        <v>455000000</v>
      </c>
      <c r="P41" s="36"/>
      <c r="Q41" s="59">
        <f>SUM(Q35:Q40)</f>
        <v>150236.15999999922</v>
      </c>
      <c r="R41" s="36"/>
      <c r="S41" s="59">
        <f>SUM(S35:S40)</f>
        <v>-1301324.0000000014</v>
      </c>
      <c r="T41" s="36"/>
      <c r="U41" s="59">
        <f>SUM(U35:U40)</f>
        <v>390698676</v>
      </c>
    </row>
    <row r="42" spans="1:21" ht="14.25" thickTop="1" x14ac:dyDescent="0.25">
      <c r="A42" s="19">
        <f t="shared" si="7"/>
        <v>26</v>
      </c>
      <c r="E42" s="19"/>
      <c r="F42" s="19"/>
      <c r="G42" s="19"/>
      <c r="I42" s="36"/>
      <c r="K42" s="4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4.25" thickBot="1" x14ac:dyDescent="0.3">
      <c r="A43" s="19">
        <f t="shared" si="7"/>
        <v>27</v>
      </c>
      <c r="C43" s="3" t="s">
        <v>39</v>
      </c>
      <c r="E43" s="19"/>
      <c r="F43" s="19"/>
      <c r="G43" s="19"/>
      <c r="I43" s="58">
        <f>+M41/U41</f>
        <v>4.6650580407904943E-2</v>
      </c>
      <c r="K43" s="4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4.25" thickTop="1" x14ac:dyDescent="0.25"/>
  </sheetData>
  <pageMargins left="1" right="1" top="1.5" bottom="1" header="1" footer="1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0F50-D567-4C85-BE95-6FEDCE920A45}">
  <dimension ref="A1:AR66"/>
  <sheetViews>
    <sheetView workbookViewId="0">
      <pane xSplit="3" ySplit="5" topLeftCell="Z21" activePane="bottomRight" state="frozen"/>
      <selection pane="topRight" activeCell="D1" sqref="D1"/>
      <selection pane="bottomLeft" activeCell="A6" sqref="A6"/>
      <selection pane="bottomRight" activeCell="A27" sqref="A27"/>
    </sheetView>
  </sheetViews>
  <sheetFormatPr defaultColWidth="9" defaultRowHeight="13.5" x14ac:dyDescent="0.25"/>
  <cols>
    <col min="1" max="1" width="6.25" style="3" bestFit="1" customWidth="1"/>
    <col min="2" max="2" width="5.25" style="3" customWidth="1"/>
    <col min="3" max="3" width="21.375" style="3" customWidth="1"/>
    <col min="4" max="10" width="10.5" style="3" bestFit="1" customWidth="1"/>
    <col min="11" max="11" width="11.5" style="3" customWidth="1"/>
    <col min="12" max="12" width="10.5" style="3" customWidth="1"/>
    <col min="13" max="14" width="11.5" style="3" customWidth="1"/>
    <col min="15" max="15" width="11.375" style="3" customWidth="1"/>
    <col min="16" max="26" width="10.5" style="3" bestFit="1" customWidth="1"/>
    <col min="27" max="27" width="10.5" style="77" bestFit="1" customWidth="1"/>
    <col min="28" max="41" width="10.5" style="3" bestFit="1" customWidth="1"/>
    <col min="42" max="43" width="10.5" style="77" bestFit="1" customWidth="1"/>
    <col min="44" max="44" width="11.375" style="3" bestFit="1" customWidth="1"/>
    <col min="45" max="16384" width="9" style="3"/>
  </cols>
  <sheetData>
    <row r="1" spans="1:44" ht="15" x14ac:dyDescent="0.3">
      <c r="A1" s="7" t="s">
        <v>73</v>
      </c>
    </row>
    <row r="2" spans="1:44" s="48" customFormat="1" x14ac:dyDescent="0.25">
      <c r="C2" s="48" t="s">
        <v>50</v>
      </c>
      <c r="E2" s="46">
        <v>4.2500000000000003E-2</v>
      </c>
      <c r="F2" s="46">
        <v>1.6875000000000001E-2</v>
      </c>
      <c r="G2" s="46">
        <v>1.6875000000000001E-2</v>
      </c>
      <c r="H2" s="46">
        <v>1.7624999999999998E-2</v>
      </c>
      <c r="I2" s="46">
        <v>2.1375000000000002E-2</v>
      </c>
      <c r="J2" s="46">
        <v>2.5749999999999999E-2</v>
      </c>
      <c r="K2" s="46">
        <v>4.0125000000000001E-2</v>
      </c>
      <c r="L2" s="24">
        <v>3.2625000000000001E-2</v>
      </c>
      <c r="M2" s="24">
        <v>1.6375000000000001E-2</v>
      </c>
      <c r="N2" s="46">
        <v>1.325E-2</v>
      </c>
      <c r="O2" s="46">
        <v>1.575E-2</v>
      </c>
      <c r="P2" s="46">
        <v>1.325E-2</v>
      </c>
      <c r="Q2" s="46">
        <v>1.325E-2</v>
      </c>
      <c r="R2" s="46">
        <v>1.325E-2</v>
      </c>
      <c r="S2" s="46">
        <v>1.325E-2</v>
      </c>
      <c r="T2" s="46">
        <v>1.325E-2</v>
      </c>
      <c r="U2" s="81">
        <v>1.7000000000000001E-2</v>
      </c>
      <c r="V2" s="46">
        <v>1.8800000000000001E-2</v>
      </c>
      <c r="W2" s="46">
        <v>2.3875E-2</v>
      </c>
      <c r="X2" s="46">
        <v>2.3875E-2</v>
      </c>
      <c r="Y2" s="81">
        <v>3.5085999999999999E-2</v>
      </c>
      <c r="Z2" s="46">
        <v>3.85741E-2</v>
      </c>
      <c r="AA2" s="67">
        <f t="shared" ref="AA2:AB2" si="0">+Z2</f>
        <v>3.85741E-2</v>
      </c>
      <c r="AB2" s="53">
        <f t="shared" si="0"/>
        <v>3.85741E-2</v>
      </c>
      <c r="AC2" s="53">
        <f>+AB2</f>
        <v>3.85741E-2</v>
      </c>
      <c r="AD2" s="53">
        <f t="shared" ref="AD2:AP3" si="1">+AC2</f>
        <v>3.85741E-2</v>
      </c>
      <c r="AE2" s="53">
        <f t="shared" si="1"/>
        <v>3.85741E-2</v>
      </c>
      <c r="AF2" s="53">
        <f t="shared" si="1"/>
        <v>3.85741E-2</v>
      </c>
      <c r="AG2" s="53">
        <f t="shared" si="1"/>
        <v>3.85741E-2</v>
      </c>
      <c r="AH2" s="53">
        <f t="shared" si="1"/>
        <v>3.85741E-2</v>
      </c>
      <c r="AI2" s="53">
        <f t="shared" si="1"/>
        <v>3.85741E-2</v>
      </c>
      <c r="AJ2" s="53">
        <f t="shared" si="1"/>
        <v>3.85741E-2</v>
      </c>
      <c r="AK2" s="53">
        <f t="shared" si="1"/>
        <v>3.85741E-2</v>
      </c>
      <c r="AL2" s="53">
        <f t="shared" si="1"/>
        <v>3.85741E-2</v>
      </c>
      <c r="AM2" s="53">
        <f t="shared" si="1"/>
        <v>3.85741E-2</v>
      </c>
      <c r="AN2" s="53">
        <f t="shared" si="1"/>
        <v>3.85741E-2</v>
      </c>
      <c r="AO2" s="53">
        <f t="shared" si="1"/>
        <v>3.85741E-2</v>
      </c>
      <c r="AP2" s="67">
        <f t="shared" si="1"/>
        <v>3.85741E-2</v>
      </c>
      <c r="AQ2" s="72">
        <f t="shared" ref="AQ2" si="2">+AVERAGE(AD2:AP2)</f>
        <v>3.8574099999999993E-2</v>
      </c>
    </row>
    <row r="3" spans="1:44" x14ac:dyDescent="0.25">
      <c r="C3" s="48" t="s">
        <v>79</v>
      </c>
      <c r="X3" s="90">
        <v>3.0753200000000001E-2</v>
      </c>
      <c r="Y3" s="91">
        <f>+X3</f>
        <v>3.0753200000000001E-2</v>
      </c>
      <c r="Z3" s="91">
        <v>3.8769600000000001E-2</v>
      </c>
      <c r="AA3" s="92">
        <f>+Z3</f>
        <v>3.8769600000000001E-2</v>
      </c>
      <c r="AB3" s="93">
        <f>+AA3</f>
        <v>3.8769600000000001E-2</v>
      </c>
      <c r="AC3" s="93">
        <f t="shared" ref="AC3:AP3" si="3">+AB3</f>
        <v>3.8769600000000001E-2</v>
      </c>
      <c r="AD3" s="93">
        <f t="shared" si="1"/>
        <v>3.8769600000000001E-2</v>
      </c>
      <c r="AE3" s="93">
        <f t="shared" si="1"/>
        <v>3.8769600000000001E-2</v>
      </c>
      <c r="AF3" s="93">
        <f t="shared" si="1"/>
        <v>3.8769600000000001E-2</v>
      </c>
      <c r="AG3" s="93">
        <f t="shared" si="1"/>
        <v>3.8769600000000001E-2</v>
      </c>
      <c r="AH3" s="93">
        <f t="shared" si="1"/>
        <v>3.8769600000000001E-2</v>
      </c>
      <c r="AI3" s="93">
        <f t="shared" si="1"/>
        <v>3.8769600000000001E-2</v>
      </c>
      <c r="AJ3" s="93">
        <f t="shared" si="1"/>
        <v>3.8769600000000001E-2</v>
      </c>
      <c r="AK3" s="93">
        <f t="shared" si="1"/>
        <v>3.8769600000000001E-2</v>
      </c>
      <c r="AL3" s="93">
        <f t="shared" si="1"/>
        <v>3.8769600000000001E-2</v>
      </c>
      <c r="AM3" s="93">
        <f t="shared" si="1"/>
        <v>3.8769600000000001E-2</v>
      </c>
      <c r="AN3" s="93">
        <f t="shared" si="1"/>
        <v>3.8769600000000001E-2</v>
      </c>
      <c r="AO3" s="93">
        <f t="shared" si="1"/>
        <v>3.8769600000000001E-2</v>
      </c>
      <c r="AP3" s="94">
        <f t="shared" si="1"/>
        <v>3.8769600000000001E-2</v>
      </c>
    </row>
    <row r="4" spans="1:44" s="7" customFormat="1" ht="15" x14ac:dyDescent="0.3">
      <c r="O4" s="87">
        <v>2021</v>
      </c>
      <c r="P4" s="88"/>
      <c r="Q4" s="88"/>
      <c r="R4" s="89"/>
      <c r="S4" s="87">
        <v>2022</v>
      </c>
      <c r="T4" s="88"/>
      <c r="U4" s="88"/>
      <c r="V4" s="88"/>
      <c r="W4" s="88"/>
      <c r="X4" s="88"/>
      <c r="Y4" s="88"/>
      <c r="Z4" s="88"/>
      <c r="AA4" s="88"/>
      <c r="AB4" s="88"/>
      <c r="AC4" s="88"/>
      <c r="AD4" s="89"/>
      <c r="AE4" s="87">
        <v>2023</v>
      </c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9"/>
      <c r="AQ4" s="78"/>
    </row>
    <row r="5" spans="1:44" s="7" customFormat="1" ht="15" x14ac:dyDescent="0.3">
      <c r="A5" s="7" t="s">
        <v>51</v>
      </c>
      <c r="B5" s="7" t="s">
        <v>52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  <c r="O5" s="49">
        <v>44469</v>
      </c>
      <c r="P5" s="49">
        <v>44500</v>
      </c>
      <c r="Q5" s="49">
        <v>44530</v>
      </c>
      <c r="R5" s="49">
        <v>44561</v>
      </c>
      <c r="S5" s="49">
        <v>44592</v>
      </c>
      <c r="T5" s="49">
        <v>44620</v>
      </c>
      <c r="U5" s="49">
        <v>44651</v>
      </c>
      <c r="V5" s="49">
        <v>44681</v>
      </c>
      <c r="W5" s="49">
        <v>44712</v>
      </c>
      <c r="X5" s="49">
        <v>44742</v>
      </c>
      <c r="Y5" s="49">
        <v>44773</v>
      </c>
      <c r="Z5" s="49">
        <v>44804</v>
      </c>
      <c r="AA5" s="68">
        <v>44834</v>
      </c>
      <c r="AB5" s="49">
        <v>44865</v>
      </c>
      <c r="AC5" s="49">
        <v>44895</v>
      </c>
      <c r="AD5" s="49">
        <v>44926</v>
      </c>
      <c r="AE5" s="49">
        <v>44957</v>
      </c>
      <c r="AF5" s="49">
        <v>44985</v>
      </c>
      <c r="AG5" s="49">
        <v>45016</v>
      </c>
      <c r="AH5" s="49">
        <v>45046</v>
      </c>
      <c r="AI5" s="49">
        <v>45077</v>
      </c>
      <c r="AJ5" s="49">
        <v>45107</v>
      </c>
      <c r="AK5" s="49">
        <v>45138</v>
      </c>
      <c r="AL5" s="49">
        <v>45169</v>
      </c>
      <c r="AM5" s="49">
        <v>45199</v>
      </c>
      <c r="AN5" s="49">
        <v>45230</v>
      </c>
      <c r="AO5" s="49">
        <v>45260</v>
      </c>
      <c r="AP5" s="68">
        <v>45291</v>
      </c>
      <c r="AQ5" s="79" t="s">
        <v>53</v>
      </c>
    </row>
    <row r="6" spans="1:44" ht="15" x14ac:dyDescent="0.3">
      <c r="C6" s="7" t="s">
        <v>54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9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69"/>
    </row>
    <row r="7" spans="1:44" x14ac:dyDescent="0.25">
      <c r="A7" s="24">
        <v>6.5799999999999997E-2</v>
      </c>
      <c r="B7" s="3">
        <v>180</v>
      </c>
      <c r="C7" s="3" t="s">
        <v>46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69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69"/>
    </row>
    <row r="8" spans="1:44" x14ac:dyDescent="0.25">
      <c r="C8" s="3" t="s">
        <v>55</v>
      </c>
      <c r="D8" s="36">
        <v>180000000</v>
      </c>
      <c r="E8" s="36">
        <v>180000000</v>
      </c>
      <c r="F8" s="36">
        <v>180000000</v>
      </c>
      <c r="G8" s="36">
        <v>180000000</v>
      </c>
      <c r="H8" s="36">
        <v>180000000</v>
      </c>
      <c r="I8" s="36">
        <v>180000000</v>
      </c>
      <c r="J8" s="36">
        <v>171000000</v>
      </c>
      <c r="K8" s="36">
        <v>162000000</v>
      </c>
      <c r="L8" s="36">
        <f>+K8-9000000</f>
        <v>153000000</v>
      </c>
      <c r="M8" s="36">
        <f>+L8-9000000</f>
        <v>144000000</v>
      </c>
      <c r="N8" s="36">
        <f>+R8</f>
        <v>135000000</v>
      </c>
      <c r="O8" s="36">
        <f>+M8-9000000</f>
        <v>135000000</v>
      </c>
      <c r="P8" s="36">
        <f>+O8</f>
        <v>135000000</v>
      </c>
      <c r="Q8" s="36">
        <f t="shared" ref="Q8:X8" si="4">+P8</f>
        <v>135000000</v>
      </c>
      <c r="R8" s="36">
        <f t="shared" si="4"/>
        <v>135000000</v>
      </c>
      <c r="S8" s="36">
        <f t="shared" si="4"/>
        <v>135000000</v>
      </c>
      <c r="T8" s="36">
        <f t="shared" si="4"/>
        <v>135000000</v>
      </c>
      <c r="U8" s="36">
        <f t="shared" si="4"/>
        <v>135000000</v>
      </c>
      <c r="V8" s="36">
        <f t="shared" si="4"/>
        <v>135000000</v>
      </c>
      <c r="W8" s="36">
        <f t="shared" si="4"/>
        <v>135000000</v>
      </c>
      <c r="X8" s="36">
        <f t="shared" si="4"/>
        <v>135000000</v>
      </c>
      <c r="Y8" s="36">
        <f>+X8-9000000</f>
        <v>126000000</v>
      </c>
      <c r="Z8" s="36">
        <f t="shared" ref="Z8:AJ8" si="5">+Y8</f>
        <v>126000000</v>
      </c>
      <c r="AA8" s="69">
        <f t="shared" si="5"/>
        <v>126000000</v>
      </c>
      <c r="AB8" s="36">
        <f t="shared" si="5"/>
        <v>126000000</v>
      </c>
      <c r="AC8" s="36">
        <f t="shared" si="5"/>
        <v>126000000</v>
      </c>
      <c r="AD8" s="36">
        <f t="shared" si="5"/>
        <v>126000000</v>
      </c>
      <c r="AE8" s="36">
        <f t="shared" si="5"/>
        <v>126000000</v>
      </c>
      <c r="AF8" s="36">
        <f t="shared" si="5"/>
        <v>126000000</v>
      </c>
      <c r="AG8" s="36">
        <f t="shared" si="5"/>
        <v>126000000</v>
      </c>
      <c r="AH8" s="36">
        <f t="shared" si="5"/>
        <v>126000000</v>
      </c>
      <c r="AI8" s="36">
        <f t="shared" si="5"/>
        <v>126000000</v>
      </c>
      <c r="AJ8" s="36">
        <f t="shared" si="5"/>
        <v>126000000</v>
      </c>
      <c r="AK8" s="36">
        <f>+AJ8-9000000</f>
        <v>117000000</v>
      </c>
      <c r="AL8" s="36">
        <f t="shared" ref="AL8:AP8" si="6">+AK8</f>
        <v>117000000</v>
      </c>
      <c r="AM8" s="36">
        <f t="shared" si="6"/>
        <v>117000000</v>
      </c>
      <c r="AN8" s="36">
        <f t="shared" si="6"/>
        <v>117000000</v>
      </c>
      <c r="AO8" s="36">
        <f t="shared" si="6"/>
        <v>117000000</v>
      </c>
      <c r="AP8" s="69">
        <f t="shared" si="6"/>
        <v>117000000</v>
      </c>
      <c r="AQ8" s="80">
        <f>+AVERAGE(AD8:AP8)</f>
        <v>121846153.84615384</v>
      </c>
    </row>
    <row r="9" spans="1:44" x14ac:dyDescent="0.25">
      <c r="C9" s="3" t="s">
        <v>56</v>
      </c>
      <c r="D9" s="36">
        <f t="shared" ref="D9:K9" si="7">+E9-42434.4</f>
        <v>-1041537.2000000002</v>
      </c>
      <c r="E9" s="36">
        <f t="shared" si="7"/>
        <v>-999102.80000000016</v>
      </c>
      <c r="F9" s="36">
        <f t="shared" si="7"/>
        <v>-956668.40000000014</v>
      </c>
      <c r="G9" s="36">
        <f t="shared" si="7"/>
        <v>-914234.00000000012</v>
      </c>
      <c r="H9" s="36">
        <f t="shared" si="7"/>
        <v>-871799.60000000009</v>
      </c>
      <c r="I9" s="36">
        <f t="shared" si="7"/>
        <v>-829365.20000000007</v>
      </c>
      <c r="J9" s="36">
        <f t="shared" si="7"/>
        <v>-786930.8</v>
      </c>
      <c r="K9" s="36">
        <f t="shared" si="7"/>
        <v>-744496.4</v>
      </c>
      <c r="L9" s="36">
        <v>-702062</v>
      </c>
      <c r="M9" s="36">
        <v>-659628</v>
      </c>
      <c r="N9" s="36">
        <f>+R9</f>
        <v>-617193</v>
      </c>
      <c r="O9" s="36">
        <f>+P9-(42434.4/12)</f>
        <v>-627801.59999999986</v>
      </c>
      <c r="P9" s="36">
        <f>+Q9-(42434.4/12)</f>
        <v>-624265.39999999991</v>
      </c>
      <c r="Q9" s="36">
        <f>+R9-(42434.4/12)</f>
        <v>-620729.19999999995</v>
      </c>
      <c r="R9" s="36">
        <v>-617193</v>
      </c>
      <c r="S9" s="36">
        <f t="shared" ref="S9:AP9" si="8">+R9+(42434.4/12)</f>
        <v>-613656.80000000005</v>
      </c>
      <c r="T9" s="36">
        <f t="shared" si="8"/>
        <v>-610120.60000000009</v>
      </c>
      <c r="U9" s="36">
        <f t="shared" si="8"/>
        <v>-606584.40000000014</v>
      </c>
      <c r="V9" s="36">
        <f t="shared" si="8"/>
        <v>-603048.20000000019</v>
      </c>
      <c r="W9" s="36">
        <f t="shared" si="8"/>
        <v>-599512.00000000023</v>
      </c>
      <c r="X9" s="36">
        <f t="shared" si="8"/>
        <v>-595975.80000000028</v>
      </c>
      <c r="Y9" s="36">
        <f t="shared" si="8"/>
        <v>-592439.60000000033</v>
      </c>
      <c r="Z9" s="36">
        <f t="shared" si="8"/>
        <v>-588903.40000000037</v>
      </c>
      <c r="AA9" s="69">
        <f t="shared" si="8"/>
        <v>-585367.20000000042</v>
      </c>
      <c r="AB9" s="36">
        <f t="shared" si="8"/>
        <v>-581831.00000000047</v>
      </c>
      <c r="AC9" s="36">
        <f t="shared" si="8"/>
        <v>-578294.80000000051</v>
      </c>
      <c r="AD9" s="36">
        <f t="shared" si="8"/>
        <v>-574758.60000000056</v>
      </c>
      <c r="AE9" s="36">
        <f t="shared" si="8"/>
        <v>-571222.40000000061</v>
      </c>
      <c r="AF9" s="36">
        <f t="shared" si="8"/>
        <v>-567686.20000000065</v>
      </c>
      <c r="AG9" s="36">
        <f t="shared" si="8"/>
        <v>-564150.0000000007</v>
      </c>
      <c r="AH9" s="36">
        <f t="shared" si="8"/>
        <v>-560613.80000000075</v>
      </c>
      <c r="AI9" s="36">
        <f t="shared" si="8"/>
        <v>-557077.60000000079</v>
      </c>
      <c r="AJ9" s="36">
        <f t="shared" si="8"/>
        <v>-553541.40000000084</v>
      </c>
      <c r="AK9" s="36">
        <f t="shared" si="8"/>
        <v>-550005.20000000088</v>
      </c>
      <c r="AL9" s="36">
        <f t="shared" si="8"/>
        <v>-546469.00000000093</v>
      </c>
      <c r="AM9" s="36">
        <f t="shared" si="8"/>
        <v>-542932.80000000098</v>
      </c>
      <c r="AN9" s="36">
        <f t="shared" si="8"/>
        <v>-539396.60000000102</v>
      </c>
      <c r="AO9" s="36">
        <f t="shared" si="8"/>
        <v>-535860.40000000107</v>
      </c>
      <c r="AP9" s="69">
        <f t="shared" si="8"/>
        <v>-532324.20000000112</v>
      </c>
      <c r="AQ9" s="80">
        <f t="shared" ref="AQ9:AQ43" si="9">+AVERAGE(AD9:AP9)</f>
        <v>-553541.40000000084</v>
      </c>
    </row>
    <row r="10" spans="1:44" x14ac:dyDescent="0.25">
      <c r="C10" s="3" t="s">
        <v>57</v>
      </c>
      <c r="D10" s="36"/>
      <c r="E10" s="36">
        <f>+SUM(D8:E8)/2*$A7</f>
        <v>11844000</v>
      </c>
      <c r="F10" s="36">
        <f t="shared" ref="F10:N10" si="10">+SUM(E8:F8)/2*$A7</f>
        <v>11844000</v>
      </c>
      <c r="G10" s="36">
        <f t="shared" si="10"/>
        <v>11844000</v>
      </c>
      <c r="H10" s="36">
        <f t="shared" si="10"/>
        <v>11844000</v>
      </c>
      <c r="I10" s="36">
        <f t="shared" si="10"/>
        <v>11844000</v>
      </c>
      <c r="J10" s="36">
        <f t="shared" si="10"/>
        <v>11547900</v>
      </c>
      <c r="K10" s="36">
        <f t="shared" si="10"/>
        <v>10955700</v>
      </c>
      <c r="L10" s="36">
        <f t="shared" si="10"/>
        <v>10363500</v>
      </c>
      <c r="M10" s="36">
        <f t="shared" si="10"/>
        <v>9771300</v>
      </c>
      <c r="N10" s="36">
        <f t="shared" si="10"/>
        <v>9179100</v>
      </c>
      <c r="O10" s="36">
        <f>+SUM(O8:O8)*$A7/12</f>
        <v>740250</v>
      </c>
      <c r="P10" s="36">
        <f t="shared" ref="P10:AP10" si="11">+SUM(P8:P8)*$A7/12</f>
        <v>740250</v>
      </c>
      <c r="Q10" s="36">
        <f t="shared" si="11"/>
        <v>740250</v>
      </c>
      <c r="R10" s="36">
        <f t="shared" si="11"/>
        <v>740250</v>
      </c>
      <c r="S10" s="36">
        <f t="shared" si="11"/>
        <v>740250</v>
      </c>
      <c r="T10" s="36">
        <f t="shared" si="11"/>
        <v>740250</v>
      </c>
      <c r="U10" s="36">
        <f t="shared" si="11"/>
        <v>740250</v>
      </c>
      <c r="V10" s="36">
        <f t="shared" si="11"/>
        <v>740250</v>
      </c>
      <c r="W10" s="36">
        <f t="shared" si="11"/>
        <v>740250</v>
      </c>
      <c r="X10" s="36">
        <f t="shared" si="11"/>
        <v>740250</v>
      </c>
      <c r="Y10" s="36">
        <f t="shared" si="11"/>
        <v>690900</v>
      </c>
      <c r="Z10" s="36">
        <f t="shared" si="11"/>
        <v>690900</v>
      </c>
      <c r="AA10" s="69">
        <f t="shared" si="11"/>
        <v>690900</v>
      </c>
      <c r="AB10" s="36">
        <f t="shared" si="11"/>
        <v>690900</v>
      </c>
      <c r="AC10" s="36">
        <f t="shared" si="11"/>
        <v>690900</v>
      </c>
      <c r="AD10" s="36">
        <f t="shared" si="11"/>
        <v>690900</v>
      </c>
      <c r="AE10" s="36">
        <f t="shared" si="11"/>
        <v>690900</v>
      </c>
      <c r="AF10" s="36">
        <f t="shared" si="11"/>
        <v>690900</v>
      </c>
      <c r="AG10" s="36">
        <f t="shared" si="11"/>
        <v>690900</v>
      </c>
      <c r="AH10" s="36">
        <f t="shared" si="11"/>
        <v>690900</v>
      </c>
      <c r="AI10" s="36">
        <f t="shared" si="11"/>
        <v>690900</v>
      </c>
      <c r="AJ10" s="36">
        <f t="shared" si="11"/>
        <v>690900</v>
      </c>
      <c r="AK10" s="36">
        <f t="shared" si="11"/>
        <v>641550</v>
      </c>
      <c r="AL10" s="36">
        <f t="shared" si="11"/>
        <v>641550</v>
      </c>
      <c r="AM10" s="36">
        <f t="shared" si="11"/>
        <v>641550</v>
      </c>
      <c r="AN10" s="36">
        <f t="shared" si="11"/>
        <v>641550</v>
      </c>
      <c r="AO10" s="36">
        <f t="shared" si="11"/>
        <v>641550</v>
      </c>
      <c r="AP10" s="69">
        <f t="shared" si="11"/>
        <v>641550</v>
      </c>
      <c r="AQ10" s="80">
        <f t="shared" si="9"/>
        <v>668123.07692307688</v>
      </c>
      <c r="AR10" s="36">
        <f>+AQ10*12</f>
        <v>8017476.9230769221</v>
      </c>
    </row>
    <row r="11" spans="1:44" x14ac:dyDescent="0.25"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69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69"/>
      <c r="AQ11" s="80"/>
    </row>
    <row r="12" spans="1:44" x14ac:dyDescent="0.25">
      <c r="A12" s="24">
        <v>4.3700000000000003E-2</v>
      </c>
      <c r="B12" s="3">
        <v>100</v>
      </c>
      <c r="C12" s="3" t="s">
        <v>47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69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69"/>
      <c r="AQ12" s="80"/>
    </row>
    <row r="13" spans="1:44" x14ac:dyDescent="0.25">
      <c r="C13" s="3" t="s">
        <v>55</v>
      </c>
      <c r="D13" s="36"/>
      <c r="E13" s="36"/>
      <c r="F13" s="36"/>
      <c r="G13" s="36"/>
      <c r="H13" s="36"/>
      <c r="I13" s="36"/>
      <c r="J13" s="36"/>
      <c r="K13" s="36">
        <v>100000000</v>
      </c>
      <c r="L13" s="36">
        <v>100000000</v>
      </c>
      <c r="M13" s="36">
        <v>100000000</v>
      </c>
      <c r="N13" s="36">
        <v>100000000</v>
      </c>
      <c r="O13" s="36">
        <v>100000000</v>
      </c>
      <c r="P13" s="36">
        <v>100000000</v>
      </c>
      <c r="Q13" s="36">
        <v>100000000</v>
      </c>
      <c r="R13" s="36">
        <v>100000000</v>
      </c>
      <c r="S13" s="36">
        <v>100000000</v>
      </c>
      <c r="T13" s="36">
        <v>100000000</v>
      </c>
      <c r="U13" s="36">
        <v>100000000</v>
      </c>
      <c r="V13" s="36">
        <v>100000000</v>
      </c>
      <c r="W13" s="36">
        <v>100000000</v>
      </c>
      <c r="X13" s="36">
        <v>100000000</v>
      </c>
      <c r="Y13" s="36">
        <v>100000000</v>
      </c>
      <c r="Z13" s="36">
        <v>100000000</v>
      </c>
      <c r="AA13" s="69">
        <v>100000000</v>
      </c>
      <c r="AB13" s="36">
        <v>100000000</v>
      </c>
      <c r="AC13" s="36">
        <v>100000000</v>
      </c>
      <c r="AD13" s="36">
        <v>100000000</v>
      </c>
      <c r="AE13" s="36">
        <v>100000000</v>
      </c>
      <c r="AF13" s="36">
        <v>100000000</v>
      </c>
      <c r="AG13" s="36">
        <v>100000000</v>
      </c>
      <c r="AH13" s="36">
        <v>100000000</v>
      </c>
      <c r="AI13" s="36">
        <v>100000000</v>
      </c>
      <c r="AJ13" s="36">
        <v>100000000</v>
      </c>
      <c r="AK13" s="36">
        <v>100000000</v>
      </c>
      <c r="AL13" s="36">
        <v>100000000</v>
      </c>
      <c r="AM13" s="36">
        <v>100000000</v>
      </c>
      <c r="AN13" s="36">
        <v>100000000</v>
      </c>
      <c r="AO13" s="36">
        <v>100000000</v>
      </c>
      <c r="AP13" s="69">
        <v>100000000</v>
      </c>
      <c r="AQ13" s="80">
        <f t="shared" si="9"/>
        <v>100000000</v>
      </c>
    </row>
    <row r="14" spans="1:44" x14ac:dyDescent="0.25">
      <c r="C14" s="3" t="s">
        <v>56</v>
      </c>
      <c r="D14" s="36"/>
      <c r="E14" s="36"/>
      <c r="F14" s="36"/>
      <c r="G14" s="36"/>
      <c r="H14" s="36"/>
      <c r="I14" s="36"/>
      <c r="J14" s="36"/>
      <c r="K14" s="36">
        <f>+L14-(34812/4)</f>
        <v>-487369</v>
      </c>
      <c r="L14" s="36">
        <v>-478666</v>
      </c>
      <c r="M14" s="36">
        <v>-443854</v>
      </c>
      <c r="N14" s="36">
        <f>+R14</f>
        <v>-409042</v>
      </c>
      <c r="O14" s="36">
        <f>+P14-(34812/12)</f>
        <v>-417745</v>
      </c>
      <c r="P14" s="36">
        <f>+Q14-(34812/12)</f>
        <v>-414844</v>
      </c>
      <c r="Q14" s="36">
        <f>+R14-(34812/12)</f>
        <v>-411943</v>
      </c>
      <c r="R14" s="36">
        <v>-409042</v>
      </c>
      <c r="S14" s="36">
        <f>+R14+(34812/12)</f>
        <v>-406141</v>
      </c>
      <c r="T14" s="36">
        <f t="shared" ref="T14:AP14" si="12">+S14+(34812/12)</f>
        <v>-403240</v>
      </c>
      <c r="U14" s="36">
        <f t="shared" si="12"/>
        <v>-400339</v>
      </c>
      <c r="V14" s="36">
        <f t="shared" si="12"/>
        <v>-397438</v>
      </c>
      <c r="W14" s="36">
        <f t="shared" si="12"/>
        <v>-394537</v>
      </c>
      <c r="X14" s="36">
        <f t="shared" si="12"/>
        <v>-391636</v>
      </c>
      <c r="Y14" s="36">
        <f t="shared" si="12"/>
        <v>-388735</v>
      </c>
      <c r="Z14" s="36">
        <f t="shared" si="12"/>
        <v>-385834</v>
      </c>
      <c r="AA14" s="69">
        <f t="shared" si="12"/>
        <v>-382933</v>
      </c>
      <c r="AB14" s="36">
        <f t="shared" si="12"/>
        <v>-380032</v>
      </c>
      <c r="AC14" s="36">
        <f t="shared" si="12"/>
        <v>-377131</v>
      </c>
      <c r="AD14" s="36">
        <f t="shared" si="12"/>
        <v>-374230</v>
      </c>
      <c r="AE14" s="36">
        <f t="shared" si="12"/>
        <v>-371329</v>
      </c>
      <c r="AF14" s="36">
        <f t="shared" si="12"/>
        <v>-368428</v>
      </c>
      <c r="AG14" s="36">
        <f t="shared" si="12"/>
        <v>-365527</v>
      </c>
      <c r="AH14" s="36">
        <f t="shared" si="12"/>
        <v>-362626</v>
      </c>
      <c r="AI14" s="36">
        <f t="shared" si="12"/>
        <v>-359725</v>
      </c>
      <c r="AJ14" s="36">
        <f t="shared" si="12"/>
        <v>-356824</v>
      </c>
      <c r="AK14" s="36">
        <f t="shared" si="12"/>
        <v>-353923</v>
      </c>
      <c r="AL14" s="36">
        <f t="shared" si="12"/>
        <v>-351022</v>
      </c>
      <c r="AM14" s="36">
        <f t="shared" si="12"/>
        <v>-348121</v>
      </c>
      <c r="AN14" s="36">
        <f t="shared" si="12"/>
        <v>-345220</v>
      </c>
      <c r="AO14" s="36">
        <f t="shared" si="12"/>
        <v>-342319</v>
      </c>
      <c r="AP14" s="69">
        <f t="shared" si="12"/>
        <v>-339418</v>
      </c>
      <c r="AQ14" s="80">
        <f t="shared" si="9"/>
        <v>-356824</v>
      </c>
    </row>
    <row r="15" spans="1:44" x14ac:dyDescent="0.25">
      <c r="C15" s="3" t="s">
        <v>57</v>
      </c>
      <c r="D15" s="36"/>
      <c r="E15" s="36"/>
      <c r="F15" s="36"/>
      <c r="G15" s="36"/>
      <c r="H15" s="36"/>
      <c r="I15" s="36"/>
      <c r="J15" s="36"/>
      <c r="K15" s="36">
        <f>+SUM(K13:K13)*$A12/12*3</f>
        <v>1092500</v>
      </c>
      <c r="L15" s="36">
        <f>+SUM(K13:L13)/2*$A12</f>
        <v>4370000</v>
      </c>
      <c r="M15" s="36">
        <f t="shared" ref="M15:N15" si="13">+SUM(L13:M13)/2*$A12</f>
        <v>4370000</v>
      </c>
      <c r="N15" s="36">
        <f t="shared" si="13"/>
        <v>4370000</v>
      </c>
      <c r="O15" s="36">
        <f>+SUM(O13:O13)*$A12/12</f>
        <v>364166.66666666669</v>
      </c>
      <c r="P15" s="36">
        <f t="shared" ref="P15:AP15" si="14">+SUM(P13:P13)*$A12/12</f>
        <v>364166.66666666669</v>
      </c>
      <c r="Q15" s="36">
        <f t="shared" si="14"/>
        <v>364166.66666666669</v>
      </c>
      <c r="R15" s="36">
        <f t="shared" si="14"/>
        <v>364166.66666666669</v>
      </c>
      <c r="S15" s="36">
        <f t="shared" si="14"/>
        <v>364166.66666666669</v>
      </c>
      <c r="T15" s="36">
        <f t="shared" si="14"/>
        <v>364166.66666666669</v>
      </c>
      <c r="U15" s="36">
        <f t="shared" si="14"/>
        <v>364166.66666666669</v>
      </c>
      <c r="V15" s="36">
        <f t="shared" si="14"/>
        <v>364166.66666666669</v>
      </c>
      <c r="W15" s="36">
        <f t="shared" si="14"/>
        <v>364166.66666666669</v>
      </c>
      <c r="X15" s="36">
        <f t="shared" si="14"/>
        <v>364166.66666666669</v>
      </c>
      <c r="Y15" s="36">
        <f t="shared" si="14"/>
        <v>364166.66666666669</v>
      </c>
      <c r="Z15" s="36">
        <f t="shared" si="14"/>
        <v>364166.66666666669</v>
      </c>
      <c r="AA15" s="69">
        <f t="shared" si="14"/>
        <v>364166.66666666669</v>
      </c>
      <c r="AB15" s="36">
        <f t="shared" si="14"/>
        <v>364166.66666666669</v>
      </c>
      <c r="AC15" s="36">
        <f t="shared" si="14"/>
        <v>364166.66666666669</v>
      </c>
      <c r="AD15" s="36">
        <f t="shared" si="14"/>
        <v>364166.66666666669</v>
      </c>
      <c r="AE15" s="36">
        <f t="shared" si="14"/>
        <v>364166.66666666669</v>
      </c>
      <c r="AF15" s="36">
        <f t="shared" si="14"/>
        <v>364166.66666666669</v>
      </c>
      <c r="AG15" s="36">
        <f t="shared" si="14"/>
        <v>364166.66666666669</v>
      </c>
      <c r="AH15" s="36">
        <f t="shared" si="14"/>
        <v>364166.66666666669</v>
      </c>
      <c r="AI15" s="36">
        <f t="shared" si="14"/>
        <v>364166.66666666669</v>
      </c>
      <c r="AJ15" s="36">
        <f t="shared" si="14"/>
        <v>364166.66666666669</v>
      </c>
      <c r="AK15" s="36">
        <f t="shared" si="14"/>
        <v>364166.66666666669</v>
      </c>
      <c r="AL15" s="36">
        <f t="shared" si="14"/>
        <v>364166.66666666669</v>
      </c>
      <c r="AM15" s="36">
        <f t="shared" si="14"/>
        <v>364166.66666666669</v>
      </c>
      <c r="AN15" s="36">
        <f t="shared" si="14"/>
        <v>364166.66666666669</v>
      </c>
      <c r="AO15" s="36">
        <f t="shared" si="14"/>
        <v>364166.66666666669</v>
      </c>
      <c r="AP15" s="69">
        <f t="shared" si="14"/>
        <v>364166.66666666669</v>
      </c>
      <c r="AQ15" s="80">
        <f t="shared" si="9"/>
        <v>364166.66666666663</v>
      </c>
      <c r="AR15" s="36">
        <f>+AQ15*12</f>
        <v>4370000</v>
      </c>
    </row>
    <row r="16" spans="1:44" x14ac:dyDescent="0.25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69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69"/>
      <c r="AQ16" s="80"/>
    </row>
    <row r="17" spans="1:44" x14ac:dyDescent="0.25">
      <c r="A17" s="24">
        <v>3.15E-2</v>
      </c>
      <c r="B17" s="3">
        <v>50</v>
      </c>
      <c r="C17" s="3" t="s">
        <v>48</v>
      </c>
      <c r="D17" s="36"/>
      <c r="E17" s="36"/>
      <c r="F17" s="36"/>
      <c r="G17" s="36"/>
      <c r="H17" s="36"/>
      <c r="I17" s="36"/>
      <c r="J17" s="36"/>
      <c r="K17" s="36"/>
      <c r="L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69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69"/>
      <c r="AQ17" s="80"/>
    </row>
    <row r="18" spans="1:44" x14ac:dyDescent="0.25">
      <c r="C18" s="3" t="s">
        <v>55</v>
      </c>
      <c r="D18" s="36"/>
      <c r="E18" s="36"/>
      <c r="F18" s="36"/>
      <c r="G18" s="36"/>
      <c r="H18" s="36"/>
      <c r="I18" s="36"/>
      <c r="J18" s="36"/>
      <c r="K18" s="36"/>
      <c r="L18" s="36"/>
      <c r="M18" s="36">
        <v>50000000</v>
      </c>
      <c r="N18" s="36">
        <v>50000000</v>
      </c>
      <c r="O18" s="36">
        <v>50000000</v>
      </c>
      <c r="P18" s="36">
        <v>50000000</v>
      </c>
      <c r="Q18" s="36">
        <v>50000000</v>
      </c>
      <c r="R18" s="36">
        <v>50000000</v>
      </c>
      <c r="S18" s="36">
        <v>50000000</v>
      </c>
      <c r="T18" s="36">
        <v>50000000</v>
      </c>
      <c r="U18" s="36">
        <v>50000000</v>
      </c>
      <c r="V18" s="36">
        <v>50000000</v>
      </c>
      <c r="W18" s="36">
        <v>50000000</v>
      </c>
      <c r="X18" s="36">
        <v>50000000</v>
      </c>
      <c r="Y18" s="36">
        <v>50000000</v>
      </c>
      <c r="Z18" s="36">
        <v>50000000</v>
      </c>
      <c r="AA18" s="69">
        <v>50000000</v>
      </c>
      <c r="AB18" s="36">
        <v>50000000</v>
      </c>
      <c r="AC18" s="36">
        <v>50000000</v>
      </c>
      <c r="AD18" s="36">
        <v>50000000</v>
      </c>
      <c r="AE18" s="36">
        <v>50000000</v>
      </c>
      <c r="AF18" s="36">
        <v>50000000</v>
      </c>
      <c r="AG18" s="36">
        <v>50000000</v>
      </c>
      <c r="AH18" s="36">
        <v>50000000</v>
      </c>
      <c r="AI18" s="36">
        <v>50000000</v>
      </c>
      <c r="AJ18" s="36">
        <v>50000000</v>
      </c>
      <c r="AK18" s="36">
        <v>50000000</v>
      </c>
      <c r="AL18" s="36">
        <v>50000000</v>
      </c>
      <c r="AM18" s="36">
        <v>50000000</v>
      </c>
      <c r="AN18" s="36">
        <v>50000000</v>
      </c>
      <c r="AO18" s="36">
        <v>50000000</v>
      </c>
      <c r="AP18" s="69">
        <v>50000000</v>
      </c>
      <c r="AQ18" s="80">
        <f t="shared" si="9"/>
        <v>50000000</v>
      </c>
    </row>
    <row r="19" spans="1:44" x14ac:dyDescent="0.25">
      <c r="C19" s="3" t="s">
        <v>56</v>
      </c>
      <c r="D19" s="36"/>
      <c r="E19" s="36"/>
      <c r="F19" s="36"/>
      <c r="G19" s="36"/>
      <c r="H19" s="36"/>
      <c r="I19" s="36"/>
      <c r="J19" s="36"/>
      <c r="K19" s="36"/>
      <c r="L19" s="36"/>
      <c r="M19" s="36">
        <v>-219759</v>
      </c>
      <c r="N19" s="36">
        <f>+R19</f>
        <v>-230374</v>
      </c>
      <c r="O19" s="36">
        <f t="shared" ref="O19:P19" si="15">+P19-2280.93</f>
        <v>-237216.78999999998</v>
      </c>
      <c r="P19" s="36">
        <f t="shared" si="15"/>
        <v>-234935.86</v>
      </c>
      <c r="Q19" s="36">
        <f>+R19-2280.93</f>
        <v>-232654.93</v>
      </c>
      <c r="R19" s="36">
        <v>-230374</v>
      </c>
      <c r="S19" s="36">
        <f>+R19+2280.93</f>
        <v>-228093.07</v>
      </c>
      <c r="T19" s="36">
        <f t="shared" ref="T19:AP19" si="16">+S19+2280.93</f>
        <v>-225812.14</v>
      </c>
      <c r="U19" s="36">
        <f t="shared" si="16"/>
        <v>-223531.21000000002</v>
      </c>
      <c r="V19" s="36">
        <f t="shared" si="16"/>
        <v>-221250.28000000003</v>
      </c>
      <c r="W19" s="36">
        <f t="shared" si="16"/>
        <v>-218969.35000000003</v>
      </c>
      <c r="X19" s="36">
        <f t="shared" si="16"/>
        <v>-216688.42000000004</v>
      </c>
      <c r="Y19" s="36">
        <f t="shared" si="16"/>
        <v>-214407.49000000005</v>
      </c>
      <c r="Z19" s="36">
        <f t="shared" si="16"/>
        <v>-212126.56000000006</v>
      </c>
      <c r="AA19" s="69">
        <f t="shared" si="16"/>
        <v>-209845.63000000006</v>
      </c>
      <c r="AB19" s="36">
        <f t="shared" si="16"/>
        <v>-207564.70000000007</v>
      </c>
      <c r="AC19" s="36">
        <f t="shared" si="16"/>
        <v>-205283.77000000008</v>
      </c>
      <c r="AD19" s="36">
        <f t="shared" si="16"/>
        <v>-203002.84000000008</v>
      </c>
      <c r="AE19" s="36">
        <f t="shared" si="16"/>
        <v>-200721.91000000009</v>
      </c>
      <c r="AF19" s="36">
        <f t="shared" si="16"/>
        <v>-198440.9800000001</v>
      </c>
      <c r="AG19" s="36">
        <f t="shared" si="16"/>
        <v>-196160.0500000001</v>
      </c>
      <c r="AH19" s="36">
        <f t="shared" si="16"/>
        <v>-193879.12000000011</v>
      </c>
      <c r="AI19" s="36">
        <f t="shared" si="16"/>
        <v>-191598.19000000012</v>
      </c>
      <c r="AJ19" s="36">
        <f t="shared" si="16"/>
        <v>-189317.26000000013</v>
      </c>
      <c r="AK19" s="36">
        <f t="shared" si="16"/>
        <v>-187036.33000000013</v>
      </c>
      <c r="AL19" s="36">
        <f t="shared" si="16"/>
        <v>-184755.40000000014</v>
      </c>
      <c r="AM19" s="36">
        <f t="shared" si="16"/>
        <v>-182474.47000000015</v>
      </c>
      <c r="AN19" s="36">
        <f t="shared" si="16"/>
        <v>-180193.54000000015</v>
      </c>
      <c r="AO19" s="36">
        <f t="shared" si="16"/>
        <v>-177912.61000000016</v>
      </c>
      <c r="AP19" s="69">
        <f t="shared" si="16"/>
        <v>-175631.68000000017</v>
      </c>
      <c r="AQ19" s="80">
        <f t="shared" si="9"/>
        <v>-189317.26000000013</v>
      </c>
    </row>
    <row r="20" spans="1:44" x14ac:dyDescent="0.25">
      <c r="C20" s="3" t="s">
        <v>57</v>
      </c>
      <c r="D20" s="36"/>
      <c r="E20" s="36"/>
      <c r="F20" s="36"/>
      <c r="G20" s="36"/>
      <c r="H20" s="36"/>
      <c r="I20" s="36"/>
      <c r="J20" s="36"/>
      <c r="K20" s="36"/>
      <c r="L20" s="36"/>
      <c r="M20" s="36">
        <f>+SUM(M18:M18)*$A17/12*7</f>
        <v>918750</v>
      </c>
      <c r="N20" s="36">
        <f>+SUM(M18:N18)/2*$A17</f>
        <v>1575000</v>
      </c>
      <c r="O20" s="36">
        <f>+SUM(O18:O18)*$A17/12</f>
        <v>131250</v>
      </c>
      <c r="P20" s="36">
        <f t="shared" ref="P20:AP20" si="17">+SUM(P18:P18)*$A17/12</f>
        <v>131250</v>
      </c>
      <c r="Q20" s="36">
        <f t="shared" si="17"/>
        <v>131250</v>
      </c>
      <c r="R20" s="36">
        <f t="shared" si="17"/>
        <v>131250</v>
      </c>
      <c r="S20" s="36">
        <f t="shared" si="17"/>
        <v>131250</v>
      </c>
      <c r="T20" s="36">
        <f t="shared" si="17"/>
        <v>131250</v>
      </c>
      <c r="U20" s="36">
        <f t="shared" si="17"/>
        <v>131250</v>
      </c>
      <c r="V20" s="36">
        <f t="shared" si="17"/>
        <v>131250</v>
      </c>
      <c r="W20" s="36">
        <f t="shared" si="17"/>
        <v>131250</v>
      </c>
      <c r="X20" s="36">
        <f t="shared" si="17"/>
        <v>131250</v>
      </c>
      <c r="Y20" s="36">
        <f t="shared" si="17"/>
        <v>131250</v>
      </c>
      <c r="Z20" s="36">
        <f t="shared" si="17"/>
        <v>131250</v>
      </c>
      <c r="AA20" s="69">
        <f t="shared" si="17"/>
        <v>131250</v>
      </c>
      <c r="AB20" s="36">
        <f t="shared" si="17"/>
        <v>131250</v>
      </c>
      <c r="AC20" s="36">
        <f t="shared" si="17"/>
        <v>131250</v>
      </c>
      <c r="AD20" s="36">
        <f t="shared" si="17"/>
        <v>131250</v>
      </c>
      <c r="AE20" s="36">
        <f t="shared" si="17"/>
        <v>131250</v>
      </c>
      <c r="AF20" s="36">
        <f t="shared" si="17"/>
        <v>131250</v>
      </c>
      <c r="AG20" s="36">
        <f t="shared" si="17"/>
        <v>131250</v>
      </c>
      <c r="AH20" s="36">
        <f t="shared" si="17"/>
        <v>131250</v>
      </c>
      <c r="AI20" s="36">
        <f t="shared" si="17"/>
        <v>131250</v>
      </c>
      <c r="AJ20" s="36">
        <f t="shared" si="17"/>
        <v>131250</v>
      </c>
      <c r="AK20" s="36">
        <f t="shared" si="17"/>
        <v>131250</v>
      </c>
      <c r="AL20" s="36">
        <f t="shared" si="17"/>
        <v>131250</v>
      </c>
      <c r="AM20" s="36">
        <f t="shared" si="17"/>
        <v>131250</v>
      </c>
      <c r="AN20" s="36">
        <f t="shared" si="17"/>
        <v>131250</v>
      </c>
      <c r="AO20" s="36">
        <f t="shared" si="17"/>
        <v>131250</v>
      </c>
      <c r="AP20" s="69">
        <f t="shared" si="17"/>
        <v>131250</v>
      </c>
      <c r="AQ20" s="80">
        <f t="shared" si="9"/>
        <v>131250</v>
      </c>
      <c r="AR20" s="36">
        <f>+AQ20*12</f>
        <v>1575000</v>
      </c>
    </row>
    <row r="21" spans="1:44" x14ac:dyDescent="0.2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69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69"/>
      <c r="AQ21" s="80"/>
    </row>
    <row r="22" spans="1:44" x14ac:dyDescent="0.25">
      <c r="A22" s="24">
        <v>3.3500000000000002E-2</v>
      </c>
      <c r="B22" s="3">
        <v>50</v>
      </c>
      <c r="C22" s="3" t="s">
        <v>49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69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69"/>
      <c r="AQ22" s="80"/>
    </row>
    <row r="23" spans="1:44" x14ac:dyDescent="0.25">
      <c r="C23" s="3" t="s">
        <v>55</v>
      </c>
      <c r="D23" s="36"/>
      <c r="E23" s="36"/>
      <c r="F23" s="36"/>
      <c r="G23" s="36"/>
      <c r="H23" s="36"/>
      <c r="I23" s="36"/>
      <c r="J23" s="36"/>
      <c r="K23" s="36"/>
      <c r="L23" s="36"/>
      <c r="M23" s="36">
        <v>50000000</v>
      </c>
      <c r="N23" s="36">
        <v>50000000</v>
      </c>
      <c r="O23" s="36">
        <v>50000000</v>
      </c>
      <c r="P23" s="36">
        <v>50000000</v>
      </c>
      <c r="Q23" s="36">
        <v>50000000</v>
      </c>
      <c r="R23" s="36">
        <v>50000000</v>
      </c>
      <c r="S23" s="36">
        <v>50000000</v>
      </c>
      <c r="T23" s="36">
        <v>50000000</v>
      </c>
      <c r="U23" s="36">
        <v>50000000</v>
      </c>
      <c r="V23" s="36">
        <v>50000000</v>
      </c>
      <c r="W23" s="36">
        <v>50000000</v>
      </c>
      <c r="X23" s="36">
        <v>50000000</v>
      </c>
      <c r="Y23" s="36">
        <v>50000000</v>
      </c>
      <c r="Z23" s="36">
        <v>50000000</v>
      </c>
      <c r="AA23" s="69">
        <v>50000000</v>
      </c>
      <c r="AB23" s="36">
        <v>50000000</v>
      </c>
      <c r="AC23" s="36">
        <v>50000000</v>
      </c>
      <c r="AD23" s="36">
        <v>50000000</v>
      </c>
      <c r="AE23" s="36">
        <v>50000000</v>
      </c>
      <c r="AF23" s="36">
        <v>50000000</v>
      </c>
      <c r="AG23" s="36">
        <v>50000000</v>
      </c>
      <c r="AH23" s="36">
        <v>50000000</v>
      </c>
      <c r="AI23" s="36">
        <v>50000000</v>
      </c>
      <c r="AJ23" s="36">
        <v>50000000</v>
      </c>
      <c r="AK23" s="36">
        <v>50000000</v>
      </c>
      <c r="AL23" s="36">
        <v>50000000</v>
      </c>
      <c r="AM23" s="36">
        <v>50000000</v>
      </c>
      <c r="AN23" s="36">
        <v>50000000</v>
      </c>
      <c r="AO23" s="36">
        <v>50000000</v>
      </c>
      <c r="AP23" s="69">
        <v>50000000</v>
      </c>
      <c r="AQ23" s="80">
        <f t="shared" si="9"/>
        <v>50000000</v>
      </c>
    </row>
    <row r="24" spans="1:44" x14ac:dyDescent="0.25">
      <c r="C24" s="3" t="s">
        <v>56</v>
      </c>
      <c r="D24" s="36"/>
      <c r="E24" s="36"/>
      <c r="F24" s="36"/>
      <c r="G24" s="36"/>
      <c r="H24" s="36"/>
      <c r="I24" s="36"/>
      <c r="J24" s="36"/>
      <c r="K24" s="36"/>
      <c r="L24" s="36"/>
      <c r="M24" s="36">
        <v>-223276</v>
      </c>
      <c r="N24" s="36">
        <f>+R24</f>
        <v>-244820</v>
      </c>
      <c r="O24" s="36">
        <f t="shared" ref="O24:P24" si="18">+P24-1520.62</f>
        <v>-249381.86</v>
      </c>
      <c r="P24" s="36">
        <f t="shared" si="18"/>
        <v>-247861.24</v>
      </c>
      <c r="Q24" s="36">
        <f>+R24-1520.62</f>
        <v>-246340.62</v>
      </c>
      <c r="R24" s="36">
        <v>-244820</v>
      </c>
      <c r="S24" s="36">
        <f>+R24+1520.62</f>
        <v>-243299.38</v>
      </c>
      <c r="T24" s="36">
        <f t="shared" ref="T24:AP24" si="19">+S24+1520.62</f>
        <v>-241778.76</v>
      </c>
      <c r="U24" s="36">
        <f t="shared" si="19"/>
        <v>-240258.14</v>
      </c>
      <c r="V24" s="36">
        <f t="shared" si="19"/>
        <v>-238737.52000000002</v>
      </c>
      <c r="W24" s="36">
        <f t="shared" si="19"/>
        <v>-237216.90000000002</v>
      </c>
      <c r="X24" s="36">
        <f t="shared" si="19"/>
        <v>-235696.28000000003</v>
      </c>
      <c r="Y24" s="36">
        <f t="shared" si="19"/>
        <v>-234175.66000000003</v>
      </c>
      <c r="Z24" s="36">
        <f t="shared" si="19"/>
        <v>-232655.04000000004</v>
      </c>
      <c r="AA24" s="69">
        <f t="shared" si="19"/>
        <v>-231134.42000000004</v>
      </c>
      <c r="AB24" s="36">
        <f t="shared" si="19"/>
        <v>-229613.80000000005</v>
      </c>
      <c r="AC24" s="36">
        <f t="shared" si="19"/>
        <v>-228093.18000000005</v>
      </c>
      <c r="AD24" s="36">
        <f t="shared" si="19"/>
        <v>-226572.56000000006</v>
      </c>
      <c r="AE24" s="36">
        <f t="shared" si="19"/>
        <v>-225051.94000000006</v>
      </c>
      <c r="AF24" s="36">
        <f t="shared" si="19"/>
        <v>-223531.32000000007</v>
      </c>
      <c r="AG24" s="36">
        <f t="shared" si="19"/>
        <v>-222010.70000000007</v>
      </c>
      <c r="AH24" s="36">
        <f t="shared" si="19"/>
        <v>-220490.08000000007</v>
      </c>
      <c r="AI24" s="36">
        <f t="shared" si="19"/>
        <v>-218969.46000000008</v>
      </c>
      <c r="AJ24" s="36">
        <f t="shared" si="19"/>
        <v>-217448.84000000008</v>
      </c>
      <c r="AK24" s="36">
        <f t="shared" si="19"/>
        <v>-215928.22000000009</v>
      </c>
      <c r="AL24" s="36">
        <f t="shared" si="19"/>
        <v>-214407.60000000009</v>
      </c>
      <c r="AM24" s="36">
        <f t="shared" si="19"/>
        <v>-212886.9800000001</v>
      </c>
      <c r="AN24" s="36">
        <f t="shared" si="19"/>
        <v>-211366.3600000001</v>
      </c>
      <c r="AO24" s="36">
        <f t="shared" si="19"/>
        <v>-209845.74000000011</v>
      </c>
      <c r="AP24" s="69">
        <f t="shared" si="19"/>
        <v>-208325.12000000011</v>
      </c>
      <c r="AQ24" s="80">
        <f t="shared" si="9"/>
        <v>-217448.84000000005</v>
      </c>
    </row>
    <row r="25" spans="1:44" x14ac:dyDescent="0.25">
      <c r="C25" s="3" t="s">
        <v>57</v>
      </c>
      <c r="D25" s="36"/>
      <c r="E25" s="36"/>
      <c r="F25" s="36"/>
      <c r="G25" s="36"/>
      <c r="H25" s="36"/>
      <c r="I25" s="36"/>
      <c r="J25" s="36"/>
      <c r="K25" s="36"/>
      <c r="L25" s="36"/>
      <c r="M25" s="36">
        <f>+SUM(M23:M23)*$A22/12*7</f>
        <v>977083.33333333337</v>
      </c>
      <c r="N25" s="36">
        <f>+SUM(M23:N23)/2*$A22</f>
        <v>1675000</v>
      </c>
      <c r="O25" s="36">
        <f>+SUM(O23:O23)*$A22/12</f>
        <v>139583.33333333334</v>
      </c>
      <c r="P25" s="36">
        <f t="shared" ref="P25:AP25" si="20">+SUM(P23:P23)*$A22/12</f>
        <v>139583.33333333334</v>
      </c>
      <c r="Q25" s="36">
        <f t="shared" si="20"/>
        <v>139583.33333333334</v>
      </c>
      <c r="R25" s="36">
        <f t="shared" si="20"/>
        <v>139583.33333333334</v>
      </c>
      <c r="S25" s="36">
        <f t="shared" si="20"/>
        <v>139583.33333333334</v>
      </c>
      <c r="T25" s="36">
        <f t="shared" si="20"/>
        <v>139583.33333333334</v>
      </c>
      <c r="U25" s="36">
        <f t="shared" si="20"/>
        <v>139583.33333333334</v>
      </c>
      <c r="V25" s="36">
        <f t="shared" si="20"/>
        <v>139583.33333333334</v>
      </c>
      <c r="W25" s="36">
        <f t="shared" si="20"/>
        <v>139583.33333333334</v>
      </c>
      <c r="X25" s="36">
        <f t="shared" si="20"/>
        <v>139583.33333333334</v>
      </c>
      <c r="Y25" s="36">
        <f t="shared" si="20"/>
        <v>139583.33333333334</v>
      </c>
      <c r="Z25" s="36">
        <f t="shared" si="20"/>
        <v>139583.33333333334</v>
      </c>
      <c r="AA25" s="69">
        <f t="shared" si="20"/>
        <v>139583.33333333334</v>
      </c>
      <c r="AB25" s="36">
        <f t="shared" si="20"/>
        <v>139583.33333333334</v>
      </c>
      <c r="AC25" s="36">
        <f t="shared" si="20"/>
        <v>139583.33333333334</v>
      </c>
      <c r="AD25" s="36">
        <f t="shared" si="20"/>
        <v>139583.33333333334</v>
      </c>
      <c r="AE25" s="36">
        <f t="shared" si="20"/>
        <v>139583.33333333334</v>
      </c>
      <c r="AF25" s="36">
        <f t="shared" si="20"/>
        <v>139583.33333333334</v>
      </c>
      <c r="AG25" s="36">
        <f t="shared" si="20"/>
        <v>139583.33333333334</v>
      </c>
      <c r="AH25" s="36">
        <f t="shared" si="20"/>
        <v>139583.33333333334</v>
      </c>
      <c r="AI25" s="36">
        <f t="shared" si="20"/>
        <v>139583.33333333334</v>
      </c>
      <c r="AJ25" s="36">
        <f t="shared" si="20"/>
        <v>139583.33333333334</v>
      </c>
      <c r="AK25" s="36">
        <f t="shared" si="20"/>
        <v>139583.33333333334</v>
      </c>
      <c r="AL25" s="36">
        <f t="shared" si="20"/>
        <v>139583.33333333334</v>
      </c>
      <c r="AM25" s="36">
        <f t="shared" si="20"/>
        <v>139583.33333333334</v>
      </c>
      <c r="AN25" s="36">
        <f t="shared" si="20"/>
        <v>139583.33333333334</v>
      </c>
      <c r="AO25" s="36">
        <f t="shared" si="20"/>
        <v>139583.33333333334</v>
      </c>
      <c r="AP25" s="69">
        <f t="shared" si="20"/>
        <v>139583.33333333334</v>
      </c>
      <c r="AQ25" s="80">
        <f t="shared" si="9"/>
        <v>139583.33333333331</v>
      </c>
      <c r="AR25" s="36">
        <f>+AQ25*12</f>
        <v>1674999.9999999998</v>
      </c>
    </row>
    <row r="26" spans="1:44" x14ac:dyDescent="0.25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69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69"/>
      <c r="AQ26" s="80"/>
    </row>
    <row r="27" spans="1:44" x14ac:dyDescent="0.25">
      <c r="A27" s="84" t="s">
        <v>59</v>
      </c>
      <c r="B27" s="3">
        <v>50</v>
      </c>
      <c r="C27" s="3" t="s">
        <v>80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69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69"/>
      <c r="AQ27" s="80"/>
    </row>
    <row r="28" spans="1:44" x14ac:dyDescent="0.25">
      <c r="C28" s="3" t="s">
        <v>55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85">
        <v>50000000</v>
      </c>
      <c r="Y28" s="85">
        <f>+X28</f>
        <v>50000000</v>
      </c>
      <c r="Z28" s="85">
        <f t="shared" ref="Z28:AP28" si="21">+Y28</f>
        <v>50000000</v>
      </c>
      <c r="AA28" s="85">
        <f t="shared" si="21"/>
        <v>50000000</v>
      </c>
      <c r="AB28" s="85">
        <f t="shared" si="21"/>
        <v>50000000</v>
      </c>
      <c r="AC28" s="85">
        <f t="shared" si="21"/>
        <v>50000000</v>
      </c>
      <c r="AD28" s="85">
        <f t="shared" si="21"/>
        <v>50000000</v>
      </c>
      <c r="AE28" s="85">
        <f t="shared" si="21"/>
        <v>50000000</v>
      </c>
      <c r="AF28" s="85">
        <f t="shared" si="21"/>
        <v>50000000</v>
      </c>
      <c r="AG28" s="85">
        <f t="shared" si="21"/>
        <v>50000000</v>
      </c>
      <c r="AH28" s="85">
        <f t="shared" si="21"/>
        <v>50000000</v>
      </c>
      <c r="AI28" s="85">
        <f t="shared" si="21"/>
        <v>50000000</v>
      </c>
      <c r="AJ28" s="85">
        <f t="shared" si="21"/>
        <v>50000000</v>
      </c>
      <c r="AK28" s="85">
        <f t="shared" si="21"/>
        <v>50000000</v>
      </c>
      <c r="AL28" s="85">
        <f>+AK28</f>
        <v>50000000</v>
      </c>
      <c r="AM28" s="85">
        <f>+AL28+25000000</f>
        <v>75000000</v>
      </c>
      <c r="AN28" s="85">
        <f t="shared" si="21"/>
        <v>75000000</v>
      </c>
      <c r="AO28" s="85">
        <f t="shared" si="21"/>
        <v>75000000</v>
      </c>
      <c r="AP28" s="69">
        <f t="shared" si="21"/>
        <v>75000000</v>
      </c>
      <c r="AQ28" s="80">
        <f t="shared" si="9"/>
        <v>57692307.692307696</v>
      </c>
    </row>
    <row r="29" spans="1:44" x14ac:dyDescent="0.25">
      <c r="C29" s="3" t="s">
        <v>56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85">
        <v>-127750</v>
      </c>
      <c r="Y29" s="85">
        <f>-$X$29/28+X29</f>
        <v>-123187.5</v>
      </c>
      <c r="Z29" s="85">
        <f t="shared" ref="Z29:AP29" si="22">-$X$29/28+Y29</f>
        <v>-118625</v>
      </c>
      <c r="AA29" s="85">
        <f t="shared" si="22"/>
        <v>-114062.5</v>
      </c>
      <c r="AB29" s="85">
        <f t="shared" si="22"/>
        <v>-109500</v>
      </c>
      <c r="AC29" s="85">
        <f t="shared" si="22"/>
        <v>-104937.5</v>
      </c>
      <c r="AD29" s="85">
        <f t="shared" si="22"/>
        <v>-100375</v>
      </c>
      <c r="AE29" s="85">
        <f t="shared" si="22"/>
        <v>-95812.5</v>
      </c>
      <c r="AF29" s="85">
        <f t="shared" si="22"/>
        <v>-91250</v>
      </c>
      <c r="AG29" s="85">
        <f t="shared" si="22"/>
        <v>-86687.5</v>
      </c>
      <c r="AH29" s="85">
        <f t="shared" si="22"/>
        <v>-82125</v>
      </c>
      <c r="AI29" s="85">
        <f t="shared" si="22"/>
        <v>-77562.5</v>
      </c>
      <c r="AJ29" s="85">
        <f t="shared" si="22"/>
        <v>-73000</v>
      </c>
      <c r="AK29" s="85">
        <f t="shared" si="22"/>
        <v>-68437.5</v>
      </c>
      <c r="AL29" s="85">
        <f t="shared" si="22"/>
        <v>-63875</v>
      </c>
      <c r="AM29" s="85">
        <f t="shared" si="22"/>
        <v>-59312.5</v>
      </c>
      <c r="AN29" s="85">
        <f t="shared" si="22"/>
        <v>-54750</v>
      </c>
      <c r="AO29" s="85">
        <f t="shared" si="22"/>
        <v>-50187.5</v>
      </c>
      <c r="AP29" s="69">
        <f t="shared" si="22"/>
        <v>-45625</v>
      </c>
      <c r="AQ29" s="80">
        <f t="shared" si="9"/>
        <v>-73000</v>
      </c>
    </row>
    <row r="30" spans="1:44" x14ac:dyDescent="0.25">
      <c r="C30" s="3" t="s">
        <v>57</v>
      </c>
      <c r="D30" s="36"/>
      <c r="E30" s="36"/>
      <c r="F30" s="36"/>
      <c r="G30" s="36"/>
      <c r="H30" s="36"/>
      <c r="I30" s="36"/>
      <c r="J30" s="36"/>
      <c r="K30" s="36"/>
      <c r="L30" s="36"/>
      <c r="M30" s="36" t="e">
        <f>+SUM(L28:M29)/2*$A27</f>
        <v>#VALUE!</v>
      </c>
      <c r="N30" s="36" t="e">
        <f>+SUM(M28:N29)/2*$A27</f>
        <v>#VALUE!</v>
      </c>
      <c r="O30" s="36" t="e">
        <f>+SUM(O28:O29)*$A27/12</f>
        <v>#VALUE!</v>
      </c>
      <c r="P30" s="36" t="e">
        <f t="shared" ref="P30" si="23">+SUM(P28:P29)*$A27/12</f>
        <v>#VALUE!</v>
      </c>
      <c r="Q30" s="36" t="e">
        <f t="shared" ref="Q30" si="24">+SUM(Q28:Q29)*$A27/12</f>
        <v>#VALUE!</v>
      </c>
      <c r="R30" s="36" t="e">
        <f t="shared" ref="R30" si="25">+SUM(R28:R29)*$A27/12</f>
        <v>#VALUE!</v>
      </c>
      <c r="S30" s="36" t="e">
        <f t="shared" ref="S30" si="26">+SUM(S28:S29)*$A27/12</f>
        <v>#VALUE!</v>
      </c>
      <c r="T30" s="36" t="e">
        <f t="shared" ref="T30" si="27">+SUM(T28:T29)*$A27/12</f>
        <v>#VALUE!</v>
      </c>
      <c r="U30" s="36" t="e">
        <f t="shared" ref="U30" si="28">+SUM(U28:U29)*$A27/12</f>
        <v>#VALUE!</v>
      </c>
      <c r="V30" s="36" t="e">
        <f t="shared" ref="V30" si="29">+SUM(V28:V29)*$A27/12</f>
        <v>#VALUE!</v>
      </c>
      <c r="W30" s="36" t="e">
        <f t="shared" ref="W30" si="30">+SUM(W28:W29)*$A27/12</f>
        <v>#VALUE!</v>
      </c>
      <c r="X30" s="36">
        <f>+SUM(X28:X29)*X3/12</f>
        <v>127810.93989166668</v>
      </c>
      <c r="Y30" s="36">
        <f>+SUM(Y28:Y29)*Y3/12</f>
        <v>127822.63251458334</v>
      </c>
      <c r="Z30" s="36">
        <f>+SUM(Z28:Z29)*Z3/12</f>
        <v>161156.74635</v>
      </c>
      <c r="AA30" s="69">
        <f t="shared" ref="AA30:AP30" si="31">+SUM(AA28:AA29)*AA3/12</f>
        <v>161171.486875</v>
      </c>
      <c r="AB30" s="36">
        <f t="shared" si="31"/>
        <v>161186.2274</v>
      </c>
      <c r="AC30" s="36">
        <f t="shared" si="31"/>
        <v>161200.967925</v>
      </c>
      <c r="AD30" s="36">
        <f t="shared" si="31"/>
        <v>161215.70845000001</v>
      </c>
      <c r="AE30" s="36">
        <f t="shared" si="31"/>
        <v>161230.44897500001</v>
      </c>
      <c r="AF30" s="36">
        <f t="shared" si="31"/>
        <v>161245.18950000001</v>
      </c>
      <c r="AG30" s="36">
        <f t="shared" si="31"/>
        <v>161259.93002500001</v>
      </c>
      <c r="AH30" s="36">
        <f t="shared" si="31"/>
        <v>161274.67055000001</v>
      </c>
      <c r="AI30" s="36">
        <f t="shared" si="31"/>
        <v>161289.41107500001</v>
      </c>
      <c r="AJ30" s="36">
        <f t="shared" si="31"/>
        <v>161304.15160000001</v>
      </c>
      <c r="AK30" s="36">
        <f t="shared" si="31"/>
        <v>161318.89212500001</v>
      </c>
      <c r="AL30" s="36">
        <f t="shared" si="31"/>
        <v>161333.63265000001</v>
      </c>
      <c r="AM30" s="36">
        <f t="shared" si="31"/>
        <v>242118.37317499999</v>
      </c>
      <c r="AN30" s="36">
        <f t="shared" si="31"/>
        <v>242133.11370000002</v>
      </c>
      <c r="AO30" s="36">
        <f t="shared" si="31"/>
        <v>242147.85422500002</v>
      </c>
      <c r="AP30" s="69">
        <f t="shared" si="31"/>
        <v>242162.59475000002</v>
      </c>
      <c r="AQ30" s="80">
        <f t="shared" si="9"/>
        <v>186156.4592923077</v>
      </c>
      <c r="AR30" s="36">
        <f>+AQ30*12</f>
        <v>2233877.5115076923</v>
      </c>
    </row>
    <row r="31" spans="1:44" x14ac:dyDescent="0.25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69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69"/>
      <c r="AQ31" s="80"/>
    </row>
    <row r="32" spans="1:44" x14ac:dyDescent="0.25">
      <c r="A32" s="24"/>
      <c r="C32" s="3" t="s">
        <v>58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69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69"/>
      <c r="AQ32" s="80"/>
    </row>
    <row r="33" spans="1:44" x14ac:dyDescent="0.25">
      <c r="C33" s="3" t="s">
        <v>55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69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69"/>
      <c r="AQ33" s="80"/>
    </row>
    <row r="34" spans="1:44" x14ac:dyDescent="0.25">
      <c r="C34" s="3" t="s">
        <v>56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69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69"/>
      <c r="AQ34" s="80"/>
    </row>
    <row r="35" spans="1:44" x14ac:dyDescent="0.25">
      <c r="C35" s="3" t="s">
        <v>57</v>
      </c>
      <c r="D35" s="36"/>
      <c r="E35" s="36"/>
      <c r="F35" s="36"/>
      <c r="G35" s="36"/>
      <c r="H35" s="36"/>
      <c r="I35" s="36"/>
      <c r="J35" s="36"/>
      <c r="K35" s="36"/>
      <c r="L35" s="36"/>
      <c r="M35" s="36">
        <f>+SUM(L33:M34)/2*$A32</f>
        <v>0</v>
      </c>
      <c r="N35" s="36">
        <f>+SUM(M33:N34)/2*$A32</f>
        <v>0</v>
      </c>
      <c r="O35" s="36">
        <f>+SUM(O33:O34)*$A32/12</f>
        <v>0</v>
      </c>
      <c r="P35" s="36">
        <f t="shared" ref="P35:AP35" si="32">+SUM(P33:P34)*$A32/12</f>
        <v>0</v>
      </c>
      <c r="Q35" s="36">
        <f t="shared" si="32"/>
        <v>0</v>
      </c>
      <c r="R35" s="36">
        <f t="shared" si="32"/>
        <v>0</v>
      </c>
      <c r="S35" s="36">
        <f t="shared" si="32"/>
        <v>0</v>
      </c>
      <c r="T35" s="36">
        <f t="shared" si="32"/>
        <v>0</v>
      </c>
      <c r="U35" s="36">
        <f t="shared" si="32"/>
        <v>0</v>
      </c>
      <c r="V35" s="36">
        <f t="shared" si="32"/>
        <v>0</v>
      </c>
      <c r="W35" s="36">
        <f t="shared" si="32"/>
        <v>0</v>
      </c>
      <c r="X35" s="36">
        <f t="shared" si="32"/>
        <v>0</v>
      </c>
      <c r="Y35" s="36">
        <f t="shared" si="32"/>
        <v>0</v>
      </c>
      <c r="Z35" s="36">
        <f t="shared" si="32"/>
        <v>0</v>
      </c>
      <c r="AA35" s="69">
        <f t="shared" si="32"/>
        <v>0</v>
      </c>
      <c r="AB35" s="36">
        <f t="shared" ref="AB35:AI35" si="33">+SUM(AB33:AB34)*$A32/12</f>
        <v>0</v>
      </c>
      <c r="AC35" s="36">
        <f t="shared" si="33"/>
        <v>0</v>
      </c>
      <c r="AD35" s="36">
        <f t="shared" si="33"/>
        <v>0</v>
      </c>
      <c r="AE35" s="36">
        <f t="shared" si="33"/>
        <v>0</v>
      </c>
      <c r="AF35" s="36">
        <f t="shared" si="33"/>
        <v>0</v>
      </c>
      <c r="AG35" s="36">
        <f t="shared" si="33"/>
        <v>0</v>
      </c>
      <c r="AH35" s="36">
        <f t="shared" si="33"/>
        <v>0</v>
      </c>
      <c r="AI35" s="36">
        <f t="shared" si="33"/>
        <v>0</v>
      </c>
      <c r="AJ35" s="36">
        <f t="shared" si="32"/>
        <v>0</v>
      </c>
      <c r="AK35" s="36">
        <f t="shared" si="32"/>
        <v>0</v>
      </c>
      <c r="AL35" s="36">
        <f t="shared" si="32"/>
        <v>0</v>
      </c>
      <c r="AM35" s="36">
        <f t="shared" si="32"/>
        <v>0</v>
      </c>
      <c r="AN35" s="36">
        <f t="shared" si="32"/>
        <v>0</v>
      </c>
      <c r="AO35" s="36">
        <f t="shared" si="32"/>
        <v>0</v>
      </c>
      <c r="AP35" s="69">
        <f t="shared" si="32"/>
        <v>0</v>
      </c>
      <c r="AQ35" s="80">
        <f t="shared" ref="AQ33:AQ35" si="34">+AVERAGE(AD35:AP35)</f>
        <v>0</v>
      </c>
      <c r="AR35" s="36">
        <f>+AQ35*12</f>
        <v>0</v>
      </c>
    </row>
    <row r="36" spans="1:44" x14ac:dyDescent="0.25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69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69"/>
      <c r="AQ36" s="80"/>
    </row>
    <row r="37" spans="1:44" x14ac:dyDescent="0.25">
      <c r="A37" s="3" t="s">
        <v>59</v>
      </c>
      <c r="C37" s="3" t="s">
        <v>60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69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69"/>
      <c r="AQ37" s="80"/>
    </row>
    <row r="38" spans="1:44" x14ac:dyDescent="0.25">
      <c r="C38" s="3" t="s">
        <v>61</v>
      </c>
      <c r="D38" s="36">
        <v>0</v>
      </c>
      <c r="E38" s="36">
        <v>500000</v>
      </c>
      <c r="F38" s="36">
        <v>5700000</v>
      </c>
      <c r="G38" s="36">
        <v>2300000</v>
      </c>
      <c r="H38" s="36">
        <v>17000000</v>
      </c>
      <c r="I38" s="36">
        <v>19500000</v>
      </c>
      <c r="J38" s="36">
        <v>57000000</v>
      </c>
      <c r="K38" s="36">
        <v>12000000</v>
      </c>
      <c r="L38" s="36">
        <v>41000000</v>
      </c>
      <c r="M38" s="36">
        <v>9000000</v>
      </c>
      <c r="N38" s="36">
        <f>+R38</f>
        <v>18000000</v>
      </c>
      <c r="O38" s="36">
        <v>8000000</v>
      </c>
      <c r="P38" s="36">
        <v>8000000</v>
      </c>
      <c r="Q38" s="36">
        <v>13000000</v>
      </c>
      <c r="R38" s="36">
        <v>18000000</v>
      </c>
      <c r="S38" s="36">
        <v>28000000</v>
      </c>
      <c r="T38" s="36">
        <v>33000000</v>
      </c>
      <c r="U38" s="66">
        <f>+T38</f>
        <v>33000000</v>
      </c>
      <c r="V38" s="85">
        <v>43000000</v>
      </c>
      <c r="W38" s="85">
        <v>48000000</v>
      </c>
      <c r="X38" s="85">
        <v>0</v>
      </c>
      <c r="Y38" s="85">
        <v>8000000</v>
      </c>
      <c r="Z38" s="85">
        <v>8000000</v>
      </c>
      <c r="AA38" s="85">
        <f>+Z38</f>
        <v>8000000</v>
      </c>
      <c r="AB38" s="36">
        <f>+AA38+10000000</f>
        <v>18000000</v>
      </c>
      <c r="AC38" s="36">
        <f>+AB38</f>
        <v>18000000</v>
      </c>
      <c r="AD38" s="36">
        <f>+AC38</f>
        <v>18000000</v>
      </c>
      <c r="AE38" s="36">
        <f>+AD38+10000000</f>
        <v>28000000</v>
      </c>
      <c r="AF38" s="36">
        <f>+AE38</f>
        <v>28000000</v>
      </c>
      <c r="AG38" s="36">
        <f>+AF38+5000000</f>
        <v>33000000</v>
      </c>
      <c r="AH38" s="36">
        <f>+AG38</f>
        <v>33000000</v>
      </c>
      <c r="AI38" s="36">
        <f>+AH38+5000000</f>
        <v>38000000</v>
      </c>
      <c r="AJ38" s="36">
        <f>+AI38</f>
        <v>38000000</v>
      </c>
      <c r="AK38" s="36">
        <f>+AJ38+10000000</f>
        <v>48000000</v>
      </c>
      <c r="AL38" s="36">
        <f>+AK38</f>
        <v>48000000</v>
      </c>
      <c r="AM38" s="36">
        <f>+AL38</f>
        <v>48000000</v>
      </c>
      <c r="AN38" s="36">
        <f>+AM38</f>
        <v>48000000</v>
      </c>
      <c r="AO38" s="36">
        <f>+AN38</f>
        <v>48000000</v>
      </c>
      <c r="AP38" s="69">
        <f>+AO38</f>
        <v>48000000</v>
      </c>
      <c r="AQ38" s="80">
        <f t="shared" si="9"/>
        <v>38769230.769230768</v>
      </c>
    </row>
    <row r="39" spans="1:44" x14ac:dyDescent="0.25">
      <c r="C39" s="3" t="s">
        <v>57</v>
      </c>
      <c r="D39" s="36"/>
      <c r="E39" s="36">
        <f t="shared" ref="E39:L39" si="35">+SUM(D37:E38)/2*E2</f>
        <v>10625</v>
      </c>
      <c r="F39" s="36">
        <f t="shared" si="35"/>
        <v>52312.5</v>
      </c>
      <c r="G39" s="36">
        <f t="shared" si="35"/>
        <v>67500</v>
      </c>
      <c r="H39" s="36">
        <f t="shared" si="35"/>
        <v>170081.24999999997</v>
      </c>
      <c r="I39" s="36">
        <f t="shared" si="35"/>
        <v>390093.75000000006</v>
      </c>
      <c r="J39" s="36">
        <f t="shared" si="35"/>
        <v>984937.5</v>
      </c>
      <c r="K39" s="36">
        <f t="shared" si="35"/>
        <v>1384312.5</v>
      </c>
      <c r="L39" s="36">
        <f t="shared" si="35"/>
        <v>864562.5</v>
      </c>
      <c r="M39" s="36">
        <f>+SUM(L37:M38)/2*M2</f>
        <v>409375</v>
      </c>
      <c r="N39" s="36">
        <f>+SUM(M37:N38)/2*N2</f>
        <v>178875</v>
      </c>
      <c r="O39" s="36">
        <f>+O38*O2/12</f>
        <v>10500</v>
      </c>
      <c r="P39" s="36">
        <f t="shared" ref="P39:AP39" si="36">+P38*P2/12</f>
        <v>8833.3333333333339</v>
      </c>
      <c r="Q39" s="36">
        <f t="shared" si="36"/>
        <v>14354.166666666666</v>
      </c>
      <c r="R39" s="36">
        <f t="shared" si="36"/>
        <v>19875</v>
      </c>
      <c r="S39" s="36">
        <f t="shared" si="36"/>
        <v>30916.666666666668</v>
      </c>
      <c r="T39" s="36">
        <f t="shared" si="36"/>
        <v>36437.5</v>
      </c>
      <c r="U39" s="36">
        <f t="shared" si="36"/>
        <v>46750</v>
      </c>
      <c r="V39" s="36">
        <f t="shared" si="36"/>
        <v>67366.666666666672</v>
      </c>
      <c r="W39" s="36">
        <f t="shared" si="36"/>
        <v>95500</v>
      </c>
      <c r="X39" s="36">
        <f t="shared" si="36"/>
        <v>0</v>
      </c>
      <c r="Y39" s="36">
        <f t="shared" si="36"/>
        <v>23390.666666666668</v>
      </c>
      <c r="Z39" s="36">
        <f t="shared" si="36"/>
        <v>25716.066666666666</v>
      </c>
      <c r="AA39" s="69">
        <f t="shared" si="36"/>
        <v>25716.066666666666</v>
      </c>
      <c r="AB39" s="36">
        <f t="shared" ref="AB39:AF39" si="37">+AB38*AB2/12</f>
        <v>57861.15</v>
      </c>
      <c r="AC39" s="36">
        <f t="shared" si="37"/>
        <v>57861.15</v>
      </c>
      <c r="AD39" s="36">
        <f t="shared" si="37"/>
        <v>57861.15</v>
      </c>
      <c r="AE39" s="36">
        <f t="shared" si="37"/>
        <v>90006.233333333337</v>
      </c>
      <c r="AF39" s="36">
        <f t="shared" si="37"/>
        <v>90006.233333333337</v>
      </c>
      <c r="AG39" s="36">
        <f t="shared" si="36"/>
        <v>106078.77500000001</v>
      </c>
      <c r="AH39" s="36">
        <f t="shared" si="36"/>
        <v>106078.77500000001</v>
      </c>
      <c r="AI39" s="36">
        <f t="shared" si="36"/>
        <v>122151.31666666667</v>
      </c>
      <c r="AJ39" s="36">
        <f t="shared" si="36"/>
        <v>122151.31666666667</v>
      </c>
      <c r="AK39" s="36">
        <f t="shared" si="36"/>
        <v>154296.4</v>
      </c>
      <c r="AL39" s="36">
        <f t="shared" si="36"/>
        <v>154296.4</v>
      </c>
      <c r="AM39" s="36">
        <f t="shared" si="36"/>
        <v>154296.4</v>
      </c>
      <c r="AN39" s="36">
        <f t="shared" si="36"/>
        <v>154296.4</v>
      </c>
      <c r="AO39" s="36">
        <f t="shared" si="36"/>
        <v>154296.4</v>
      </c>
      <c r="AP39" s="69">
        <f t="shared" si="36"/>
        <v>154296.4</v>
      </c>
      <c r="AQ39" s="80">
        <f t="shared" si="9"/>
        <v>124624.01538461537</v>
      </c>
      <c r="AR39" s="36">
        <f>+AQ39*12</f>
        <v>1495488.1846153843</v>
      </c>
    </row>
    <row r="40" spans="1:44" x14ac:dyDescent="0.25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6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69"/>
      <c r="AQ40" s="80"/>
    </row>
    <row r="41" spans="1:44" s="7" customFormat="1" ht="30" x14ac:dyDescent="0.3">
      <c r="C41" s="45" t="s">
        <v>62</v>
      </c>
      <c r="D41" s="50"/>
      <c r="E41" s="50">
        <f t="shared" ref="E41:AO41" si="38">+E13+E14+E18+E19+E23+E24+E28+E29+E38+E8+E9+E33+E34</f>
        <v>179500897.19999999</v>
      </c>
      <c r="F41" s="50">
        <f t="shared" si="38"/>
        <v>184743331.59999999</v>
      </c>
      <c r="G41" s="50">
        <f t="shared" si="38"/>
        <v>181385766</v>
      </c>
      <c r="H41" s="50">
        <f t="shared" si="38"/>
        <v>196128200.40000001</v>
      </c>
      <c r="I41" s="50">
        <f t="shared" si="38"/>
        <v>198670634.80000001</v>
      </c>
      <c r="J41" s="50">
        <f t="shared" si="38"/>
        <v>227213069.19999999</v>
      </c>
      <c r="K41" s="50">
        <f t="shared" si="38"/>
        <v>272768134.60000002</v>
      </c>
      <c r="L41" s="50">
        <f t="shared" si="38"/>
        <v>292819272</v>
      </c>
      <c r="M41" s="50">
        <f t="shared" si="38"/>
        <v>351453483</v>
      </c>
      <c r="N41" s="50">
        <f t="shared" si="38"/>
        <v>351498571</v>
      </c>
      <c r="O41" s="50">
        <f t="shared" si="38"/>
        <v>341467854.75</v>
      </c>
      <c r="P41" s="50">
        <f t="shared" si="38"/>
        <v>341478093.5</v>
      </c>
      <c r="Q41" s="50">
        <f t="shared" si="38"/>
        <v>346488332.25</v>
      </c>
      <c r="R41" s="50">
        <f>+R13+R14+R18+R19+R23+R24+R28+R29+R38+R8+R9+R33+R34</f>
        <v>351498571</v>
      </c>
      <c r="S41" s="50">
        <f t="shared" si="38"/>
        <v>361508809.75</v>
      </c>
      <c r="T41" s="50">
        <f t="shared" si="38"/>
        <v>366519048.5</v>
      </c>
      <c r="U41" s="50">
        <f t="shared" si="38"/>
        <v>366529287.25</v>
      </c>
      <c r="V41" s="50">
        <f t="shared" si="38"/>
        <v>376539526</v>
      </c>
      <c r="W41" s="50">
        <f t="shared" si="38"/>
        <v>381549764.75</v>
      </c>
      <c r="X41" s="50">
        <f t="shared" si="38"/>
        <v>383432253.5</v>
      </c>
      <c r="Y41" s="50">
        <f t="shared" si="38"/>
        <v>382447054.75</v>
      </c>
      <c r="Z41" s="50">
        <f t="shared" si="38"/>
        <v>382461856</v>
      </c>
      <c r="AA41" s="70">
        <f t="shared" si="38"/>
        <v>382476657.25000006</v>
      </c>
      <c r="AB41" s="50">
        <f t="shared" si="38"/>
        <v>392491458.5</v>
      </c>
      <c r="AC41" s="50">
        <f t="shared" si="38"/>
        <v>392506259.74999994</v>
      </c>
      <c r="AD41" s="50">
        <f t="shared" si="38"/>
        <v>392521061</v>
      </c>
      <c r="AE41" s="50">
        <f t="shared" si="38"/>
        <v>402535862.25</v>
      </c>
      <c r="AF41" s="50">
        <f t="shared" si="38"/>
        <v>402550663.50000006</v>
      </c>
      <c r="AG41" s="50">
        <f t="shared" si="38"/>
        <v>407565464.75</v>
      </c>
      <c r="AH41" s="50">
        <f t="shared" si="38"/>
        <v>407580265.99999994</v>
      </c>
      <c r="AI41" s="50">
        <f t="shared" si="38"/>
        <v>412595067.25</v>
      </c>
      <c r="AJ41" s="50">
        <f t="shared" si="38"/>
        <v>412609868.5</v>
      </c>
      <c r="AK41" s="50">
        <f t="shared" si="38"/>
        <v>413624669.75</v>
      </c>
      <c r="AL41" s="50">
        <f t="shared" si="38"/>
        <v>413639471</v>
      </c>
      <c r="AM41" s="50">
        <f t="shared" si="38"/>
        <v>438654272.25</v>
      </c>
      <c r="AN41" s="50">
        <f t="shared" si="38"/>
        <v>438669073.5</v>
      </c>
      <c r="AO41" s="50">
        <f t="shared" si="38"/>
        <v>438683874.75</v>
      </c>
      <c r="AP41" s="70">
        <f>+AP13+AP14+AP18+AP19+AP23+AP24+AP28+AP29+AP38+AP8+AP9+AP33+AP34</f>
        <v>438698676</v>
      </c>
      <c r="AQ41" s="80">
        <f t="shared" si="9"/>
        <v>416917560.80769229</v>
      </c>
    </row>
    <row r="42" spans="1:44" x14ac:dyDescent="0.2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69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69"/>
    </row>
    <row r="43" spans="1:44" s="7" customFormat="1" ht="15" x14ac:dyDescent="0.3">
      <c r="C43" s="7" t="s">
        <v>33</v>
      </c>
      <c r="D43" s="50"/>
      <c r="E43" s="50">
        <f t="shared" ref="E43:AO43" si="39">+E10+E15+E20+E25+E30+E39+E35</f>
        <v>11854625</v>
      </c>
      <c r="F43" s="50">
        <f t="shared" si="39"/>
        <v>11896312.5</v>
      </c>
      <c r="G43" s="50">
        <f t="shared" si="39"/>
        <v>11911500</v>
      </c>
      <c r="H43" s="50">
        <f t="shared" si="39"/>
        <v>12014081.25</v>
      </c>
      <c r="I43" s="50">
        <f t="shared" si="39"/>
        <v>12234093.75</v>
      </c>
      <c r="J43" s="50">
        <f t="shared" si="39"/>
        <v>12532837.5</v>
      </c>
      <c r="K43" s="50">
        <f t="shared" si="39"/>
        <v>13432512.5</v>
      </c>
      <c r="L43" s="50">
        <f t="shared" si="39"/>
        <v>15598062.5</v>
      </c>
      <c r="M43" s="50" t="e">
        <f t="shared" si="39"/>
        <v>#VALUE!</v>
      </c>
      <c r="N43" s="50" t="e">
        <f t="shared" si="39"/>
        <v>#VALUE!</v>
      </c>
      <c r="O43" s="50" t="e">
        <f t="shared" si="39"/>
        <v>#VALUE!</v>
      </c>
      <c r="P43" s="50" t="e">
        <f t="shared" si="39"/>
        <v>#VALUE!</v>
      </c>
      <c r="Q43" s="50" t="e">
        <f t="shared" si="39"/>
        <v>#VALUE!</v>
      </c>
      <c r="R43" s="50" t="e">
        <f t="shared" si="39"/>
        <v>#VALUE!</v>
      </c>
      <c r="S43" s="50" t="e">
        <f t="shared" si="39"/>
        <v>#VALUE!</v>
      </c>
      <c r="T43" s="50" t="e">
        <f t="shared" si="39"/>
        <v>#VALUE!</v>
      </c>
      <c r="U43" s="50" t="e">
        <f t="shared" si="39"/>
        <v>#VALUE!</v>
      </c>
      <c r="V43" s="50" t="e">
        <f t="shared" si="39"/>
        <v>#VALUE!</v>
      </c>
      <c r="W43" s="50" t="e">
        <f t="shared" si="39"/>
        <v>#VALUE!</v>
      </c>
      <c r="X43" s="50">
        <f t="shared" si="39"/>
        <v>1503060.9398916666</v>
      </c>
      <c r="Y43" s="50">
        <f t="shared" si="39"/>
        <v>1477113.2991812502</v>
      </c>
      <c r="Z43" s="50">
        <f t="shared" si="39"/>
        <v>1512772.8130166666</v>
      </c>
      <c r="AA43" s="70">
        <f t="shared" si="39"/>
        <v>1512787.5535416666</v>
      </c>
      <c r="AB43" s="50">
        <f>+AB10+AB15+AB20+AB25+AB30+AB39+AB35</f>
        <v>1544947.3773999999</v>
      </c>
      <c r="AC43" s="50">
        <f t="shared" si="39"/>
        <v>1544962.1179249999</v>
      </c>
      <c r="AD43" s="50">
        <f t="shared" si="39"/>
        <v>1544976.8584499999</v>
      </c>
      <c r="AE43" s="50">
        <f t="shared" si="39"/>
        <v>1577136.6823083335</v>
      </c>
      <c r="AF43" s="50">
        <f t="shared" si="39"/>
        <v>1577151.4228333335</v>
      </c>
      <c r="AG43" s="50">
        <f t="shared" si="39"/>
        <v>1593238.705025</v>
      </c>
      <c r="AH43" s="50">
        <f t="shared" si="39"/>
        <v>1593253.4455499998</v>
      </c>
      <c r="AI43" s="50">
        <f t="shared" si="39"/>
        <v>1609340.7277416666</v>
      </c>
      <c r="AJ43" s="50">
        <f t="shared" si="39"/>
        <v>1609355.4682666666</v>
      </c>
      <c r="AK43" s="50">
        <f t="shared" si="39"/>
        <v>1592165.2921249999</v>
      </c>
      <c r="AL43" s="50">
        <f t="shared" si="39"/>
        <v>1592180.03265</v>
      </c>
      <c r="AM43" s="50">
        <f t="shared" si="39"/>
        <v>1672964.773175</v>
      </c>
      <c r="AN43" s="50">
        <f t="shared" si="39"/>
        <v>1672979.5137</v>
      </c>
      <c r="AO43" s="50">
        <f t="shared" si="39"/>
        <v>1672994.2542249998</v>
      </c>
      <c r="AP43" s="70">
        <f>+AP10+AP15+AP20+AP25+AP30+AP39+AP35</f>
        <v>1673008.9947499998</v>
      </c>
      <c r="AQ43" s="80">
        <f t="shared" si="9"/>
        <v>1613903.5516000001</v>
      </c>
    </row>
    <row r="44" spans="1:44" x14ac:dyDescent="0.2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69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69"/>
    </row>
    <row r="45" spans="1:44" x14ac:dyDescent="0.25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69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69"/>
    </row>
    <row r="46" spans="1:44" ht="15" x14ac:dyDescent="0.3">
      <c r="C46" s="7" t="s">
        <v>63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69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69"/>
    </row>
    <row r="47" spans="1:44" x14ac:dyDescent="0.25">
      <c r="C47" s="3" t="s">
        <v>64</v>
      </c>
      <c r="D47" s="36"/>
      <c r="E47" s="36">
        <v>110</v>
      </c>
      <c r="F47" s="36">
        <v>110</v>
      </c>
      <c r="G47" s="36">
        <v>110</v>
      </c>
      <c r="H47" s="36">
        <v>110</v>
      </c>
      <c r="I47" s="36">
        <v>110</v>
      </c>
      <c r="J47" s="36">
        <v>110</v>
      </c>
      <c r="K47" s="36">
        <v>110</v>
      </c>
      <c r="L47" s="36">
        <v>110</v>
      </c>
      <c r="M47" s="36">
        <v>110</v>
      </c>
      <c r="N47" s="36">
        <v>110</v>
      </c>
      <c r="O47" s="36">
        <v>110</v>
      </c>
      <c r="P47" s="36">
        <v>110</v>
      </c>
      <c r="Q47" s="36">
        <v>110</v>
      </c>
      <c r="R47" s="36">
        <v>110</v>
      </c>
      <c r="S47" s="36">
        <v>110</v>
      </c>
      <c r="T47" s="36">
        <v>110</v>
      </c>
      <c r="U47" s="36">
        <v>110</v>
      </c>
      <c r="V47" s="36">
        <v>110</v>
      </c>
      <c r="W47" s="36">
        <v>110</v>
      </c>
      <c r="X47" s="36">
        <v>110</v>
      </c>
      <c r="Y47" s="36">
        <v>110</v>
      </c>
      <c r="Z47" s="36">
        <v>110</v>
      </c>
      <c r="AA47" s="69">
        <v>110</v>
      </c>
      <c r="AB47" s="36">
        <v>110</v>
      </c>
      <c r="AC47" s="36">
        <v>110</v>
      </c>
      <c r="AD47" s="36">
        <v>110</v>
      </c>
      <c r="AE47" s="36">
        <v>110</v>
      </c>
      <c r="AF47" s="36">
        <v>110</v>
      </c>
      <c r="AG47" s="36">
        <v>110</v>
      </c>
      <c r="AH47" s="36">
        <v>110</v>
      </c>
      <c r="AI47" s="36">
        <v>110</v>
      </c>
      <c r="AJ47" s="36">
        <v>110</v>
      </c>
      <c r="AK47" s="36">
        <v>110</v>
      </c>
      <c r="AL47" s="36">
        <v>110</v>
      </c>
      <c r="AM47" s="36">
        <v>110</v>
      </c>
      <c r="AN47" s="36">
        <v>110</v>
      </c>
      <c r="AO47" s="36">
        <v>110</v>
      </c>
      <c r="AP47" s="69">
        <v>110</v>
      </c>
      <c r="AQ47" s="80">
        <f t="shared" ref="AQ47" si="40">+AVERAGE(AD47:AP47)</f>
        <v>110</v>
      </c>
    </row>
    <row r="48" spans="1:44" x14ac:dyDescent="0.2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69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69"/>
    </row>
    <row r="49" spans="3:43" x14ac:dyDescent="0.25">
      <c r="C49" s="3" t="s">
        <v>65</v>
      </c>
      <c r="D49" s="36"/>
      <c r="E49" s="36">
        <v>106622616</v>
      </c>
      <c r="F49" s="36">
        <v>124122616</v>
      </c>
      <c r="G49" s="36">
        <v>139122616</v>
      </c>
      <c r="H49" s="36">
        <v>149122616</v>
      </c>
      <c r="I49" s="36">
        <v>149122616</v>
      </c>
      <c r="J49" s="36">
        <v>167572616</v>
      </c>
      <c r="K49" s="36">
        <v>197572606</v>
      </c>
      <c r="L49" s="36">
        <v>217072606</v>
      </c>
      <c r="M49" s="36">
        <v>223265034</v>
      </c>
      <c r="N49" s="36">
        <f>+R49</f>
        <v>237265034</v>
      </c>
      <c r="O49" s="36">
        <v>237265034</v>
      </c>
      <c r="P49" s="36">
        <v>237265034</v>
      </c>
      <c r="Q49" s="36">
        <v>237265034</v>
      </c>
      <c r="R49" s="36">
        <v>237265034</v>
      </c>
      <c r="S49" s="36">
        <v>237265034</v>
      </c>
      <c r="T49" s="36">
        <v>237265034</v>
      </c>
      <c r="U49" s="36">
        <v>237265034</v>
      </c>
      <c r="V49" s="36">
        <v>237265034</v>
      </c>
      <c r="W49" s="36">
        <v>237265034</v>
      </c>
      <c r="X49" s="36">
        <v>237265034</v>
      </c>
      <c r="Y49" s="36">
        <f t="shared" ref="Y49:AA49" si="41">+X49+(Y64*1000)</f>
        <v>237265034</v>
      </c>
      <c r="Z49" s="36">
        <f t="shared" si="41"/>
        <v>257265034</v>
      </c>
      <c r="AA49" s="69">
        <f t="shared" si="41"/>
        <v>257265034</v>
      </c>
      <c r="AB49" s="36">
        <f>+AA49+(AB64*1000)</f>
        <v>257265034</v>
      </c>
      <c r="AC49" s="36">
        <f>+AB49+(AC64*1000)</f>
        <v>257265034</v>
      </c>
      <c r="AD49" s="36">
        <f>+AC49+(AD64*1000)</f>
        <v>267265034</v>
      </c>
      <c r="AE49" s="36">
        <f t="shared" ref="AE49:AP49" si="42">+AD49+(AE64*1000)</f>
        <v>267265034</v>
      </c>
      <c r="AF49" s="36">
        <f t="shared" si="42"/>
        <v>267265034</v>
      </c>
      <c r="AG49" s="36">
        <f t="shared" si="42"/>
        <v>272265034</v>
      </c>
      <c r="AH49" s="36">
        <f t="shared" si="42"/>
        <v>272265034</v>
      </c>
      <c r="AI49" s="36">
        <f t="shared" si="42"/>
        <v>272265034</v>
      </c>
      <c r="AJ49" s="36">
        <f t="shared" si="42"/>
        <v>277265034</v>
      </c>
      <c r="AK49" s="36">
        <f t="shared" si="42"/>
        <v>277265034</v>
      </c>
      <c r="AL49" s="36">
        <f t="shared" si="42"/>
        <v>277265034</v>
      </c>
      <c r="AM49" s="36">
        <f t="shared" si="42"/>
        <v>277265034</v>
      </c>
      <c r="AN49" s="36">
        <f t="shared" si="42"/>
        <v>277265034</v>
      </c>
      <c r="AO49" s="36">
        <f t="shared" si="42"/>
        <v>277265034</v>
      </c>
      <c r="AP49" s="69">
        <f t="shared" si="42"/>
        <v>277265034</v>
      </c>
      <c r="AQ49" s="80">
        <f t="shared" ref="AQ49" si="43">+AVERAGE(AD49:AP49)</f>
        <v>273803495.53846157</v>
      </c>
    </row>
    <row r="50" spans="3:43" x14ac:dyDescent="0.2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69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69"/>
    </row>
    <row r="51" spans="3:43" x14ac:dyDescent="0.25">
      <c r="C51" s="3" t="s">
        <v>66</v>
      </c>
      <c r="D51" s="36"/>
      <c r="E51" s="36">
        <v>56633254</v>
      </c>
      <c r="F51" s="36">
        <v>53000502</v>
      </c>
      <c r="G51" s="36">
        <v>48316233</v>
      </c>
      <c r="H51" s="36">
        <v>52810630</v>
      </c>
      <c r="I51" s="36">
        <v>63106952</v>
      </c>
      <c r="J51" s="36">
        <v>78783461</v>
      </c>
      <c r="K51" s="36">
        <v>66128926</v>
      </c>
      <c r="L51" s="36">
        <v>74310076</v>
      </c>
      <c r="M51" s="36">
        <v>88719030</v>
      </c>
      <c r="N51" s="36">
        <f>+R51</f>
        <v>108281563</v>
      </c>
      <c r="O51" s="36">
        <v>106887809.48999999</v>
      </c>
      <c r="P51" s="36">
        <v>108465939</v>
      </c>
      <c r="Q51" s="36">
        <v>109217520</v>
      </c>
      <c r="R51" s="36">
        <v>108281563</v>
      </c>
      <c r="S51" s="36">
        <v>109757478</v>
      </c>
      <c r="T51" s="36">
        <v>111201893</v>
      </c>
      <c r="U51" s="66">
        <v>112506786</v>
      </c>
      <c r="V51" s="85">
        <v>114741524</v>
      </c>
      <c r="W51" s="85">
        <v>117176803</v>
      </c>
      <c r="X51" s="85">
        <v>118909311</v>
      </c>
      <c r="Y51" s="85">
        <v>122512613</v>
      </c>
      <c r="Z51" s="85">
        <v>124759970</v>
      </c>
      <c r="AA51" s="69">
        <v>126792024.46482003</v>
      </c>
      <c r="AB51" s="36">
        <v>128667216.45454758</v>
      </c>
      <c r="AC51" s="36">
        <v>130088451.35867836</v>
      </c>
      <c r="AD51" s="36">
        <v>131153906.10745263</v>
      </c>
      <c r="AE51" s="36">
        <v>132369269.4432151</v>
      </c>
      <c r="AF51" s="36">
        <v>133318037.38149324</v>
      </c>
      <c r="AG51" s="36">
        <v>134810521.15974057</v>
      </c>
      <c r="AH51" s="36">
        <v>137421743.51333153</v>
      </c>
      <c r="AI51" s="36">
        <v>140714291.09633994</v>
      </c>
      <c r="AJ51" s="36">
        <v>144748251.22476745</v>
      </c>
      <c r="AK51" s="36">
        <v>148598149.93826088</v>
      </c>
      <c r="AL51" s="36">
        <v>152053524.38268235</v>
      </c>
      <c r="AM51" s="36">
        <v>155438227.66363415</v>
      </c>
      <c r="AN51" s="36">
        <v>158373106.80709121</v>
      </c>
      <c r="AO51" s="36">
        <v>160956150.75044602</v>
      </c>
      <c r="AP51" s="69">
        <v>162978396.97934097</v>
      </c>
      <c r="AQ51" s="80">
        <f t="shared" ref="AQ51" si="44">+AVERAGE(AD51:AP51)</f>
        <v>145610275.11136892</v>
      </c>
    </row>
    <row r="52" spans="3:43" x14ac:dyDescent="0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69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69"/>
    </row>
    <row r="53" spans="3:43" s="7" customFormat="1" ht="15" x14ac:dyDescent="0.3">
      <c r="C53" s="7" t="s">
        <v>67</v>
      </c>
      <c r="D53" s="50"/>
      <c r="E53" s="50">
        <f t="shared" ref="E53:L53" si="45">+E51+E49+E47</f>
        <v>163255980</v>
      </c>
      <c r="F53" s="50">
        <f t="shared" si="45"/>
        <v>177123228</v>
      </c>
      <c r="G53" s="50">
        <f t="shared" si="45"/>
        <v>187438959</v>
      </c>
      <c r="H53" s="50">
        <f t="shared" si="45"/>
        <v>201933356</v>
      </c>
      <c r="I53" s="50">
        <f t="shared" si="45"/>
        <v>212229678</v>
      </c>
      <c r="J53" s="50">
        <f t="shared" si="45"/>
        <v>246356187</v>
      </c>
      <c r="K53" s="50">
        <f t="shared" si="45"/>
        <v>263701642</v>
      </c>
      <c r="L53" s="50">
        <f t="shared" si="45"/>
        <v>291382792</v>
      </c>
      <c r="M53" s="50">
        <f>+M51+M49+M47</f>
        <v>311984174</v>
      </c>
      <c r="N53" s="50">
        <f>+N51+N49+N47</f>
        <v>345546707</v>
      </c>
      <c r="O53" s="50">
        <f t="shared" ref="O53:AP53" si="46">+O51+O49+O47</f>
        <v>344152953.49000001</v>
      </c>
      <c r="P53" s="50">
        <f t="shared" si="46"/>
        <v>345731083</v>
      </c>
      <c r="Q53" s="50">
        <f t="shared" si="46"/>
        <v>346482664</v>
      </c>
      <c r="R53" s="50">
        <f t="shared" si="46"/>
        <v>345546707</v>
      </c>
      <c r="S53" s="50">
        <f t="shared" si="46"/>
        <v>347022622</v>
      </c>
      <c r="T53" s="50">
        <f t="shared" si="46"/>
        <v>348467037</v>
      </c>
      <c r="U53" s="50">
        <f t="shared" si="46"/>
        <v>349771930</v>
      </c>
      <c r="V53" s="50">
        <f t="shared" si="46"/>
        <v>352006668</v>
      </c>
      <c r="W53" s="50">
        <f t="shared" si="46"/>
        <v>354441947</v>
      </c>
      <c r="X53" s="50">
        <f t="shared" si="46"/>
        <v>356174455</v>
      </c>
      <c r="Y53" s="50">
        <f t="shared" si="46"/>
        <v>359777757</v>
      </c>
      <c r="Z53" s="50">
        <f t="shared" si="46"/>
        <v>382025114</v>
      </c>
      <c r="AA53" s="70">
        <f t="shared" si="46"/>
        <v>384057168.46482003</v>
      </c>
      <c r="AB53" s="50">
        <f t="shared" si="46"/>
        <v>385932360.45454758</v>
      </c>
      <c r="AC53" s="50">
        <f t="shared" si="46"/>
        <v>387353595.35867834</v>
      </c>
      <c r="AD53" s="50">
        <f t="shared" si="46"/>
        <v>398419050.10745263</v>
      </c>
      <c r="AE53" s="50">
        <f t="shared" si="46"/>
        <v>399634413.44321513</v>
      </c>
      <c r="AF53" s="50">
        <f t="shared" si="46"/>
        <v>400583181.38149321</v>
      </c>
      <c r="AG53" s="50">
        <f t="shared" si="46"/>
        <v>407075665.15974057</v>
      </c>
      <c r="AH53" s="50">
        <f t="shared" si="46"/>
        <v>409686887.51333153</v>
      </c>
      <c r="AI53" s="50">
        <f t="shared" si="46"/>
        <v>412979435.09633994</v>
      </c>
      <c r="AJ53" s="50">
        <f t="shared" si="46"/>
        <v>422013395.22476745</v>
      </c>
      <c r="AK53" s="50">
        <f t="shared" si="46"/>
        <v>425863293.93826091</v>
      </c>
      <c r="AL53" s="50">
        <f t="shared" si="46"/>
        <v>429318668.38268232</v>
      </c>
      <c r="AM53" s="50">
        <f t="shared" si="46"/>
        <v>432703371.66363418</v>
      </c>
      <c r="AN53" s="50">
        <f t="shared" si="46"/>
        <v>435638250.80709124</v>
      </c>
      <c r="AO53" s="50">
        <f t="shared" si="46"/>
        <v>438221294.75044602</v>
      </c>
      <c r="AP53" s="70">
        <f t="shared" si="46"/>
        <v>440243540.97934097</v>
      </c>
      <c r="AQ53" s="80">
        <f t="shared" ref="AQ53" si="47">+AVERAGE(AD53:AP53)</f>
        <v>419413880.64983046</v>
      </c>
    </row>
    <row r="54" spans="3:43" x14ac:dyDescent="0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69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69"/>
    </row>
    <row r="55" spans="3:43" x14ac:dyDescent="0.2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69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69"/>
    </row>
    <row r="56" spans="3:43" s="7" customFormat="1" ht="15" x14ac:dyDescent="0.3">
      <c r="C56" s="7" t="s">
        <v>68</v>
      </c>
      <c r="D56" s="51"/>
      <c r="E56" s="51">
        <f t="shared" ref="E56:L56" si="48">+E41/(E41+E53)</f>
        <v>0.52369743436325134</v>
      </c>
      <c r="F56" s="51">
        <f t="shared" si="48"/>
        <v>0.51052888612921721</v>
      </c>
      <c r="G56" s="51">
        <f t="shared" si="48"/>
        <v>0.49179394358661827</v>
      </c>
      <c r="H56" s="51">
        <f t="shared" si="48"/>
        <v>0.49270821873317688</v>
      </c>
      <c r="I56" s="51">
        <f t="shared" si="48"/>
        <v>0.48350081178132415</v>
      </c>
      <c r="J56" s="51">
        <f t="shared" si="48"/>
        <v>0.47978847069422575</v>
      </c>
      <c r="K56" s="51">
        <f t="shared" si="48"/>
        <v>0.50845014294883584</v>
      </c>
      <c r="L56" s="51">
        <f t="shared" si="48"/>
        <v>0.50122943762827921</v>
      </c>
      <c r="M56" s="51">
        <f>+M41/(M41+M53)</f>
        <v>0.52974605720941159</v>
      </c>
      <c r="N56" s="51">
        <f>+N41/(N41+N53)</f>
        <v>0.5042693524996521</v>
      </c>
      <c r="O56" s="51">
        <f t="shared" ref="O56:AP56" si="49">+O41/(O41+O53)</f>
        <v>0.49804184856430139</v>
      </c>
      <c r="P56" s="51">
        <f t="shared" si="49"/>
        <v>0.49690560774984066</v>
      </c>
      <c r="Q56" s="51">
        <f t="shared" si="49"/>
        <v>0.50000408981763356</v>
      </c>
      <c r="R56" s="51">
        <f t="shared" si="49"/>
        <v>0.5042693524996521</v>
      </c>
      <c r="S56" s="51">
        <f t="shared" si="49"/>
        <v>0.51022268533254811</v>
      </c>
      <c r="T56" s="51">
        <f t="shared" si="49"/>
        <v>0.51262402993995049</v>
      </c>
      <c r="U56" s="51">
        <f t="shared" si="49"/>
        <v>0.51169714419468271</v>
      </c>
      <c r="V56" s="51">
        <f t="shared" si="49"/>
        <v>0.51683685825417958</v>
      </c>
      <c r="W56" s="51">
        <f t="shared" si="49"/>
        <v>0.51841584444310151</v>
      </c>
      <c r="X56" s="51">
        <f t="shared" si="49"/>
        <v>0.51842722502834082</v>
      </c>
      <c r="Y56" s="51">
        <f t="shared" si="49"/>
        <v>0.51527118023483398</v>
      </c>
      <c r="Z56" s="51">
        <f t="shared" si="49"/>
        <v>0.50028564384818752</v>
      </c>
      <c r="AA56" s="71">
        <f t="shared" si="49"/>
        <v>0.4989690531834351</v>
      </c>
      <c r="AB56" s="51">
        <f t="shared" si="49"/>
        <v>0.50421306355595685</v>
      </c>
      <c r="AC56" s="51">
        <f t="shared" si="49"/>
        <v>0.50330358355899951</v>
      </c>
      <c r="AD56" s="51">
        <f t="shared" si="49"/>
        <v>0.49627153243044253</v>
      </c>
      <c r="AE56" s="51">
        <f t="shared" si="49"/>
        <v>0.50180849932657845</v>
      </c>
      <c r="AF56" s="51">
        <f t="shared" si="49"/>
        <v>0.50122487810160532</v>
      </c>
      <c r="AG56" s="51">
        <f t="shared" si="49"/>
        <v>0.50030062291988231</v>
      </c>
      <c r="AH56" s="51">
        <f t="shared" si="49"/>
        <v>0.49871117938346388</v>
      </c>
      <c r="AI56" s="51">
        <f t="shared" si="49"/>
        <v>0.49976721189592971</v>
      </c>
      <c r="AJ56" s="51">
        <f t="shared" si="49"/>
        <v>0.49436660399160137</v>
      </c>
      <c r="AK56" s="51">
        <f t="shared" si="49"/>
        <v>0.49271066130925156</v>
      </c>
      <c r="AL56" s="51">
        <f t="shared" si="49"/>
        <v>0.49069989561156346</v>
      </c>
      <c r="AM56" s="51">
        <f t="shared" si="49"/>
        <v>0.5034147290885278</v>
      </c>
      <c r="AN56" s="51">
        <f t="shared" si="49"/>
        <v>0.50173327078971386</v>
      </c>
      <c r="AO56" s="51">
        <f t="shared" si="49"/>
        <v>0.50026375714024895</v>
      </c>
      <c r="AP56" s="71">
        <f t="shared" si="49"/>
        <v>0.49912117944189194</v>
      </c>
      <c r="AQ56" s="71">
        <f>+AQ41/(AQ41+AQ53)</f>
        <v>0.49850757742780322</v>
      </c>
    </row>
    <row r="57" spans="3:43" ht="15" x14ac:dyDescent="0.3">
      <c r="C57" s="7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7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72"/>
      <c r="AQ57" s="72"/>
    </row>
    <row r="58" spans="3:43" s="7" customFormat="1" ht="15" x14ac:dyDescent="0.3">
      <c r="C58" s="7" t="s">
        <v>69</v>
      </c>
      <c r="D58" s="51"/>
      <c r="E58" s="51">
        <f t="shared" ref="E58:L58" si="50">1-E56</f>
        <v>0.47630256563674866</v>
      </c>
      <c r="F58" s="51">
        <f t="shared" si="50"/>
        <v>0.48947111387078279</v>
      </c>
      <c r="G58" s="51">
        <f t="shared" si="50"/>
        <v>0.50820605641338168</v>
      </c>
      <c r="H58" s="51">
        <f t="shared" si="50"/>
        <v>0.50729178126682317</v>
      </c>
      <c r="I58" s="51">
        <f t="shared" si="50"/>
        <v>0.5164991882186758</v>
      </c>
      <c r="J58" s="51">
        <f t="shared" si="50"/>
        <v>0.5202115293057743</v>
      </c>
      <c r="K58" s="51">
        <f t="shared" si="50"/>
        <v>0.49154985705116416</v>
      </c>
      <c r="L58" s="51">
        <f t="shared" si="50"/>
        <v>0.49877056237172079</v>
      </c>
      <c r="M58" s="51">
        <f>1-M56</f>
        <v>0.47025394279058841</v>
      </c>
      <c r="N58" s="51">
        <f>1-N56</f>
        <v>0.4957306475003479</v>
      </c>
      <c r="O58" s="51">
        <f t="shared" ref="O58:AP58" si="51">1-O56</f>
        <v>0.50195815143569855</v>
      </c>
      <c r="P58" s="51">
        <f t="shared" si="51"/>
        <v>0.50309439225015939</v>
      </c>
      <c r="Q58" s="51">
        <f t="shared" si="51"/>
        <v>0.49999591018236644</v>
      </c>
      <c r="R58" s="51">
        <f t="shared" si="51"/>
        <v>0.4957306475003479</v>
      </c>
      <c r="S58" s="51">
        <f t="shared" si="51"/>
        <v>0.48977731466745189</v>
      </c>
      <c r="T58" s="51">
        <f t="shared" si="51"/>
        <v>0.48737597006004951</v>
      </c>
      <c r="U58" s="51">
        <f t="shared" si="51"/>
        <v>0.48830285580531729</v>
      </c>
      <c r="V58" s="51">
        <f t="shared" si="51"/>
        <v>0.48316314174582042</v>
      </c>
      <c r="W58" s="51">
        <f t="shared" si="51"/>
        <v>0.48158415555689849</v>
      </c>
      <c r="X58" s="51">
        <f t="shared" si="51"/>
        <v>0.48157277497165918</v>
      </c>
      <c r="Y58" s="51">
        <f t="shared" si="51"/>
        <v>0.48472881976516602</v>
      </c>
      <c r="Z58" s="51">
        <f t="shared" si="51"/>
        <v>0.49971435615181248</v>
      </c>
      <c r="AA58" s="71">
        <f t="shared" si="51"/>
        <v>0.5010309468165649</v>
      </c>
      <c r="AB58" s="51">
        <f t="shared" si="51"/>
        <v>0.49578693644404315</v>
      </c>
      <c r="AC58" s="51">
        <f t="shared" si="51"/>
        <v>0.49669641644100049</v>
      </c>
      <c r="AD58" s="51">
        <f t="shared" si="51"/>
        <v>0.50372846756955747</v>
      </c>
      <c r="AE58" s="51">
        <f t="shared" si="51"/>
        <v>0.49819150067342155</v>
      </c>
      <c r="AF58" s="51">
        <f t="shared" si="51"/>
        <v>0.49877512189839468</v>
      </c>
      <c r="AG58" s="51">
        <f t="shared" si="51"/>
        <v>0.49969937708011769</v>
      </c>
      <c r="AH58" s="51">
        <f t="shared" si="51"/>
        <v>0.50128882061653612</v>
      </c>
      <c r="AI58" s="51">
        <f t="shared" si="51"/>
        <v>0.50023278810407024</v>
      </c>
      <c r="AJ58" s="51">
        <f t="shared" si="51"/>
        <v>0.50563339600839863</v>
      </c>
      <c r="AK58" s="51">
        <f t="shared" si="51"/>
        <v>0.50728933869074844</v>
      </c>
      <c r="AL58" s="51">
        <f t="shared" si="51"/>
        <v>0.50930010438843654</v>
      </c>
      <c r="AM58" s="51">
        <f t="shared" si="51"/>
        <v>0.4965852709114722</v>
      </c>
      <c r="AN58" s="51">
        <f t="shared" si="51"/>
        <v>0.49826672921028614</v>
      </c>
      <c r="AO58" s="51">
        <f t="shared" si="51"/>
        <v>0.49973624285975105</v>
      </c>
      <c r="AP58" s="71">
        <f t="shared" si="51"/>
        <v>0.50087882055810806</v>
      </c>
      <c r="AQ58" s="71">
        <f>1-AQ56</f>
        <v>0.50149242257219684</v>
      </c>
    </row>
    <row r="59" spans="3:43" ht="15" x14ac:dyDescent="0.3">
      <c r="C59" s="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72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72"/>
      <c r="AQ59" s="72"/>
    </row>
    <row r="60" spans="3:43" s="7" customFormat="1" ht="15" x14ac:dyDescent="0.3">
      <c r="C60" s="7" t="s">
        <v>70</v>
      </c>
      <c r="D60" s="51"/>
      <c r="E60" s="51">
        <f>+E43/(AVERAGE(E41+D41))</f>
        <v>6.6042149008266909E-2</v>
      </c>
      <c r="F60" s="51">
        <f>+F43/(AVERAGE(F41,E41))</f>
        <v>6.5320527049624461E-2</v>
      </c>
      <c r="G60" s="51">
        <f t="shared" ref="G60:N60" si="52">+G43/(AVERAGE(G41,F41))</f>
        <v>6.5067213057255782E-2</v>
      </c>
      <c r="H60" s="51">
        <f t="shared" si="52"/>
        <v>6.3648406783818529E-2</v>
      </c>
      <c r="I60" s="51">
        <f t="shared" si="52"/>
        <v>6.1976341666775001E-2</v>
      </c>
      <c r="J60" s="51">
        <f t="shared" si="52"/>
        <v>5.8855680000378698E-2</v>
      </c>
      <c r="K60" s="51">
        <f t="shared" si="52"/>
        <v>5.3732069917465167E-2</v>
      </c>
      <c r="L60" s="51">
        <f t="shared" si="52"/>
        <v>5.5157036093738225E-2</v>
      </c>
      <c r="M60" s="51" t="e">
        <f t="shared" si="52"/>
        <v>#VALUE!</v>
      </c>
      <c r="N60" s="51" t="e">
        <f t="shared" si="52"/>
        <v>#VALUE!</v>
      </c>
      <c r="O60" s="51" t="e">
        <f t="shared" ref="O60:AP60" si="53">+O43/O41</f>
        <v>#VALUE!</v>
      </c>
      <c r="P60" s="51" t="e">
        <f t="shared" si="53"/>
        <v>#VALUE!</v>
      </c>
      <c r="Q60" s="51" t="e">
        <f t="shared" si="53"/>
        <v>#VALUE!</v>
      </c>
      <c r="R60" s="51" t="e">
        <f t="shared" si="53"/>
        <v>#VALUE!</v>
      </c>
      <c r="S60" s="51" t="e">
        <f t="shared" si="53"/>
        <v>#VALUE!</v>
      </c>
      <c r="T60" s="51" t="e">
        <f t="shared" si="53"/>
        <v>#VALUE!</v>
      </c>
      <c r="U60" s="51" t="e">
        <f t="shared" si="53"/>
        <v>#VALUE!</v>
      </c>
      <c r="V60" s="51" t="e">
        <f t="shared" si="53"/>
        <v>#VALUE!</v>
      </c>
      <c r="W60" s="51" t="e">
        <f t="shared" si="53"/>
        <v>#VALUE!</v>
      </c>
      <c r="X60" s="51">
        <f t="shared" si="53"/>
        <v>3.9200169682430397E-3</v>
      </c>
      <c r="Y60" s="51">
        <f t="shared" si="53"/>
        <v>3.8622687267047132E-3</v>
      </c>
      <c r="Z60" s="51">
        <f t="shared" si="53"/>
        <v>3.9553560421373537E-3</v>
      </c>
      <c r="AA60" s="71">
        <f t="shared" si="53"/>
        <v>3.9552415157008023E-3</v>
      </c>
      <c r="AB60" s="51">
        <f t="shared" si="53"/>
        <v>3.9362573221450115E-3</v>
      </c>
      <c r="AC60" s="51">
        <f t="shared" si="53"/>
        <v>3.9361464423753054E-3</v>
      </c>
      <c r="AD60" s="51">
        <f t="shared" si="53"/>
        <v>3.9360355709677445E-3</v>
      </c>
      <c r="AE60" s="51">
        <f t="shared" si="53"/>
        <v>3.9180029165422105E-3</v>
      </c>
      <c r="AF60" s="51">
        <f t="shared" si="53"/>
        <v>3.91789547462349E-3</v>
      </c>
      <c r="AG60" s="51">
        <f t="shared" si="53"/>
        <v>3.9091602277987175E-3</v>
      </c>
      <c r="AH60" s="51">
        <f t="shared" si="53"/>
        <v>3.9090544328512708E-3</v>
      </c>
      <c r="AI60" s="51">
        <f t="shared" si="53"/>
        <v>3.9005331267485399E-3</v>
      </c>
      <c r="AJ60" s="51">
        <f t="shared" si="53"/>
        <v>3.9004289308864812E-3</v>
      </c>
      <c r="AK60" s="51">
        <f t="shared" si="53"/>
        <v>3.8492996394226798E-3</v>
      </c>
      <c r="AL60" s="51">
        <f t="shared" si="53"/>
        <v>3.8491975362041791E-3</v>
      </c>
      <c r="AM60" s="51">
        <f t="shared" si="53"/>
        <v>3.8138572425017569E-3</v>
      </c>
      <c r="AN60" s="51">
        <f t="shared" si="53"/>
        <v>3.8137621609652863E-3</v>
      </c>
      <c r="AO60" s="51">
        <f t="shared" si="53"/>
        <v>3.8136670858449416E-3</v>
      </c>
      <c r="AP60" s="71">
        <f t="shared" si="53"/>
        <v>3.813572017140074E-3</v>
      </c>
      <c r="AQ60" s="71">
        <f>+(AQ43*12)/AQ41</f>
        <v>4.6452451131299713E-2</v>
      </c>
    </row>
    <row r="61" spans="3:43" x14ac:dyDescent="0.2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 t="e">
        <f>+T60*12</f>
        <v>#VALUE!</v>
      </c>
      <c r="U61" s="46" t="e">
        <f>+U60*12</f>
        <v>#VALUE!</v>
      </c>
      <c r="V61" s="46"/>
      <c r="W61" s="46"/>
      <c r="X61" s="46"/>
      <c r="Y61" s="46"/>
      <c r="Z61" s="46"/>
      <c r="AA61" s="72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72"/>
    </row>
    <row r="62" spans="3:43" s="54" customFormat="1" x14ac:dyDescent="0.2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73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73"/>
      <c r="AQ62" s="75"/>
    </row>
    <row r="63" spans="3:43" s="54" customFormat="1" x14ac:dyDescent="0.25">
      <c r="U63" s="56"/>
      <c r="V63" s="56"/>
      <c r="W63" s="56"/>
      <c r="X63" s="56"/>
      <c r="Y63" s="56"/>
      <c r="Z63" s="56"/>
      <c r="AA63" s="74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74"/>
      <c r="AQ63" s="75"/>
    </row>
    <row r="64" spans="3:43" x14ac:dyDescent="0.25">
      <c r="C64" s="3" t="s">
        <v>71</v>
      </c>
      <c r="Z64" s="85">
        <v>20000</v>
      </c>
      <c r="AD64" s="36">
        <v>10000</v>
      </c>
      <c r="AE64" s="36"/>
      <c r="AF64" s="36"/>
      <c r="AG64" s="36">
        <v>5000</v>
      </c>
      <c r="AH64" s="36"/>
      <c r="AI64" s="36"/>
      <c r="AJ64" s="36">
        <v>5000</v>
      </c>
      <c r="AK64" s="36"/>
    </row>
    <row r="66" spans="3:43" x14ac:dyDescent="0.25">
      <c r="C66" s="3" t="s">
        <v>72</v>
      </c>
      <c r="Z66" s="24"/>
      <c r="AA66" s="76">
        <f>+AVERAGE(O58:AA58)</f>
        <v>0.49215611053148567</v>
      </c>
      <c r="AB66" s="24">
        <f>+AVERAGE(P58:AB58)</f>
        <v>0.49168140168597374</v>
      </c>
      <c r="AC66" s="24">
        <f t="shared" ref="AC66:AP66" si="54">+AVERAGE(Q58:AC58)</f>
        <v>0.49118924970065375</v>
      </c>
      <c r="AD66" s="24">
        <f t="shared" si="54"/>
        <v>0.49147636949966839</v>
      </c>
      <c r="AE66" s="24">
        <f t="shared" si="54"/>
        <v>0.49166566589759719</v>
      </c>
      <c r="AF66" s="24">
        <f t="shared" si="54"/>
        <v>0.49235780491536196</v>
      </c>
      <c r="AG66" s="24">
        <f t="shared" si="54"/>
        <v>0.49330575930152099</v>
      </c>
      <c r="AH66" s="24">
        <f t="shared" si="54"/>
        <v>0.49430467967161473</v>
      </c>
      <c r="AI66" s="24">
        <f t="shared" si="54"/>
        <v>0.49561772939148019</v>
      </c>
      <c r="AJ66" s="24">
        <f t="shared" si="54"/>
        <v>0.49746767096467259</v>
      </c>
      <c r="AK66" s="24">
        <f t="shared" si="54"/>
        <v>0.49944586817383324</v>
      </c>
      <c r="AL66" s="24">
        <f t="shared" si="54"/>
        <v>0.50133596699100791</v>
      </c>
      <c r="AM66" s="24">
        <f t="shared" si="54"/>
        <v>0.5010952681263664</v>
      </c>
      <c r="AN66" s="24">
        <f t="shared" si="54"/>
        <v>0.50088263600280647</v>
      </c>
      <c r="AO66" s="24">
        <f t="shared" si="54"/>
        <v>0.50118642880401476</v>
      </c>
      <c r="AP66" s="76">
        <f t="shared" si="54"/>
        <v>0.50150815219763845</v>
      </c>
      <c r="AQ66" s="76"/>
    </row>
  </sheetData>
  <mergeCells count="3">
    <mergeCell ref="O4:R4"/>
    <mergeCell ref="S4:AD4"/>
    <mergeCell ref="AE4:AP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FF71CE-177A-4B8B-BE01-9CAEDED620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40101E-0AB9-4EBC-82C5-C6D357CCCFA2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4791F8CC-522A-4C4D-B1B7-407FEE4A9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Exh 19</vt:lpstr>
      <vt:lpstr>Exh 35</vt:lpstr>
      <vt:lpstr>Revolver</vt:lpstr>
      <vt:lpstr>Notes</vt:lpstr>
      <vt:lpstr>Hist-Forecast</vt:lpstr>
      <vt:lpstr>'Exh 19'!Print_Area</vt:lpstr>
      <vt:lpstr>'Exh 35'!Print_Area</vt:lpstr>
      <vt:lpstr>Notes!Print_Area</vt:lpstr>
      <vt:lpstr>Revolver!Print_Area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Dante Destefano</dc:creator>
  <cp:keywords/>
  <dc:description/>
  <cp:lastModifiedBy>Dante Destefano</cp:lastModifiedBy>
  <cp:revision/>
  <cp:lastPrinted>2022-05-27T02:08:24Z</cp:lastPrinted>
  <dcterms:created xsi:type="dcterms:W3CDTF">2022-04-04T15:01:06Z</dcterms:created>
  <dcterms:modified xsi:type="dcterms:W3CDTF">2022-09-23T04:18:18Z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