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orixgroup.sharepoint.com/sites/Regulatory-Kentucky/Shared Documents/Kentucky/WSCKY 2022 Rate Case/Discovery/Staff DR Set 1/AS FILED/"/>
    </mc:Choice>
  </mc:AlternateContent>
  <xr:revisionPtr revIDLastSave="6" documentId="8_{1ADC1EBB-2EAF-4593-A4D5-D8DE37BEDC7D}" xr6:coauthVersionLast="47" xr6:coauthVersionMax="47" xr10:uidLastSave="{A9976D7D-0831-4825-9A20-4D91C4D74DE9}"/>
  <bookViews>
    <workbookView xWindow="-110" yWindow="-110" windowWidth="19420" windowHeight="10420" xr2:uid="{032E3BC8-CEE1-4CAE-B7B2-CDFF942EF501}"/>
  </bookViews>
  <sheets>
    <sheet name="a" sheetId="2" r:id="rId1"/>
    <sheet name="b" sheetId="1" r:id="rId2"/>
    <sheet name="c" sheetId="3" r:id="rId3"/>
  </sheets>
  <externalReferences>
    <externalReference r:id="rId4"/>
  </externalReferences>
  <definedNames>
    <definedName name="_xlnm._FilterDatabase" localSheetId="1" hidden="1">b!$A$2:$D$14</definedName>
    <definedName name="_xlnm.Print_Area" localSheetId="1">b!$A$1:$L$15</definedName>
    <definedName name="_xlnm.Print_Area" localSheetId="2">'c'!$A$1:$P$45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C9" i="2" s="1"/>
  <c r="C7" i="2"/>
  <c r="C6" i="2"/>
  <c r="Q35" i="1"/>
  <c r="I34" i="1"/>
  <c r="I33" i="1"/>
  <c r="I32" i="1"/>
  <c r="I31" i="1"/>
  <c r="P34" i="1" s="1"/>
  <c r="I30" i="1"/>
  <c r="I29" i="1"/>
  <c r="I28" i="1"/>
  <c r="I27" i="1"/>
  <c r="I26" i="1"/>
  <c r="M30" i="1" s="1"/>
  <c r="I25" i="1"/>
  <c r="I24" i="1"/>
  <c r="I23" i="1"/>
  <c r="I22" i="1"/>
  <c r="I21" i="1"/>
  <c r="I20" i="1"/>
  <c r="I19" i="1"/>
  <c r="I18" i="1"/>
  <c r="N25" i="1" s="1"/>
  <c r="I17" i="1"/>
  <c r="I16" i="1"/>
  <c r="P16" i="1" s="1"/>
  <c r="I15" i="1"/>
  <c r="O14" i="1"/>
  <c r="O35" i="1" s="1"/>
  <c r="I14" i="1"/>
  <c r="Q13" i="1"/>
  <c r="I13" i="1"/>
  <c r="I12" i="1"/>
  <c r="I11" i="1"/>
  <c r="I10" i="1"/>
  <c r="M12" i="1" s="1"/>
  <c r="M35" i="1" s="1"/>
  <c r="I8" i="1"/>
  <c r="I7" i="1"/>
  <c r="N9" i="1" s="1"/>
  <c r="N35" i="1" s="1"/>
  <c r="I6" i="1"/>
  <c r="I5" i="1"/>
  <c r="I4" i="1"/>
  <c r="I3" i="1"/>
  <c r="I2" i="1"/>
  <c r="I35" i="1" s="1"/>
  <c r="N29" i="3"/>
  <c r="O28" i="3"/>
  <c r="P28" i="3" s="1"/>
  <c r="N28" i="3"/>
  <c r="O27" i="3"/>
  <c r="P27" i="3" s="1"/>
  <c r="L27" i="3"/>
  <c r="N27" i="3" s="1"/>
  <c r="J24" i="3"/>
  <c r="N24" i="3" s="1"/>
  <c r="J23" i="3"/>
  <c r="N23" i="3" s="1"/>
  <c r="J22" i="3"/>
  <c r="N22" i="3" s="1"/>
  <c r="N17" i="3"/>
  <c r="J15" i="3"/>
  <c r="N15" i="3" s="1"/>
  <c r="G15" i="3"/>
  <c r="J14" i="3"/>
  <c r="J31" i="3" s="1"/>
  <c r="J33" i="3" s="1"/>
  <c r="J37" i="3" s="1"/>
  <c r="J42" i="3" s="1"/>
  <c r="C13" i="3"/>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O12" i="3"/>
  <c r="L12" i="3"/>
  <c r="N12" i="3" s="1"/>
  <c r="C12" i="3"/>
  <c r="O11" i="3"/>
  <c r="P11" i="3" s="1"/>
  <c r="N11" i="3"/>
  <c r="N37" i="1" l="1"/>
  <c r="P35" i="1"/>
  <c r="Q37" i="1" s="1"/>
  <c r="I36" i="1"/>
  <c r="I37" i="1" s="1"/>
  <c r="N14" i="3"/>
  <c r="S37" i="1" l="1"/>
  <c r="S38" i="1" s="1"/>
</calcChain>
</file>

<file path=xl/sharedStrings.xml><?xml version="1.0" encoding="utf-8"?>
<sst xmlns="http://schemas.openxmlformats.org/spreadsheetml/2006/main" count="297" uniqueCount="119">
  <si>
    <t>Data request 12a Rate case expenses</t>
  </si>
  <si>
    <t>1. Accounting</t>
  </si>
  <si>
    <t>2. Engineering</t>
  </si>
  <si>
    <t>3.  Legal</t>
  </si>
  <si>
    <t>4. Consultants</t>
  </si>
  <si>
    <t xml:space="preserve">5. Postage </t>
  </si>
  <si>
    <t>Total to date</t>
  </si>
  <si>
    <t>Vendor</t>
  </si>
  <si>
    <t>Purchase Order</t>
  </si>
  <si>
    <t>Invoice #</t>
  </si>
  <si>
    <t>Amount</t>
  </si>
  <si>
    <t>Pay Date</t>
  </si>
  <si>
    <t>Check #</t>
  </si>
  <si>
    <t>Hours Worked</t>
  </si>
  <si>
    <t>Rates Per Hr</t>
  </si>
  <si>
    <t>Services Performed</t>
  </si>
  <si>
    <t>Account Number</t>
  </si>
  <si>
    <t>Acct Name</t>
  </si>
  <si>
    <t>Sturgill, Turner, Barker &amp; Moloney</t>
  </si>
  <si>
    <t>P91-2210-100171</t>
  </si>
  <si>
    <t>Legal Services</t>
  </si>
  <si>
    <t>2210.312005.10.170002.0000.000.0000</t>
  </si>
  <si>
    <t>RCIP - Attorney Fees</t>
  </si>
  <si>
    <t>Ice Miller LLP</t>
  </si>
  <si>
    <t>P91-2210-100175</t>
  </si>
  <si>
    <t>01-2147119</t>
  </si>
  <si>
    <t>Baryenbruch &amp; Company, LLC</t>
  </si>
  <si>
    <t>060322</t>
  </si>
  <si>
    <r>
      <rPr>
        <sz val="7"/>
        <color theme="1"/>
        <rFont val="Times New Roman"/>
        <family val="1"/>
      </rPr>
      <t xml:space="preserve">          </t>
    </r>
    <r>
      <rPr>
        <sz val="12"/>
        <color theme="1"/>
        <rFont val="Arial"/>
        <family val="2"/>
      </rPr>
      <t>For each category identified in Item 12.a., the schedule should include the date of each transaction, check number or other document reference, the vendor, the hours worked, the rates per hour, amount, a description of the services performed, and the account number in which the expenditure was recorded. Provide copies of contracts or other documentation that support charges incurred in the preparation of this case. Identify any costs incurred for this case that occurred during the base period.</t>
    </r>
  </si>
  <si>
    <t xml:space="preserve">DR 12 c. </t>
  </si>
  <si>
    <t>Water Service Corporation of Kentucky</t>
  </si>
  <si>
    <t>Rate Case Expense</t>
  </si>
  <si>
    <t>A</t>
  </si>
  <si>
    <t>B</t>
  </si>
  <si>
    <t>C</t>
  </si>
  <si>
    <t>D</t>
  </si>
  <si>
    <t>E</t>
  </si>
  <si>
    <t>F</t>
  </si>
  <si>
    <t>G</t>
  </si>
  <si>
    <t>Average Hourly</t>
  </si>
  <si>
    <t>Estimated Hours</t>
  </si>
  <si>
    <t>Line No.</t>
  </si>
  <si>
    <t>Total</t>
  </si>
  <si>
    <t>Incurred</t>
  </si>
  <si>
    <t>Remaining</t>
  </si>
  <si>
    <t>Rate</t>
  </si>
  <si>
    <t>to be Worked</t>
  </si>
  <si>
    <t>Legal Fees (Ice Miller)</t>
  </si>
  <si>
    <t>Legal Fees (Strugill Turner)</t>
  </si>
  <si>
    <t>Customer Notices (2 notices):</t>
  </si>
  <si>
    <t>Postage</t>
  </si>
  <si>
    <t>=</t>
  </si>
  <si>
    <t>customers x $0.5125</t>
  </si>
  <si>
    <t>Stock</t>
  </si>
  <si>
    <t>Fed Ex, mailings, postage, and miscellaneous costs</t>
  </si>
  <si>
    <t># of Trips/</t>
  </si>
  <si>
    <t>Personnel</t>
  </si>
  <si>
    <t>Cost</t>
  </si>
  <si>
    <t>Nights</t>
  </si>
  <si>
    <t>Travel **</t>
  </si>
  <si>
    <t>Airfare</t>
  </si>
  <si>
    <t>Hotel</t>
  </si>
  <si>
    <t>Meals/Parking</t>
  </si>
  <si>
    <t>External Consultants (Salary Survey)</t>
  </si>
  <si>
    <t>External Consultants (ROE - Scott Madden)</t>
  </si>
  <si>
    <t>External Consultants (CAM-Pat Baryenbruch)</t>
  </si>
  <si>
    <t>Total Cost of current case - estimated cost to complete</t>
  </si>
  <si>
    <t>Total Current Rate Case Cost</t>
  </si>
  <si>
    <t>Unamortized Rate Case Expense from prior Rate Cases approved</t>
  </si>
  <si>
    <t>Amortized over 3 years</t>
  </si>
  <si>
    <t>Amortization Expense per year</t>
  </si>
  <si>
    <t>*</t>
  </si>
  <si>
    <t>Will update with actual costs once invoices are received.</t>
  </si>
  <si>
    <t>**</t>
  </si>
  <si>
    <t>Travel expected may be cancelled due to Covid-19</t>
  </si>
  <si>
    <t>CO From:</t>
  </si>
  <si>
    <t>Per Billing team - notice costs:</t>
  </si>
  <si>
    <t>Infosend Mailing Costs (effective 12/01/2021)                  </t>
  </si>
  <si>
    <t>Paper Stock        $0.0169              per page (bill or notice)</t>
  </si>
  <si>
    <t>Envelopes                        </t>
  </si>
  <si>
    <t>#10 Outgoing Envelope $0.0196             </t>
  </si>
  <si>
    <t>#9 Return Envelope        $0.0168             </t>
  </si>
  <si>
    <t>Data Processing, Printing and Mailing Services    $0.0493              per page (bill or notice)</t>
  </si>
  <si>
    <t>Total Price per bill of above components              $0.1025             </t>
  </si>
  <si>
    <t>Postage (Varies / Avg stated)      $0.4100              Lowest possible postage is applied by Infosend - Average is $0.41.  Postage is variable for mail pieces that weigh more than 1 oz, bar-coded vs non-bar coded or are addressed to a foreign address</t>
  </si>
  <si>
    <t>Average cost per single page bill $0.5125             </t>
  </si>
  <si>
    <t>                            </t>
  </si>
  <si>
    <t>Notice with Bills                            </t>
  </si>
  <si>
    <t>Paper Stock        $0.0169              per page (notice)</t>
  </si>
  <si>
    <t>Data Processing, Printing and Mailing Services    $0.0493              per page (notice)</t>
  </si>
  <si>
    <t>Average cost per single page bill $0.0662             </t>
  </si>
  <si>
    <t>notices x .1025</t>
  </si>
  <si>
    <t>Document Reproduction</t>
  </si>
  <si>
    <t>Prepare Direct Testimony</t>
  </si>
  <si>
    <t>ScottMadden Inc.</t>
  </si>
  <si>
    <t>P91-2210-100186</t>
  </si>
  <si>
    <t>021148</t>
  </si>
  <si>
    <t>Wage &amp; Benefits Study</t>
  </si>
  <si>
    <t>021148.1</t>
  </si>
  <si>
    <t>unpaid</t>
  </si>
  <si>
    <t>-</t>
  </si>
  <si>
    <t>Rate of Return Study</t>
  </si>
  <si>
    <t>Rate case expenses incurred as of 7/7/22</t>
  </si>
  <si>
    <t>Ice Miller</t>
  </si>
  <si>
    <t>Sturgill</t>
  </si>
  <si>
    <t>Salary-SM</t>
  </si>
  <si>
    <t>ROE-SM</t>
  </si>
  <si>
    <t>Baryenbruch</t>
  </si>
  <si>
    <t>Counsel</t>
  </si>
  <si>
    <t>Associate Counsel</t>
  </si>
  <si>
    <t>Paralegal</t>
  </si>
  <si>
    <t>Online research/Fees</t>
  </si>
  <si>
    <t>Online research</t>
  </si>
  <si>
    <t>New from last report</t>
  </si>
  <si>
    <t>Total from last report</t>
  </si>
  <si>
    <t>Legal</t>
  </si>
  <si>
    <t>Consultants</t>
  </si>
  <si>
    <t>01-2162392</t>
  </si>
  <si>
    <t>01-2162393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</si>
</sst>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409]mmm\-yy;@"/>
    <numFmt numFmtId="165" formatCode="#,##0\ ;\(#,##0\)"/>
    <numFmt numFmtId="166" formatCode="&quot;Base Year (Per Books) Ended&quot;\ mmmm\ dd\,\ yyyy"/>
    <numFmt numFmtId="167" formatCode="&quot;Future Test Year Ended&quot;\ mmmm\ dd\,\ yyyy"/>
    <numFmt numFmtId="168" formatCode="#,##0.00\ ;\(#,##0.00\)"/>
    <numFmt numFmtId="169" formatCode="_(* #,##0_);_(* \(#,##0\);_(* &quot;-&quot;??_);_(@_)"/>
    <numFmt numFmtId="170"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2"/>
      <color theme="1"/>
      <name val="Arial"/>
      <family val="2"/>
    </font>
    <font>
      <sz val="7"/>
      <color theme="1"/>
      <name val="Times New Roman"/>
      <family val="1"/>
    </font>
    <font>
      <sz val="12"/>
      <color theme="1"/>
      <name val="Arial"/>
      <family val="1"/>
    </font>
    <font>
      <sz val="11"/>
      <color rgb="FF333333"/>
      <name val="Calibri"/>
      <family val="2"/>
      <scheme val="minor"/>
    </font>
    <font>
      <sz val="10"/>
      <name val="Courier"/>
      <family val="3"/>
    </font>
    <font>
      <b/>
      <sz val="10"/>
      <name val="Book Antiqua"/>
      <family val="1"/>
    </font>
    <font>
      <sz val="12"/>
      <color theme="1"/>
      <name val="Calibri"/>
      <family val="2"/>
      <scheme val="minor"/>
    </font>
    <font>
      <sz val="10"/>
      <name val="Book Antiqua"/>
      <family val="1"/>
    </font>
    <font>
      <sz val="10"/>
      <name val="Times New Roman"/>
      <family val="1"/>
    </font>
    <font>
      <sz val="11"/>
      <color indexed="62"/>
      <name val="Calibri"/>
      <family val="2"/>
    </font>
    <font>
      <sz val="11"/>
      <color theme="1"/>
      <name val="Calibri"/>
      <family val="2"/>
    </font>
    <font>
      <sz val="11"/>
      <color rgb="FFFF0000"/>
      <name val="Calibri"/>
      <family val="2"/>
    </font>
  </fonts>
  <fills count="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indexed="47"/>
      </patternFill>
    </fill>
    <fill>
      <patternFill patternType="solid">
        <fgColor theme="6"/>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s>
  <cellStyleXfs count="8">
    <xf numFmtId="0" fontId="0" fillId="0" borderId="0"/>
    <xf numFmtId="44" fontId="1" fillId="0" borderId="0" applyFont="0" applyFill="0" applyBorder="0" applyAlignment="0" applyProtection="0"/>
    <xf numFmtId="43" fontId="1" fillId="0" borderId="0" applyFont="0" applyFill="0" applyBorder="0" applyAlignment="0" applyProtection="0"/>
    <xf numFmtId="164" fontId="8" fillId="0" borderId="0"/>
    <xf numFmtId="0" fontId="8" fillId="0" borderId="0"/>
    <xf numFmtId="164" fontId="13" fillId="5" borderId="14" applyNumberFormat="0" applyAlignment="0" applyProtection="0"/>
    <xf numFmtId="43" fontId="8" fillId="0" borderId="0" applyFont="0" applyFill="0" applyBorder="0" applyAlignment="0" applyProtection="0"/>
    <xf numFmtId="164" fontId="8" fillId="0" borderId="0"/>
  </cellStyleXfs>
  <cellXfs count="149">
    <xf numFmtId="0" fontId="0" fillId="0" borderId="0" xfId="0"/>
    <xf numFmtId="44" fontId="0" fillId="0" borderId="0" xfId="1" applyFont="1"/>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44" fontId="0" fillId="0" borderId="0" xfId="1" applyFont="1" applyAlignment="1">
      <alignment wrapText="1"/>
    </xf>
    <xf numFmtId="14" fontId="0" fillId="0" borderId="0" xfId="0" applyNumberFormat="1"/>
    <xf numFmtId="14" fontId="0" fillId="0" borderId="0" xfId="0" applyNumberFormat="1" applyAlignment="1">
      <alignment wrapText="1"/>
    </xf>
    <xf numFmtId="2" fontId="0" fillId="0" borderId="0" xfId="0" applyNumberFormat="1" applyAlignment="1">
      <alignment horizontal="center"/>
    </xf>
    <xf numFmtId="0" fontId="0" fillId="2" borderId="1" xfId="0" applyFill="1" applyBorder="1"/>
    <xf numFmtId="0" fontId="0" fillId="2" borderId="2" xfId="0" applyFill="1" applyBorder="1" applyAlignment="1">
      <alignment horizontal="center"/>
    </xf>
    <xf numFmtId="2" fontId="0" fillId="2" borderId="2" xfId="0" applyNumberFormat="1" applyFill="1" applyBorder="1" applyAlignment="1">
      <alignment horizontal="center"/>
    </xf>
    <xf numFmtId="44" fontId="0" fillId="2" borderId="2" xfId="1" applyFont="1" applyFill="1" applyBorder="1"/>
    <xf numFmtId="14" fontId="0" fillId="2" borderId="2" xfId="0" applyNumberFormat="1" applyFill="1" applyBorder="1"/>
    <xf numFmtId="0" fontId="0" fillId="2" borderId="2" xfId="0" applyFill="1" applyBorder="1"/>
    <xf numFmtId="0" fontId="7" fillId="2" borderId="2" xfId="0" applyFont="1" applyFill="1" applyBorder="1"/>
    <xf numFmtId="0" fontId="0" fillId="2" borderId="3" xfId="0" applyFill="1" applyBorder="1"/>
    <xf numFmtId="0" fontId="0" fillId="3" borderId="4" xfId="0" applyFill="1" applyBorder="1"/>
    <xf numFmtId="0" fontId="0" fillId="3" borderId="0" xfId="0" applyFill="1" applyAlignment="1">
      <alignment horizontal="center"/>
    </xf>
    <xf numFmtId="44" fontId="0" fillId="3" borderId="0" xfId="1" applyFont="1" applyFill="1" applyBorder="1"/>
    <xf numFmtId="14" fontId="0" fillId="3" borderId="0" xfId="0" applyNumberFormat="1" applyFill="1"/>
    <xf numFmtId="0" fontId="0" fillId="3" borderId="0" xfId="0" applyFill="1"/>
    <xf numFmtId="0" fontId="7" fillId="3" borderId="0" xfId="0" applyFont="1" applyFill="1"/>
    <xf numFmtId="0" fontId="0" fillId="3" borderId="5" xfId="0" applyFill="1" applyBorder="1"/>
    <xf numFmtId="0" fontId="0" fillId="2" borderId="4" xfId="0" applyFill="1" applyBorder="1"/>
    <xf numFmtId="0" fontId="0" fillId="2" borderId="0" xfId="0" applyFill="1" applyAlignment="1">
      <alignment horizontal="center"/>
    </xf>
    <xf numFmtId="2" fontId="0" fillId="2" borderId="0" xfId="0" applyNumberFormat="1" applyFill="1" applyAlignment="1">
      <alignment horizontal="center"/>
    </xf>
    <xf numFmtId="44" fontId="0" fillId="2" borderId="0" xfId="1" applyFont="1" applyFill="1" applyBorder="1"/>
    <xf numFmtId="14" fontId="0" fillId="2" borderId="0" xfId="0" applyNumberFormat="1" applyFill="1"/>
    <xf numFmtId="0" fontId="0" fillId="2" borderId="0" xfId="0" applyFill="1"/>
    <xf numFmtId="0" fontId="7" fillId="2" borderId="0" xfId="0" applyFont="1" applyFill="1"/>
    <xf numFmtId="0" fontId="0" fillId="2" borderId="5" xfId="0" applyFill="1" applyBorder="1"/>
    <xf numFmtId="0" fontId="0" fillId="2" borderId="6" xfId="0" applyFill="1" applyBorder="1"/>
    <xf numFmtId="0" fontId="0" fillId="2" borderId="7" xfId="0" applyFill="1" applyBorder="1" applyAlignment="1">
      <alignment horizontal="center"/>
    </xf>
    <xf numFmtId="2" fontId="0" fillId="2" borderId="7" xfId="0" applyNumberFormat="1" applyFill="1" applyBorder="1" applyAlignment="1">
      <alignment horizontal="center"/>
    </xf>
    <xf numFmtId="44" fontId="0" fillId="2" borderId="7" xfId="1" applyFont="1" applyFill="1" applyBorder="1"/>
    <xf numFmtId="14" fontId="0" fillId="2" borderId="7" xfId="0" applyNumberFormat="1" applyFill="1" applyBorder="1"/>
    <xf numFmtId="0" fontId="0" fillId="2" borderId="7" xfId="0" applyFill="1" applyBorder="1"/>
    <xf numFmtId="0" fontId="7" fillId="2" borderId="7" xfId="0" applyFont="1" applyFill="1" applyBorder="1"/>
    <xf numFmtId="0" fontId="0" fillId="2" borderId="8" xfId="0" applyFill="1" applyBorder="1"/>
    <xf numFmtId="0" fontId="0" fillId="2" borderId="9" xfId="0" applyFill="1" applyBorder="1"/>
    <xf numFmtId="0" fontId="0" fillId="2" borderId="10" xfId="0" applyFill="1" applyBorder="1" applyAlignment="1">
      <alignment horizontal="center"/>
    </xf>
    <xf numFmtId="44" fontId="0" fillId="2" borderId="10" xfId="1" applyFont="1" applyFill="1" applyBorder="1"/>
    <xf numFmtId="14" fontId="0" fillId="2" borderId="10" xfId="0" applyNumberFormat="1" applyFill="1" applyBorder="1"/>
    <xf numFmtId="0" fontId="0" fillId="2" borderId="10" xfId="0" applyFill="1" applyBorder="1"/>
    <xf numFmtId="0" fontId="7" fillId="2" borderId="10" xfId="0" applyFont="1" applyFill="1" applyBorder="1"/>
    <xf numFmtId="0" fontId="0" fillId="2" borderId="11" xfId="0" applyFill="1" applyBorder="1"/>
    <xf numFmtId="0" fontId="0" fillId="0" borderId="0" xfId="0" applyAlignment="1">
      <alignment horizontal="center" wrapText="1"/>
    </xf>
    <xf numFmtId="165" fontId="9" fillId="0" borderId="0" xfId="3" applyNumberFormat="1" applyFont="1"/>
    <xf numFmtId="0" fontId="10" fillId="0" borderId="0" xfId="0" applyFont="1" applyAlignment="1">
      <alignment horizontal="right"/>
    </xf>
    <xf numFmtId="37" fontId="9" fillId="0" borderId="0" xfId="3" applyNumberFormat="1" applyFont="1"/>
    <xf numFmtId="164" fontId="9" fillId="0" borderId="0" xfId="3" applyFont="1"/>
    <xf numFmtId="0" fontId="0" fillId="0" borderId="0" xfId="0" applyAlignment="1">
      <alignment horizontal="right"/>
    </xf>
    <xf numFmtId="166" fontId="9" fillId="0" borderId="0" xfId="3" applyNumberFormat="1" applyFont="1"/>
    <xf numFmtId="164" fontId="11" fillId="0" borderId="0" xfId="3" applyFont="1"/>
    <xf numFmtId="165" fontId="11" fillId="0" borderId="0" xfId="3" applyNumberFormat="1" applyFont="1"/>
    <xf numFmtId="37" fontId="11" fillId="0" borderId="0" xfId="3" applyNumberFormat="1" applyFont="1"/>
    <xf numFmtId="164" fontId="9" fillId="0" borderId="0" xfId="3" applyFont="1" applyAlignment="1">
      <alignment horizontal="center"/>
    </xf>
    <xf numFmtId="165" fontId="9" fillId="0" borderId="0" xfId="3" applyNumberFormat="1" applyFont="1" applyAlignment="1">
      <alignment horizontal="center"/>
    </xf>
    <xf numFmtId="37" fontId="9" fillId="0" borderId="0" xfId="3" applyNumberFormat="1" applyFont="1" applyAlignment="1">
      <alignment horizontal="center"/>
    </xf>
    <xf numFmtId="165" fontId="9" fillId="0" borderId="12" xfId="3" applyNumberFormat="1" applyFont="1" applyBorder="1" applyAlignment="1">
      <alignment horizontal="center"/>
    </xf>
    <xf numFmtId="165" fontId="11" fillId="0" borderId="12" xfId="3" applyNumberFormat="1" applyFont="1" applyBorder="1"/>
    <xf numFmtId="37" fontId="11" fillId="0" borderId="0" xfId="3" applyNumberFormat="1" applyFont="1" applyAlignment="1">
      <alignment horizontal="center"/>
    </xf>
    <xf numFmtId="0" fontId="9" fillId="0" borderId="0" xfId="3" applyNumberFormat="1" applyFont="1" applyAlignment="1">
      <alignment horizontal="center"/>
    </xf>
    <xf numFmtId="165" fontId="12" fillId="0" borderId="0" xfId="4" applyNumberFormat="1" applyFont="1"/>
    <xf numFmtId="165" fontId="12" fillId="0" borderId="12" xfId="4" applyNumberFormat="1" applyFont="1" applyBorder="1"/>
    <xf numFmtId="165" fontId="12" fillId="0" borderId="12" xfId="4" applyNumberFormat="1" applyFont="1" applyBorder="1" applyAlignment="1">
      <alignment horizontal="center"/>
    </xf>
    <xf numFmtId="165" fontId="12" fillId="0" borderId="0" xfId="4" applyNumberFormat="1" applyFont="1" applyAlignment="1">
      <alignment horizontal="center"/>
    </xf>
    <xf numFmtId="168" fontId="11" fillId="0" borderId="0" xfId="3" applyNumberFormat="1" applyFont="1"/>
    <xf numFmtId="165" fontId="11" fillId="0" borderId="0" xfId="3" applyNumberFormat="1" applyFont="1" applyAlignment="1">
      <alignment horizontal="fill"/>
    </xf>
    <xf numFmtId="165" fontId="11" fillId="0" borderId="0" xfId="3" applyNumberFormat="1" applyFont="1" applyAlignment="1">
      <alignment horizontal="right"/>
    </xf>
    <xf numFmtId="169" fontId="11" fillId="0" borderId="12" xfId="2" applyNumberFormat="1" applyFont="1" applyBorder="1" applyAlignment="1">
      <alignment horizontal="fill"/>
    </xf>
    <xf numFmtId="169" fontId="11" fillId="0" borderId="0" xfId="2" applyNumberFormat="1" applyFont="1" applyFill="1" applyBorder="1"/>
    <xf numFmtId="42" fontId="11" fillId="0" borderId="13" xfId="3" applyNumberFormat="1" applyFont="1" applyBorder="1"/>
    <xf numFmtId="42" fontId="11" fillId="0" borderId="0" xfId="3" applyNumberFormat="1" applyFont="1"/>
    <xf numFmtId="0" fontId="9" fillId="0" borderId="0" xfId="3" applyNumberFormat="1" applyFont="1" applyAlignment="1">
      <alignment horizontal="right"/>
    </xf>
    <xf numFmtId="169" fontId="11" fillId="0" borderId="0" xfId="2" applyNumberFormat="1" applyFont="1" applyAlignment="1">
      <alignment horizontal="center"/>
    </xf>
    <xf numFmtId="169" fontId="11" fillId="0" borderId="0" xfId="2" applyNumberFormat="1" applyFont="1"/>
    <xf numFmtId="170" fontId="11" fillId="0" borderId="0" xfId="1" applyNumberFormat="1" applyFont="1"/>
    <xf numFmtId="170" fontId="11" fillId="0" borderId="0" xfId="1" quotePrefix="1" applyNumberFormat="1" applyFont="1"/>
    <xf numFmtId="170" fontId="11" fillId="0" borderId="0" xfId="1" applyNumberFormat="1" applyFont="1" applyAlignment="1">
      <alignment horizontal="center"/>
    </xf>
    <xf numFmtId="164" fontId="9" fillId="0" borderId="0" xfId="7" applyFont="1"/>
    <xf numFmtId="164" fontId="11" fillId="0" borderId="0" xfId="7" applyFont="1"/>
    <xf numFmtId="0" fontId="14" fillId="0" borderId="0" xfId="0" applyFont="1" applyAlignment="1">
      <alignment vertical="center"/>
    </xf>
    <xf numFmtId="0" fontId="15" fillId="0" borderId="0" xfId="0" applyFont="1" applyAlignment="1">
      <alignment vertical="center"/>
    </xf>
    <xf numFmtId="1" fontId="0" fillId="2" borderId="10" xfId="0" applyNumberFormat="1" applyFill="1" applyBorder="1" applyAlignment="1">
      <alignment horizontal="center"/>
    </xf>
    <xf numFmtId="1" fontId="0" fillId="3" borderId="0" xfId="0" applyNumberFormat="1" applyFill="1" applyAlignment="1">
      <alignment horizontal="center"/>
    </xf>
    <xf numFmtId="49" fontId="0" fillId="2" borderId="2" xfId="0" applyNumberFormat="1" applyFill="1" applyBorder="1" applyAlignment="1">
      <alignment horizontal="center"/>
    </xf>
    <xf numFmtId="49" fontId="0" fillId="2" borderId="0" xfId="0" applyNumberFormat="1" applyFill="1" applyAlignment="1">
      <alignment horizontal="center"/>
    </xf>
    <xf numFmtId="14" fontId="0" fillId="2" borderId="0" xfId="0" applyNumberFormat="1" applyFill="1" applyAlignment="1">
      <alignment horizontal="right"/>
    </xf>
    <xf numFmtId="44" fontId="0" fillId="0" borderId="0" xfId="0" applyNumberFormat="1"/>
    <xf numFmtId="0" fontId="2" fillId="4" borderId="1" xfId="0" applyFont="1" applyFill="1" applyBorder="1" applyAlignment="1">
      <alignment horizontal="center"/>
    </xf>
    <xf numFmtId="0" fontId="2" fillId="4" borderId="2" xfId="0" applyFont="1" applyFill="1" applyBorder="1" applyAlignment="1">
      <alignment horizontal="center"/>
    </xf>
    <xf numFmtId="2" fontId="2" fillId="4" borderId="2" xfId="0" applyNumberFormat="1" applyFont="1" applyFill="1" applyBorder="1" applyAlignment="1">
      <alignment horizontal="center"/>
    </xf>
    <xf numFmtId="44" fontId="2" fillId="4" borderId="2" xfId="1" applyFont="1" applyFill="1" applyBorder="1" applyAlignment="1">
      <alignment horizontal="center"/>
    </xf>
    <xf numFmtId="14" fontId="2" fillId="4" borderId="2" xfId="0" applyNumberFormat="1" applyFont="1" applyFill="1" applyBorder="1" applyAlignment="1">
      <alignment horizontal="center"/>
    </xf>
    <xf numFmtId="0" fontId="2" fillId="4" borderId="3" xfId="0" applyFont="1" applyFill="1" applyBorder="1" applyAlignment="1">
      <alignment horizontal="center"/>
    </xf>
    <xf numFmtId="0" fontId="0" fillId="3" borderId="1" xfId="0" applyFill="1" applyBorder="1"/>
    <xf numFmtId="0" fontId="0" fillId="3" borderId="2" xfId="0" applyFill="1" applyBorder="1" applyAlignment="1">
      <alignment horizontal="center"/>
    </xf>
    <xf numFmtId="49" fontId="0" fillId="3" borderId="2" xfId="0" applyNumberFormat="1" applyFill="1" applyBorder="1" applyAlignment="1">
      <alignment horizontal="center"/>
    </xf>
    <xf numFmtId="44" fontId="0" fillId="3" borderId="2" xfId="1" applyFont="1" applyFill="1" applyBorder="1"/>
    <xf numFmtId="14" fontId="0" fillId="3" borderId="2" xfId="0" applyNumberFormat="1" applyFill="1" applyBorder="1"/>
    <xf numFmtId="0" fontId="0" fillId="3" borderId="2" xfId="0" applyFill="1" applyBorder="1"/>
    <xf numFmtId="0" fontId="0" fillId="3" borderId="3" xfId="0" applyFill="1" applyBorder="1"/>
    <xf numFmtId="1" fontId="0" fillId="2" borderId="0" xfId="0" applyNumberFormat="1" applyFill="1" applyAlignment="1">
      <alignment horizontal="center"/>
    </xf>
    <xf numFmtId="0" fontId="0" fillId="6" borderId="1" xfId="0" applyFill="1" applyBorder="1"/>
    <xf numFmtId="0" fontId="0" fillId="6" borderId="2" xfId="0" applyFill="1" applyBorder="1" applyAlignment="1">
      <alignment horizontal="center"/>
    </xf>
    <xf numFmtId="1" fontId="0" fillId="6" borderId="2" xfId="0" applyNumberFormat="1" applyFill="1" applyBorder="1" applyAlignment="1">
      <alignment horizontal="center"/>
    </xf>
    <xf numFmtId="44" fontId="0" fillId="6" borderId="2" xfId="1" applyFont="1" applyFill="1" applyBorder="1"/>
    <xf numFmtId="14" fontId="0" fillId="6" borderId="2" xfId="0" applyNumberFormat="1" applyFill="1" applyBorder="1"/>
    <xf numFmtId="0" fontId="0" fillId="6" borderId="2" xfId="0" applyFill="1" applyBorder="1"/>
    <xf numFmtId="0" fontId="7" fillId="6" borderId="2" xfId="0" applyFont="1" applyFill="1" applyBorder="1"/>
    <xf numFmtId="0" fontId="0" fillId="6" borderId="3" xfId="0" applyFill="1" applyBorder="1"/>
    <xf numFmtId="0" fontId="0" fillId="6" borderId="4" xfId="0" applyFill="1" applyBorder="1"/>
    <xf numFmtId="0" fontId="0" fillId="6" borderId="0" xfId="0" applyFill="1" applyAlignment="1">
      <alignment horizontal="center"/>
    </xf>
    <xf numFmtId="1" fontId="0" fillId="6" borderId="0" xfId="0" applyNumberFormat="1" applyFill="1" applyAlignment="1">
      <alignment horizontal="center"/>
    </xf>
    <xf numFmtId="44" fontId="0" fillId="6" borderId="0" xfId="1" applyFont="1" applyFill="1" applyBorder="1"/>
    <xf numFmtId="14" fontId="0" fillId="6" borderId="0" xfId="0" applyNumberFormat="1" applyFill="1"/>
    <xf numFmtId="0" fontId="0" fillId="6" borderId="0" xfId="0" applyFill="1"/>
    <xf numFmtId="0" fontId="7" fillId="6" borderId="0" xfId="0" applyFont="1" applyFill="1"/>
    <xf numFmtId="0" fontId="0" fillId="6" borderId="5" xfId="0" applyFill="1" applyBorder="1"/>
    <xf numFmtId="0" fontId="0" fillId="6" borderId="6" xfId="0" applyFill="1" applyBorder="1"/>
    <xf numFmtId="0" fontId="0" fillId="6" borderId="7" xfId="0" applyFill="1" applyBorder="1" applyAlignment="1">
      <alignment horizontal="center"/>
    </xf>
    <xf numFmtId="1" fontId="0" fillId="6" borderId="7" xfId="0" applyNumberFormat="1" applyFill="1" applyBorder="1" applyAlignment="1">
      <alignment horizontal="center"/>
    </xf>
    <xf numFmtId="44" fontId="0" fillId="6" borderId="7" xfId="1" applyFont="1" applyFill="1" applyBorder="1"/>
    <xf numFmtId="14" fontId="0" fillId="6" borderId="7" xfId="0" applyNumberFormat="1" applyFill="1" applyBorder="1"/>
    <xf numFmtId="0" fontId="0" fillId="6" borderId="7" xfId="0" applyFill="1" applyBorder="1"/>
    <xf numFmtId="0" fontId="7" fillId="6" borderId="7" xfId="0" applyFont="1" applyFill="1" applyBorder="1"/>
    <xf numFmtId="0" fontId="0" fillId="6" borderId="8" xfId="0" applyFill="1" applyBorder="1"/>
    <xf numFmtId="1" fontId="0" fillId="2" borderId="2" xfId="0" applyNumberFormat="1" applyFill="1" applyBorder="1" applyAlignment="1">
      <alignment horizontal="center"/>
    </xf>
    <xf numFmtId="1" fontId="0" fillId="2" borderId="7" xfId="0" applyNumberFormat="1" applyFill="1" applyBorder="1" applyAlignment="1">
      <alignment horizontal="center"/>
    </xf>
    <xf numFmtId="44" fontId="0" fillId="0" borderId="0" xfId="1" applyFont="1" applyFill="1" applyBorder="1"/>
    <xf numFmtId="44" fontId="0" fillId="0" borderId="12" xfId="1" applyFont="1" applyFill="1" applyBorder="1"/>
    <xf numFmtId="0" fontId="6" fillId="0" borderId="0" xfId="0" applyFont="1" applyAlignment="1">
      <alignment horizontal="center" vertical="center" wrapText="1"/>
    </xf>
    <xf numFmtId="0" fontId="4" fillId="0" borderId="0" xfId="0" applyFont="1" applyAlignment="1">
      <alignment horizontal="center" vertical="center" wrapText="1"/>
    </xf>
    <xf numFmtId="166" fontId="9" fillId="0" borderId="0" xfId="3" applyNumberFormat="1" applyFont="1" applyAlignment="1">
      <alignment horizontal="left"/>
    </xf>
    <xf numFmtId="167" fontId="9" fillId="0" borderId="0" xfId="3" applyNumberFormat="1" applyFont="1" applyAlignment="1">
      <alignment horizontal="left"/>
    </xf>
    <xf numFmtId="2" fontId="0" fillId="3" borderId="2" xfId="0" applyNumberFormat="1" applyFill="1" applyBorder="1" applyAlignment="1">
      <alignment horizontal="center"/>
    </xf>
    <xf numFmtId="0" fontId="7" fillId="3" borderId="2" xfId="0" applyFont="1" applyFill="1" applyBorder="1"/>
    <xf numFmtId="2" fontId="0" fillId="3" borderId="0" xfId="0" applyNumberFormat="1" applyFill="1" applyAlignment="1">
      <alignment horizontal="center"/>
    </xf>
    <xf numFmtId="1" fontId="0" fillId="3" borderId="2" xfId="0" applyNumberFormat="1" applyFill="1" applyBorder="1" applyAlignment="1">
      <alignment horizontal="center"/>
    </xf>
    <xf numFmtId="0" fontId="0" fillId="3" borderId="6" xfId="0" applyFill="1" applyBorder="1"/>
    <xf numFmtId="0" fontId="0" fillId="3" borderId="7" xfId="0" applyFill="1" applyBorder="1" applyAlignment="1">
      <alignment horizontal="center"/>
    </xf>
    <xf numFmtId="1" fontId="0" fillId="3" borderId="7" xfId="0" applyNumberFormat="1" applyFill="1" applyBorder="1" applyAlignment="1">
      <alignment horizontal="center"/>
    </xf>
    <xf numFmtId="44" fontId="0" fillId="3" borderId="7" xfId="1" applyFont="1" applyFill="1" applyBorder="1"/>
    <xf numFmtId="14" fontId="0" fillId="3" borderId="7" xfId="0" applyNumberFormat="1" applyFill="1" applyBorder="1"/>
    <xf numFmtId="0" fontId="0" fillId="3" borderId="7" xfId="0" applyFill="1" applyBorder="1"/>
    <xf numFmtId="0" fontId="7" fillId="3" borderId="7" xfId="0" applyFont="1" applyFill="1" applyBorder="1"/>
    <xf numFmtId="0" fontId="0" fillId="3" borderId="8" xfId="0" applyFill="1" applyBorder="1"/>
  </cellXfs>
  <cellStyles count="8">
    <cellStyle name="Comma" xfId="2" builtinId="3"/>
    <cellStyle name="Comma 2" xfId="6" xr:uid="{1995BEAB-ECC5-4AB4-A75C-D20321A1993E}"/>
    <cellStyle name="Currency" xfId="1" builtinId="4"/>
    <cellStyle name="Input 2" xfId="5" xr:uid="{5A4F9F13-5A0D-43A3-9394-DF6D20F6A366}"/>
    <cellStyle name="Normal" xfId="0" builtinId="0"/>
    <cellStyle name="Normal 10" xfId="3" xr:uid="{E55BC944-0E47-496F-89DC-30FDF4B388DA}"/>
    <cellStyle name="Normal 10 2" xfId="7" xr:uid="{6B45DB32-BD6D-4204-9161-87B0C6C20A87}"/>
    <cellStyle name="Normal 10 7" xfId="4" xr:uid="{A92E7234-8AD6-42B9-B38D-76D5A60B8C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es.Kilbane\AppData\Local\Microsoft\Windows\INetCache\Content.Outlook\CBA9MSYN\PSC%20DR%201-12%20-%20Rate%20Case%20Expenses%209_16_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s>
    <sheetDataSet>
      <sheetData sheetId="0"/>
      <sheetData sheetId="1">
        <row r="2">
          <cell r="I2">
            <v>962.5</v>
          </cell>
        </row>
        <row r="3">
          <cell r="I3">
            <v>1237.5</v>
          </cell>
        </row>
        <row r="4">
          <cell r="I4">
            <v>1182.5</v>
          </cell>
        </row>
        <row r="5">
          <cell r="I5">
            <v>7810</v>
          </cell>
        </row>
        <row r="6">
          <cell r="I6">
            <v>55</v>
          </cell>
        </row>
        <row r="7">
          <cell r="I7">
            <v>459.99999999999994</v>
          </cell>
        </row>
        <row r="8">
          <cell r="I8">
            <v>722</v>
          </cell>
        </row>
        <row r="9">
          <cell r="I9">
            <v>43.4</v>
          </cell>
        </row>
        <row r="10">
          <cell r="I10">
            <v>2964.5</v>
          </cell>
        </row>
        <row r="11">
          <cell r="I11">
            <v>4100</v>
          </cell>
        </row>
        <row r="12">
          <cell r="I12">
            <v>1237.5</v>
          </cell>
        </row>
        <row r="13">
          <cell r="I13">
            <v>24727.9977</v>
          </cell>
        </row>
        <row r="14">
          <cell r="I14">
            <v>37000</v>
          </cell>
        </row>
        <row r="15">
          <cell r="I15">
            <v>5400</v>
          </cell>
        </row>
        <row r="16">
          <cell r="I16">
            <v>22500</v>
          </cell>
        </row>
        <row r="17">
          <cell r="I17">
            <v>1080</v>
          </cell>
        </row>
        <row r="18">
          <cell r="I18">
            <v>4015</v>
          </cell>
        </row>
        <row r="19">
          <cell r="I19">
            <v>2340</v>
          </cell>
        </row>
        <row r="20">
          <cell r="I20">
            <v>1206.5</v>
          </cell>
        </row>
        <row r="21">
          <cell r="I21">
            <v>27.84</v>
          </cell>
        </row>
        <row r="22">
          <cell r="I22">
            <v>6847.5</v>
          </cell>
        </row>
        <row r="23">
          <cell r="I23">
            <v>4140</v>
          </cell>
        </row>
        <row r="24">
          <cell r="I24">
            <v>1064</v>
          </cell>
        </row>
        <row r="25">
          <cell r="I25">
            <v>25.93</v>
          </cell>
        </row>
        <row r="26">
          <cell r="I26">
            <v>3311</v>
          </cell>
        </row>
        <row r="27">
          <cell r="I27">
            <v>2100</v>
          </cell>
        </row>
        <row r="28">
          <cell r="I28">
            <v>16208.5</v>
          </cell>
        </row>
        <row r="29">
          <cell r="I29">
            <v>6750</v>
          </cell>
        </row>
        <row r="30">
          <cell r="I30">
            <v>330</v>
          </cell>
        </row>
        <row r="31">
          <cell r="I31">
            <v>812.5</v>
          </cell>
        </row>
        <row r="32">
          <cell r="I32">
            <v>3450</v>
          </cell>
        </row>
        <row r="33">
          <cell r="I33">
            <v>2700</v>
          </cell>
        </row>
        <row r="34">
          <cell r="I34">
            <v>325</v>
          </cell>
        </row>
      </sheetData>
      <sheetData sheetId="2">
        <row r="14">
          <cell r="L14">
            <v>0</v>
          </cell>
        </row>
        <row r="15">
          <cell r="L15">
            <v>0</v>
          </cell>
        </row>
        <row r="17">
          <cell r="L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2D88-171A-4CA9-9D8E-510D154DCCB3}">
  <dimension ref="A1:C10"/>
  <sheetViews>
    <sheetView tabSelected="1" zoomScaleNormal="100" workbookViewId="0">
      <selection sqref="A1:XFD1048576"/>
    </sheetView>
  </sheetViews>
  <sheetFormatPr defaultRowHeight="14.5" x14ac:dyDescent="0.35"/>
  <cols>
    <col min="2" max="2" width="36.453125" bestFit="1" customWidth="1"/>
    <col min="3" max="3" width="14.7265625" customWidth="1"/>
  </cols>
  <sheetData>
    <row r="1" spans="1:3" x14ac:dyDescent="0.35">
      <c r="A1" t="s">
        <v>0</v>
      </c>
    </row>
    <row r="3" spans="1:3" x14ac:dyDescent="0.35">
      <c r="B3" t="s">
        <v>102</v>
      </c>
    </row>
    <row r="4" spans="1:3" x14ac:dyDescent="0.35">
      <c r="B4" t="s">
        <v>1</v>
      </c>
      <c r="C4" s="1"/>
    </row>
    <row r="5" spans="1:3" x14ac:dyDescent="0.35">
      <c r="B5" t="s">
        <v>2</v>
      </c>
      <c r="C5" s="1"/>
    </row>
    <row r="6" spans="1:3" x14ac:dyDescent="0.35">
      <c r="B6" t="s">
        <v>3</v>
      </c>
      <c r="C6" s="1">
        <f>SUM([1]b!I2:I12)+SUM([1]b!I18:I25)+SUM([1]b!I26:I30)</f>
        <v>69141.17</v>
      </c>
    </row>
    <row r="7" spans="1:3" x14ac:dyDescent="0.35">
      <c r="B7" t="s">
        <v>4</v>
      </c>
      <c r="C7" s="1">
        <f>[1]b!I13+[1]b!I14+[1]b!I15+[1]b!I16+[1]b!I17+SUM([1]b!I31:I34)</f>
        <v>97995.497700000007</v>
      </c>
    </row>
    <row r="8" spans="1:3" x14ac:dyDescent="0.35">
      <c r="B8" t="s">
        <v>5</v>
      </c>
      <c r="C8" s="1">
        <f>[1]c!L14+[1]c!L15+[1]c!L17</f>
        <v>0</v>
      </c>
    </row>
    <row r="9" spans="1:3" x14ac:dyDescent="0.35">
      <c r="B9" t="s">
        <v>6</v>
      </c>
      <c r="C9" s="1">
        <f>SUM(C4:C8)</f>
        <v>167136.66769999999</v>
      </c>
    </row>
    <row r="10" spans="1:3" x14ac:dyDescent="0.35">
      <c r="C10" s="9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835F-D721-4846-9D59-89A922DFAF26}">
  <dimension ref="A1:CB45"/>
  <sheetViews>
    <sheetView zoomScaleNormal="100" workbookViewId="0">
      <selection sqref="A1:XFD1048576"/>
    </sheetView>
  </sheetViews>
  <sheetFormatPr defaultRowHeight="14.5" x14ac:dyDescent="0.35"/>
  <cols>
    <col min="1" max="1" width="30.26953125" bestFit="1" customWidth="1"/>
    <col min="2" max="2" width="18.54296875" style="3" bestFit="1" customWidth="1"/>
    <col min="3" max="3" width="12.81640625" style="8" bestFit="1" customWidth="1"/>
    <col min="4" max="4" width="13.54296875" style="1" bestFit="1" customWidth="1"/>
    <col min="5" max="5" width="12.1796875" style="6" customWidth="1"/>
    <col min="6" max="6" width="13" style="3" customWidth="1"/>
    <col min="7" max="7" width="16.1796875" customWidth="1"/>
    <col min="8" max="8" width="14.453125" style="1" customWidth="1"/>
    <col min="9" max="9" width="13.453125" style="1" bestFit="1" customWidth="1"/>
    <col min="10" max="10" width="22.7265625" bestFit="1" customWidth="1"/>
    <col min="11" max="11" width="33.54296875" bestFit="1" customWidth="1"/>
    <col min="12" max="12" width="19.7265625" bestFit="1" customWidth="1"/>
    <col min="13" max="13" width="17.81640625" customWidth="1"/>
    <col min="14" max="17" width="12.26953125" bestFit="1" customWidth="1"/>
    <col min="19" max="19" width="12.54296875" bestFit="1" customWidth="1"/>
  </cols>
  <sheetData>
    <row r="1" spans="1:17" s="2" customFormat="1" ht="15" thickBot="1" x14ac:dyDescent="0.4">
      <c r="A1" s="91" t="s">
        <v>7</v>
      </c>
      <c r="B1" s="92" t="s">
        <v>8</v>
      </c>
      <c r="C1" s="93" t="s">
        <v>9</v>
      </c>
      <c r="D1" s="94" t="s">
        <v>10</v>
      </c>
      <c r="E1" s="95" t="s">
        <v>11</v>
      </c>
      <c r="F1" s="92" t="s">
        <v>12</v>
      </c>
      <c r="G1" s="92" t="s">
        <v>13</v>
      </c>
      <c r="H1" s="94" t="s">
        <v>14</v>
      </c>
      <c r="I1" s="94" t="s">
        <v>10</v>
      </c>
      <c r="J1" s="92" t="s">
        <v>15</v>
      </c>
      <c r="K1" s="92" t="s">
        <v>16</v>
      </c>
      <c r="L1" s="96" t="s">
        <v>17</v>
      </c>
      <c r="M1" s="2" t="s">
        <v>103</v>
      </c>
      <c r="N1" s="2" t="s">
        <v>104</v>
      </c>
      <c r="O1" s="2" t="s">
        <v>105</v>
      </c>
      <c r="P1" s="2" t="s">
        <v>106</v>
      </c>
      <c r="Q1" s="2" t="s">
        <v>107</v>
      </c>
    </row>
    <row r="2" spans="1:17" ht="15" thickBot="1" x14ac:dyDescent="0.4">
      <c r="A2" s="40" t="s">
        <v>18</v>
      </c>
      <c r="B2" s="41" t="s">
        <v>19</v>
      </c>
      <c r="C2" s="85">
        <v>156711</v>
      </c>
      <c r="D2" s="42">
        <v>962.5</v>
      </c>
      <c r="E2" s="43">
        <v>44692</v>
      </c>
      <c r="F2" s="41">
        <v>1195786</v>
      </c>
      <c r="G2" s="44">
        <v>3.5</v>
      </c>
      <c r="H2" s="42">
        <v>275</v>
      </c>
      <c r="I2" s="42">
        <f t="shared" ref="I2:I8" si="0">+G2*H2</f>
        <v>962.5</v>
      </c>
      <c r="J2" s="44" t="s">
        <v>20</v>
      </c>
      <c r="K2" s="45" t="s">
        <v>21</v>
      </c>
      <c r="L2" s="46" t="s">
        <v>22</v>
      </c>
    </row>
    <row r="3" spans="1:17" ht="15" thickBot="1" x14ac:dyDescent="0.4">
      <c r="A3" s="17" t="s">
        <v>18</v>
      </c>
      <c r="B3" s="18" t="s">
        <v>19</v>
      </c>
      <c r="C3" s="86">
        <v>157454</v>
      </c>
      <c r="D3" s="19">
        <v>1237.5</v>
      </c>
      <c r="E3" s="20">
        <v>44692</v>
      </c>
      <c r="F3" s="18">
        <v>1195786</v>
      </c>
      <c r="G3" s="21">
        <v>4.5</v>
      </c>
      <c r="H3" s="19">
        <v>275</v>
      </c>
      <c r="I3" s="19">
        <f t="shared" si="0"/>
        <v>1237.5</v>
      </c>
      <c r="J3" s="21" t="s">
        <v>20</v>
      </c>
      <c r="K3" s="22" t="s">
        <v>21</v>
      </c>
      <c r="L3" s="23" t="s">
        <v>22</v>
      </c>
    </row>
    <row r="4" spans="1:17" ht="15" thickBot="1" x14ac:dyDescent="0.4">
      <c r="A4" s="40" t="s">
        <v>18</v>
      </c>
      <c r="B4" s="41" t="s">
        <v>19</v>
      </c>
      <c r="C4" s="85">
        <v>157877</v>
      </c>
      <c r="D4" s="42">
        <v>1182.5</v>
      </c>
      <c r="E4" s="43">
        <v>44706</v>
      </c>
      <c r="F4" s="41">
        <v>1196243</v>
      </c>
      <c r="G4" s="44">
        <v>4.3</v>
      </c>
      <c r="H4" s="42">
        <v>275</v>
      </c>
      <c r="I4" s="42">
        <f t="shared" si="0"/>
        <v>1182.5</v>
      </c>
      <c r="J4" s="44" t="s">
        <v>20</v>
      </c>
      <c r="K4" s="45" t="s">
        <v>21</v>
      </c>
      <c r="L4" s="46" t="s">
        <v>22</v>
      </c>
    </row>
    <row r="5" spans="1:17" x14ac:dyDescent="0.35">
      <c r="A5" s="17" t="s">
        <v>18</v>
      </c>
      <c r="B5" s="18" t="s">
        <v>19</v>
      </c>
      <c r="C5" s="86">
        <v>158689</v>
      </c>
      <c r="D5" s="19">
        <v>9090.4</v>
      </c>
      <c r="E5" s="20">
        <v>44741</v>
      </c>
      <c r="F5" s="18">
        <v>1197672</v>
      </c>
      <c r="G5" s="21">
        <v>28.4</v>
      </c>
      <c r="H5" s="19">
        <v>275</v>
      </c>
      <c r="I5" s="19">
        <f t="shared" si="0"/>
        <v>7810</v>
      </c>
      <c r="J5" s="21" t="s">
        <v>20</v>
      </c>
      <c r="K5" s="22" t="s">
        <v>21</v>
      </c>
      <c r="L5" s="23" t="s">
        <v>22</v>
      </c>
    </row>
    <row r="6" spans="1:17" x14ac:dyDescent="0.35">
      <c r="A6" s="17" t="s">
        <v>18</v>
      </c>
      <c r="B6" s="18" t="s">
        <v>19</v>
      </c>
      <c r="C6" s="86">
        <v>158689</v>
      </c>
      <c r="D6" s="19">
        <v>9090.4</v>
      </c>
      <c r="E6" s="20">
        <v>44731</v>
      </c>
      <c r="F6" s="18">
        <v>1197672</v>
      </c>
      <c r="G6" s="21">
        <v>0.2</v>
      </c>
      <c r="H6" s="19">
        <v>275</v>
      </c>
      <c r="I6" s="19">
        <f t="shared" si="0"/>
        <v>55</v>
      </c>
      <c r="J6" s="21" t="s">
        <v>20</v>
      </c>
      <c r="K6" s="22" t="s">
        <v>21</v>
      </c>
      <c r="L6" s="23" t="s">
        <v>22</v>
      </c>
    </row>
    <row r="7" spans="1:17" x14ac:dyDescent="0.35">
      <c r="A7" s="17" t="s">
        <v>18</v>
      </c>
      <c r="B7" s="18" t="s">
        <v>19</v>
      </c>
      <c r="C7" s="86">
        <v>158689</v>
      </c>
      <c r="D7" s="19">
        <v>9090.4</v>
      </c>
      <c r="E7" s="20">
        <v>44731</v>
      </c>
      <c r="F7" s="18">
        <v>1197672</v>
      </c>
      <c r="G7" s="21">
        <v>2.2999999999999998</v>
      </c>
      <c r="H7" s="19">
        <v>200</v>
      </c>
      <c r="I7" s="19">
        <f t="shared" si="0"/>
        <v>459.99999999999994</v>
      </c>
      <c r="J7" s="21" t="s">
        <v>20</v>
      </c>
      <c r="K7" s="22" t="s">
        <v>21</v>
      </c>
      <c r="L7" s="23" t="s">
        <v>22</v>
      </c>
    </row>
    <row r="8" spans="1:17" x14ac:dyDescent="0.35">
      <c r="A8" s="17" t="s">
        <v>18</v>
      </c>
      <c r="B8" s="18" t="s">
        <v>19</v>
      </c>
      <c r="C8" s="86">
        <v>158689</v>
      </c>
      <c r="D8" s="19">
        <v>9090.4</v>
      </c>
      <c r="E8" s="20">
        <v>44731</v>
      </c>
      <c r="F8" s="18">
        <v>1197672</v>
      </c>
      <c r="G8" s="21">
        <v>7.6</v>
      </c>
      <c r="H8" s="19">
        <v>95</v>
      </c>
      <c r="I8" s="19">
        <f t="shared" si="0"/>
        <v>722</v>
      </c>
      <c r="J8" s="21" t="s">
        <v>20</v>
      </c>
      <c r="K8" s="22" t="s">
        <v>21</v>
      </c>
      <c r="L8" s="23" t="s">
        <v>22</v>
      </c>
    </row>
    <row r="9" spans="1:17" ht="15" thickBot="1" x14ac:dyDescent="0.4">
      <c r="A9" s="17" t="s">
        <v>18</v>
      </c>
      <c r="B9" s="18" t="s">
        <v>19</v>
      </c>
      <c r="C9" s="86">
        <v>158689</v>
      </c>
      <c r="D9" s="19">
        <v>9090.4</v>
      </c>
      <c r="E9" s="20">
        <v>44731</v>
      </c>
      <c r="F9" s="18">
        <v>1197672</v>
      </c>
      <c r="G9" s="21"/>
      <c r="H9" s="19"/>
      <c r="I9" s="19">
        <v>43.4</v>
      </c>
      <c r="J9" s="21" t="s">
        <v>92</v>
      </c>
      <c r="K9" s="22" t="s">
        <v>21</v>
      </c>
      <c r="L9" s="23" t="s">
        <v>22</v>
      </c>
      <c r="M9" s="90"/>
      <c r="N9" s="90">
        <f>SUM(I2:I9)</f>
        <v>12472.9</v>
      </c>
    </row>
    <row r="10" spans="1:17" x14ac:dyDescent="0.35">
      <c r="A10" s="9" t="s">
        <v>23</v>
      </c>
      <c r="B10" s="10" t="s">
        <v>24</v>
      </c>
      <c r="C10" s="11" t="s">
        <v>25</v>
      </c>
      <c r="D10" s="12">
        <v>8302</v>
      </c>
      <c r="E10" s="13">
        <v>44734</v>
      </c>
      <c r="F10" s="10">
        <v>1197450</v>
      </c>
      <c r="G10" s="14">
        <v>7.7</v>
      </c>
      <c r="H10" s="12">
        <v>385</v>
      </c>
      <c r="I10" s="12">
        <f t="shared" ref="I10:I12" si="1">+G10*H10</f>
        <v>2964.5</v>
      </c>
      <c r="J10" s="14" t="s">
        <v>20</v>
      </c>
      <c r="K10" s="15" t="s">
        <v>21</v>
      </c>
      <c r="L10" s="16" t="s">
        <v>22</v>
      </c>
    </row>
    <row r="11" spans="1:17" x14ac:dyDescent="0.35">
      <c r="A11" s="24" t="s">
        <v>23</v>
      </c>
      <c r="B11" s="25" t="s">
        <v>24</v>
      </c>
      <c r="C11" s="26" t="s">
        <v>25</v>
      </c>
      <c r="D11" s="27">
        <v>8302</v>
      </c>
      <c r="E11" s="28">
        <v>44734</v>
      </c>
      <c r="F11" s="25">
        <v>1197450</v>
      </c>
      <c r="G11" s="29">
        <v>8.1999999999999993</v>
      </c>
      <c r="H11" s="27">
        <v>500</v>
      </c>
      <c r="I11" s="27">
        <f t="shared" si="1"/>
        <v>4100</v>
      </c>
      <c r="J11" s="29" t="s">
        <v>20</v>
      </c>
      <c r="K11" s="30" t="s">
        <v>21</v>
      </c>
      <c r="L11" s="31" t="s">
        <v>22</v>
      </c>
    </row>
    <row r="12" spans="1:17" ht="15" thickBot="1" x14ac:dyDescent="0.4">
      <c r="A12" s="32" t="s">
        <v>23</v>
      </c>
      <c r="B12" s="33" t="s">
        <v>24</v>
      </c>
      <c r="C12" s="34" t="s">
        <v>25</v>
      </c>
      <c r="D12" s="35">
        <v>8302</v>
      </c>
      <c r="E12" s="36">
        <v>44734</v>
      </c>
      <c r="F12" s="33">
        <v>1197450</v>
      </c>
      <c r="G12" s="37">
        <v>4.5</v>
      </c>
      <c r="H12" s="35">
        <v>275</v>
      </c>
      <c r="I12" s="35">
        <f t="shared" si="1"/>
        <v>1237.5</v>
      </c>
      <c r="J12" s="37" t="s">
        <v>20</v>
      </c>
      <c r="K12" s="38" t="s">
        <v>21</v>
      </c>
      <c r="L12" s="39" t="s">
        <v>22</v>
      </c>
      <c r="M12" s="90">
        <f>+I10+I11+I12</f>
        <v>8302</v>
      </c>
    </row>
    <row r="13" spans="1:17" ht="15" thickBot="1" x14ac:dyDescent="0.4">
      <c r="A13" s="97" t="s">
        <v>26</v>
      </c>
      <c r="B13" s="98" t="s">
        <v>24</v>
      </c>
      <c r="C13" s="99" t="s">
        <v>27</v>
      </c>
      <c r="D13" s="100">
        <v>24728</v>
      </c>
      <c r="E13" s="101">
        <v>44749</v>
      </c>
      <c r="F13" s="98">
        <v>1197831</v>
      </c>
      <c r="G13" s="102">
        <v>78.501580000000004</v>
      </c>
      <c r="H13" s="100">
        <v>315</v>
      </c>
      <c r="I13" s="100">
        <f>+G13*H13</f>
        <v>24727.9977</v>
      </c>
      <c r="J13" s="102" t="s">
        <v>93</v>
      </c>
      <c r="K13" s="102" t="s">
        <v>21</v>
      </c>
      <c r="L13" s="103" t="s">
        <v>22</v>
      </c>
      <c r="M13" s="90"/>
      <c r="Q13" s="90">
        <f>+I13</f>
        <v>24727.9977</v>
      </c>
    </row>
    <row r="14" spans="1:17" x14ac:dyDescent="0.35">
      <c r="A14" s="9" t="s">
        <v>94</v>
      </c>
      <c r="B14" s="10" t="s">
        <v>95</v>
      </c>
      <c r="C14" s="87" t="s">
        <v>96</v>
      </c>
      <c r="D14" s="12">
        <v>37000</v>
      </c>
      <c r="E14" s="13">
        <v>44749</v>
      </c>
      <c r="F14" s="10">
        <v>100005043</v>
      </c>
      <c r="G14" s="14">
        <v>0</v>
      </c>
      <c r="H14" s="12">
        <v>0</v>
      </c>
      <c r="I14" s="12">
        <f>+D14</f>
        <v>37000</v>
      </c>
      <c r="J14" s="14" t="s">
        <v>97</v>
      </c>
      <c r="K14" s="15" t="s">
        <v>21</v>
      </c>
      <c r="L14" s="16" t="s">
        <v>22</v>
      </c>
      <c r="O14" s="90">
        <f>+I14+I15+I17</f>
        <v>43480</v>
      </c>
    </row>
    <row r="15" spans="1:17" x14ac:dyDescent="0.35">
      <c r="A15" s="24" t="s">
        <v>94</v>
      </c>
      <c r="B15" s="25" t="s">
        <v>95</v>
      </c>
      <c r="C15" s="88" t="s">
        <v>98</v>
      </c>
      <c r="D15" s="27">
        <v>5400</v>
      </c>
      <c r="E15" s="89">
        <v>44770</v>
      </c>
      <c r="F15" s="25">
        <v>12844</v>
      </c>
      <c r="G15" s="29">
        <v>0</v>
      </c>
      <c r="H15" s="27">
        <v>0</v>
      </c>
      <c r="I15" s="27">
        <f>+D15</f>
        <v>5400</v>
      </c>
      <c r="J15" s="29" t="s">
        <v>97</v>
      </c>
      <c r="K15" s="30" t="s">
        <v>21</v>
      </c>
      <c r="L15" s="31" t="s">
        <v>22</v>
      </c>
    </row>
    <row r="16" spans="1:17" x14ac:dyDescent="0.35">
      <c r="A16" s="24" t="s">
        <v>94</v>
      </c>
      <c r="B16" s="25" t="s">
        <v>95</v>
      </c>
      <c r="C16" s="104">
        <v>21146</v>
      </c>
      <c r="D16" s="27">
        <v>22500</v>
      </c>
      <c r="E16" s="28">
        <v>44749</v>
      </c>
      <c r="F16" s="25">
        <v>100005043</v>
      </c>
      <c r="G16" s="29">
        <v>0</v>
      </c>
      <c r="H16" s="27">
        <v>0</v>
      </c>
      <c r="I16" s="27">
        <f>+D16</f>
        <v>22500</v>
      </c>
      <c r="J16" s="29" t="s">
        <v>101</v>
      </c>
      <c r="K16" s="30" t="s">
        <v>21</v>
      </c>
      <c r="L16" s="31" t="s">
        <v>22</v>
      </c>
      <c r="P16" s="90">
        <f>+I16</f>
        <v>22500</v>
      </c>
    </row>
    <row r="17" spans="1:80" ht="15" thickBot="1" x14ac:dyDescent="0.4">
      <c r="A17" s="24" t="s">
        <v>94</v>
      </c>
      <c r="B17" s="25" t="s">
        <v>95</v>
      </c>
      <c r="C17" s="104">
        <v>21338</v>
      </c>
      <c r="D17" s="27">
        <v>1080</v>
      </c>
      <c r="E17" s="28">
        <v>44784</v>
      </c>
      <c r="F17" s="25">
        <v>13074</v>
      </c>
      <c r="G17" s="29">
        <v>0</v>
      </c>
      <c r="H17" s="27">
        <v>0</v>
      </c>
      <c r="I17" s="27">
        <f>+D17</f>
        <v>1080</v>
      </c>
      <c r="J17" s="29" t="s">
        <v>97</v>
      </c>
      <c r="K17" s="30" t="s">
        <v>21</v>
      </c>
      <c r="L17" s="31" t="s">
        <v>22</v>
      </c>
      <c r="M17" s="90"/>
    </row>
    <row r="18" spans="1:80" x14ac:dyDescent="0.35">
      <c r="A18" s="105" t="s">
        <v>18</v>
      </c>
      <c r="B18" s="106" t="s">
        <v>19</v>
      </c>
      <c r="C18" s="107">
        <v>159369</v>
      </c>
      <c r="D18" s="108">
        <v>7589.34</v>
      </c>
      <c r="E18" s="109">
        <v>44777</v>
      </c>
      <c r="F18" s="106">
        <v>1199301</v>
      </c>
      <c r="G18" s="110">
        <v>14.6</v>
      </c>
      <c r="H18" s="108">
        <v>275</v>
      </c>
      <c r="I18" s="108">
        <f>+G18*H18</f>
        <v>4015</v>
      </c>
      <c r="J18" s="110" t="s">
        <v>108</v>
      </c>
      <c r="K18" s="111" t="s">
        <v>21</v>
      </c>
      <c r="L18" s="112" t="s">
        <v>22</v>
      </c>
    </row>
    <row r="19" spans="1:80" x14ac:dyDescent="0.35">
      <c r="A19" s="113" t="s">
        <v>18</v>
      </c>
      <c r="B19" s="114" t="s">
        <v>19</v>
      </c>
      <c r="C19" s="115">
        <v>159369</v>
      </c>
      <c r="D19" s="116">
        <v>7589.34</v>
      </c>
      <c r="E19" s="117">
        <v>44777</v>
      </c>
      <c r="F19" s="114">
        <v>1199301</v>
      </c>
      <c r="G19" s="118">
        <v>11.7</v>
      </c>
      <c r="H19" s="116">
        <v>200</v>
      </c>
      <c r="I19" s="116">
        <f t="shared" ref="I19:I21" si="2">+G19*H19</f>
        <v>2340</v>
      </c>
      <c r="J19" s="118" t="s">
        <v>109</v>
      </c>
      <c r="K19" s="119" t="s">
        <v>21</v>
      </c>
      <c r="L19" s="120" t="s">
        <v>22</v>
      </c>
    </row>
    <row r="20" spans="1:80" x14ac:dyDescent="0.35">
      <c r="A20" s="113" t="s">
        <v>18</v>
      </c>
      <c r="B20" s="114" t="s">
        <v>19</v>
      </c>
      <c r="C20" s="115">
        <v>159369</v>
      </c>
      <c r="D20" s="116">
        <v>7589.34</v>
      </c>
      <c r="E20" s="117">
        <v>44777</v>
      </c>
      <c r="F20" s="114">
        <v>1199301</v>
      </c>
      <c r="G20" s="118">
        <v>12.7</v>
      </c>
      <c r="H20" s="116">
        <v>95</v>
      </c>
      <c r="I20" s="116">
        <f t="shared" si="2"/>
        <v>1206.5</v>
      </c>
      <c r="J20" s="118" t="s">
        <v>110</v>
      </c>
      <c r="K20" s="119" t="s">
        <v>21</v>
      </c>
      <c r="L20" s="120" t="s">
        <v>22</v>
      </c>
    </row>
    <row r="21" spans="1:80" ht="15" thickBot="1" x14ac:dyDescent="0.4">
      <c r="A21" s="121" t="s">
        <v>18</v>
      </c>
      <c r="B21" s="122" t="s">
        <v>19</v>
      </c>
      <c r="C21" s="123">
        <v>159369</v>
      </c>
      <c r="D21" s="124">
        <v>7589.34</v>
      </c>
      <c r="E21" s="125">
        <v>44777</v>
      </c>
      <c r="F21" s="122">
        <v>1199301</v>
      </c>
      <c r="G21" s="126">
        <v>1</v>
      </c>
      <c r="H21" s="124">
        <v>27.84</v>
      </c>
      <c r="I21" s="124">
        <f t="shared" si="2"/>
        <v>27.84</v>
      </c>
      <c r="J21" s="126" t="s">
        <v>111</v>
      </c>
      <c r="K21" s="127" t="s">
        <v>21</v>
      </c>
      <c r="L21" s="128" t="s">
        <v>22</v>
      </c>
    </row>
    <row r="22" spans="1:80" s="29" customFormat="1" x14ac:dyDescent="0.35">
      <c r="A22" s="9" t="s">
        <v>18</v>
      </c>
      <c r="B22" s="10" t="s">
        <v>19</v>
      </c>
      <c r="C22" s="129">
        <v>160115</v>
      </c>
      <c r="D22" s="12">
        <v>12077.43</v>
      </c>
      <c r="E22" s="13" t="s">
        <v>99</v>
      </c>
      <c r="F22" s="10" t="s">
        <v>100</v>
      </c>
      <c r="G22" s="14">
        <v>24.9</v>
      </c>
      <c r="H22" s="12">
        <v>275</v>
      </c>
      <c r="I22" s="12">
        <f>+G22*H22</f>
        <v>6847.5</v>
      </c>
      <c r="J22" s="14" t="s">
        <v>108</v>
      </c>
      <c r="K22" s="15" t="s">
        <v>21</v>
      </c>
      <c r="L22" s="16" t="s">
        <v>22</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s="29" customFormat="1" x14ac:dyDescent="0.35">
      <c r="A23" s="24" t="s">
        <v>18</v>
      </c>
      <c r="B23" s="25" t="s">
        <v>19</v>
      </c>
      <c r="C23" s="104">
        <v>160115</v>
      </c>
      <c r="D23" s="27">
        <v>12077.43</v>
      </c>
      <c r="E23" s="28" t="s">
        <v>99</v>
      </c>
      <c r="F23" s="25" t="s">
        <v>100</v>
      </c>
      <c r="G23" s="29">
        <v>20.7</v>
      </c>
      <c r="H23" s="27">
        <v>200</v>
      </c>
      <c r="I23" s="27">
        <f t="shared" ref="I23:I30" si="3">+G23*H23</f>
        <v>4140</v>
      </c>
      <c r="J23" s="29" t="s">
        <v>109</v>
      </c>
      <c r="K23" s="30" t="s">
        <v>21</v>
      </c>
      <c r="L23" s="31" t="s">
        <v>22</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s="29" customFormat="1" x14ac:dyDescent="0.35">
      <c r="A24" s="24" t="s">
        <v>18</v>
      </c>
      <c r="B24" s="25" t="s">
        <v>19</v>
      </c>
      <c r="C24" s="104">
        <v>160115</v>
      </c>
      <c r="D24" s="27">
        <v>12077.43</v>
      </c>
      <c r="E24" s="28" t="s">
        <v>99</v>
      </c>
      <c r="F24" s="25" t="s">
        <v>100</v>
      </c>
      <c r="G24" s="29">
        <v>11.2</v>
      </c>
      <c r="H24" s="27">
        <v>95</v>
      </c>
      <c r="I24" s="27">
        <f t="shared" si="3"/>
        <v>1064</v>
      </c>
      <c r="J24" s="29" t="s">
        <v>110</v>
      </c>
      <c r="K24" s="30" t="s">
        <v>21</v>
      </c>
      <c r="L24" s="31" t="s">
        <v>22</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s="29" customFormat="1" ht="15" thickBot="1" x14ac:dyDescent="0.4">
      <c r="A25" s="32" t="s">
        <v>18</v>
      </c>
      <c r="B25" s="33" t="s">
        <v>19</v>
      </c>
      <c r="C25" s="130">
        <v>160115</v>
      </c>
      <c r="D25" s="35">
        <v>12077.43</v>
      </c>
      <c r="E25" s="36" t="s">
        <v>99</v>
      </c>
      <c r="F25" s="33" t="s">
        <v>100</v>
      </c>
      <c r="G25" s="37">
        <v>1</v>
      </c>
      <c r="H25" s="35">
        <v>25.93</v>
      </c>
      <c r="I25" s="35">
        <f t="shared" si="3"/>
        <v>25.93</v>
      </c>
      <c r="J25" s="37" t="s">
        <v>112</v>
      </c>
      <c r="K25" s="38" t="s">
        <v>21</v>
      </c>
      <c r="L25" s="39" t="s">
        <v>22</v>
      </c>
      <c r="M25" s="90"/>
      <c r="N25" s="90">
        <f>SUM(I18:I25)</f>
        <v>19666.77</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s="29" customFormat="1" x14ac:dyDescent="0.35">
      <c r="A26" s="97" t="s">
        <v>23</v>
      </c>
      <c r="B26" s="98" t="s">
        <v>24</v>
      </c>
      <c r="C26" s="137" t="s">
        <v>117</v>
      </c>
      <c r="D26" s="100">
        <v>5411</v>
      </c>
      <c r="E26" s="101" t="s">
        <v>99</v>
      </c>
      <c r="F26" s="98" t="s">
        <v>100</v>
      </c>
      <c r="G26" s="102">
        <v>8.6</v>
      </c>
      <c r="H26" s="100">
        <v>385</v>
      </c>
      <c r="I26" s="100">
        <f t="shared" si="3"/>
        <v>3311</v>
      </c>
      <c r="J26" s="102" t="s">
        <v>20</v>
      </c>
      <c r="K26" s="138" t="s">
        <v>21</v>
      </c>
      <c r="L26" s="103" t="s">
        <v>22</v>
      </c>
      <c r="M26" s="90"/>
      <c r="N26" s="9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s="29" customFormat="1" ht="15" thickBot="1" x14ac:dyDescent="0.4">
      <c r="A27" s="17" t="s">
        <v>23</v>
      </c>
      <c r="B27" s="18" t="s">
        <v>24</v>
      </c>
      <c r="C27" s="139" t="s">
        <v>117</v>
      </c>
      <c r="D27" s="19">
        <v>5411</v>
      </c>
      <c r="E27" s="20" t="s">
        <v>99</v>
      </c>
      <c r="F27" s="18" t="s">
        <v>100</v>
      </c>
      <c r="G27" s="21">
        <v>4.2</v>
      </c>
      <c r="H27" s="19">
        <v>500</v>
      </c>
      <c r="I27" s="19">
        <f t="shared" si="3"/>
        <v>2100</v>
      </c>
      <c r="J27" s="21" t="s">
        <v>20</v>
      </c>
      <c r="K27" s="22" t="s">
        <v>21</v>
      </c>
      <c r="L27" s="23" t="s">
        <v>22</v>
      </c>
      <c r="M27" s="90"/>
      <c r="N27" s="90"/>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s="29" customFormat="1" x14ac:dyDescent="0.35">
      <c r="A28" s="9" t="s">
        <v>23</v>
      </c>
      <c r="B28" s="10" t="s">
        <v>24</v>
      </c>
      <c r="C28" s="11" t="s">
        <v>118</v>
      </c>
      <c r="D28" s="12">
        <v>23288.5</v>
      </c>
      <c r="E28" s="13" t="s">
        <v>99</v>
      </c>
      <c r="F28" s="10" t="s">
        <v>100</v>
      </c>
      <c r="G28" s="14">
        <v>42.1</v>
      </c>
      <c r="H28" s="12">
        <v>385</v>
      </c>
      <c r="I28" s="12">
        <f t="shared" si="3"/>
        <v>16208.5</v>
      </c>
      <c r="J28" s="14" t="s">
        <v>20</v>
      </c>
      <c r="K28" s="15" t="s">
        <v>21</v>
      </c>
      <c r="L28" s="16" t="s">
        <v>22</v>
      </c>
      <c r="M28" s="90"/>
      <c r="N28" s="90"/>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s="29" customFormat="1" x14ac:dyDescent="0.35">
      <c r="A29" s="24" t="s">
        <v>23</v>
      </c>
      <c r="B29" s="25" t="s">
        <v>24</v>
      </c>
      <c r="C29" s="26" t="s">
        <v>118</v>
      </c>
      <c r="D29" s="27">
        <v>23288.5</v>
      </c>
      <c r="E29" s="28" t="s">
        <v>99</v>
      </c>
      <c r="F29" s="25" t="s">
        <v>100</v>
      </c>
      <c r="G29" s="29">
        <v>13.5</v>
      </c>
      <c r="H29" s="27">
        <v>500</v>
      </c>
      <c r="I29" s="27">
        <f t="shared" si="3"/>
        <v>6750</v>
      </c>
      <c r="J29" s="29" t="s">
        <v>20</v>
      </c>
      <c r="K29" s="30" t="s">
        <v>21</v>
      </c>
      <c r="L29" s="31" t="s">
        <v>22</v>
      </c>
      <c r="M29" s="90"/>
      <c r="N29" s="90"/>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s="29" customFormat="1" ht="15" thickBot="1" x14ac:dyDescent="0.4">
      <c r="A30" s="32" t="s">
        <v>23</v>
      </c>
      <c r="B30" s="33" t="s">
        <v>24</v>
      </c>
      <c r="C30" s="34" t="s">
        <v>118</v>
      </c>
      <c r="D30" s="35">
        <v>23288.5</v>
      </c>
      <c r="E30" s="36" t="s">
        <v>99</v>
      </c>
      <c r="F30" s="33" t="s">
        <v>100</v>
      </c>
      <c r="G30" s="37">
        <v>1.2</v>
      </c>
      <c r="H30" s="35">
        <v>275</v>
      </c>
      <c r="I30" s="35">
        <f t="shared" si="3"/>
        <v>330</v>
      </c>
      <c r="J30" s="37" t="s">
        <v>20</v>
      </c>
      <c r="K30" s="38" t="s">
        <v>21</v>
      </c>
      <c r="L30" s="39" t="s">
        <v>22</v>
      </c>
      <c r="M30" s="90">
        <f>SUM(I26:I30)</f>
        <v>28699.5</v>
      </c>
      <c r="N30" s="9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s="29" customFormat="1" x14ac:dyDescent="0.35">
      <c r="A31" s="97" t="s">
        <v>94</v>
      </c>
      <c r="B31" s="98" t="s">
        <v>95</v>
      </c>
      <c r="C31" s="140">
        <v>21469</v>
      </c>
      <c r="D31" s="100">
        <v>4262.5</v>
      </c>
      <c r="E31" s="101" t="s">
        <v>99</v>
      </c>
      <c r="F31" s="98" t="s">
        <v>100</v>
      </c>
      <c r="G31" s="102">
        <v>2.5</v>
      </c>
      <c r="H31" s="100">
        <v>325</v>
      </c>
      <c r="I31" s="100">
        <f>+G31*H31</f>
        <v>812.5</v>
      </c>
      <c r="J31" s="102" t="s">
        <v>101</v>
      </c>
      <c r="K31" s="138" t="s">
        <v>21</v>
      </c>
      <c r="L31" s="103" t="s">
        <v>22</v>
      </c>
      <c r="M31" s="90"/>
      <c r="N31" s="90"/>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80" s="29" customFormat="1" ht="15" thickBot="1" x14ac:dyDescent="0.4">
      <c r="A32" s="141" t="s">
        <v>94</v>
      </c>
      <c r="B32" s="142" t="s">
        <v>95</v>
      </c>
      <c r="C32" s="143">
        <v>21469</v>
      </c>
      <c r="D32" s="144">
        <v>4262.5</v>
      </c>
      <c r="E32" s="145" t="s">
        <v>99</v>
      </c>
      <c r="F32" s="142" t="s">
        <v>100</v>
      </c>
      <c r="G32" s="146">
        <v>15</v>
      </c>
      <c r="H32" s="144">
        <v>230</v>
      </c>
      <c r="I32" s="144">
        <f>+G32*H32</f>
        <v>3450</v>
      </c>
      <c r="J32" s="146" t="s">
        <v>101</v>
      </c>
      <c r="K32" s="147" t="s">
        <v>21</v>
      </c>
      <c r="L32" s="148" t="s">
        <v>22</v>
      </c>
      <c r="M32" s="90"/>
      <c r="N32" s="90"/>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1:80" s="29" customFormat="1" x14ac:dyDescent="0.35">
      <c r="A33" s="9" t="s">
        <v>94</v>
      </c>
      <c r="B33" s="10" t="s">
        <v>95</v>
      </c>
      <c r="C33" s="129">
        <v>21470</v>
      </c>
      <c r="D33" s="12">
        <v>3025</v>
      </c>
      <c r="E33" s="13" t="s">
        <v>99</v>
      </c>
      <c r="F33" s="10" t="s">
        <v>100</v>
      </c>
      <c r="G33" s="14">
        <v>10</v>
      </c>
      <c r="H33" s="12">
        <v>270</v>
      </c>
      <c r="I33" s="12">
        <f t="shared" ref="I33:I34" si="4">+G33*H33</f>
        <v>2700</v>
      </c>
      <c r="J33" s="14" t="s">
        <v>101</v>
      </c>
      <c r="K33" s="15" t="s">
        <v>21</v>
      </c>
      <c r="L33" s="16" t="s">
        <v>22</v>
      </c>
      <c r="M33" s="90"/>
      <c r="N33" s="90"/>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1:80" s="29" customFormat="1" ht="15" thickBot="1" x14ac:dyDescent="0.4">
      <c r="A34" s="32" t="s">
        <v>94</v>
      </c>
      <c r="B34" s="33" t="s">
        <v>95</v>
      </c>
      <c r="C34" s="130">
        <v>21470</v>
      </c>
      <c r="D34" s="35">
        <v>3025</v>
      </c>
      <c r="E34" s="36" t="s">
        <v>99</v>
      </c>
      <c r="F34" s="33" t="s">
        <v>100</v>
      </c>
      <c r="G34" s="37">
        <v>1</v>
      </c>
      <c r="H34" s="35">
        <v>325</v>
      </c>
      <c r="I34" s="35">
        <f t="shared" si="4"/>
        <v>325</v>
      </c>
      <c r="J34" s="37" t="s">
        <v>101</v>
      </c>
      <c r="K34" s="38" t="s">
        <v>21</v>
      </c>
      <c r="L34" s="39" t="s">
        <v>22</v>
      </c>
      <c r="M34" s="90"/>
      <c r="N34" s="90"/>
      <c r="O34"/>
      <c r="P34" s="90">
        <f>SUM(I31:I34)</f>
        <v>7287.5</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row>
    <row r="35" spans="1:80" x14ac:dyDescent="0.35">
      <c r="D35" s="131"/>
      <c r="H35" s="131"/>
      <c r="I35" s="131">
        <f>SUM(I2:I34)</f>
        <v>167136.66769999999</v>
      </c>
      <c r="J35" t="s">
        <v>42</v>
      </c>
      <c r="M35" s="90">
        <f>SUM(M2:M34)</f>
        <v>37001.5</v>
      </c>
      <c r="N35" s="90">
        <f t="shared" ref="N35:Q35" si="5">SUM(N2:N34)</f>
        <v>32139.67</v>
      </c>
      <c r="O35" s="90">
        <f t="shared" si="5"/>
        <v>43480</v>
      </c>
      <c r="P35" s="90">
        <f t="shared" si="5"/>
        <v>29787.5</v>
      </c>
      <c r="Q35" s="90">
        <f t="shared" si="5"/>
        <v>24727.9977</v>
      </c>
    </row>
    <row r="36" spans="1:80" x14ac:dyDescent="0.35">
      <c r="D36" s="131"/>
      <c r="H36" s="131"/>
      <c r="I36" s="132">
        <f>SUM(I26:I34)</f>
        <v>35987</v>
      </c>
      <c r="J36" t="s">
        <v>113</v>
      </c>
    </row>
    <row r="37" spans="1:80" x14ac:dyDescent="0.35">
      <c r="D37" s="131"/>
      <c r="H37" s="131"/>
      <c r="I37" s="131">
        <f>+I35-I36</f>
        <v>131149.66769999999</v>
      </c>
      <c r="J37" t="s">
        <v>114</v>
      </c>
      <c r="L37" t="s">
        <v>115</v>
      </c>
      <c r="N37" s="90">
        <f>+M35+N35</f>
        <v>69141.17</v>
      </c>
      <c r="Q37" s="90">
        <f>+O35+P35+Q35</f>
        <v>97995.497700000007</v>
      </c>
      <c r="S37" s="90">
        <f>+N37+Q37</f>
        <v>167136.66769999999</v>
      </c>
    </row>
    <row r="38" spans="1:80" x14ac:dyDescent="0.35">
      <c r="D38" s="131"/>
      <c r="H38" s="131"/>
      <c r="I38" s="131"/>
      <c r="L38" t="s">
        <v>116</v>
      </c>
      <c r="Q38" s="90"/>
      <c r="S38" s="90">
        <f>+I35-S37</f>
        <v>0</v>
      </c>
    </row>
    <row r="39" spans="1:80" x14ac:dyDescent="0.35">
      <c r="S39" s="90"/>
    </row>
    <row r="45" spans="1:80" s="4" customFormat="1" ht="124.5" customHeight="1" x14ac:dyDescent="0.35">
      <c r="A45" s="133" t="s">
        <v>28</v>
      </c>
      <c r="B45" s="134"/>
      <c r="C45" s="134"/>
      <c r="D45" s="134"/>
      <c r="E45" s="7"/>
      <c r="F45" s="47"/>
      <c r="H45" s="5"/>
      <c r="I45" s="5"/>
    </row>
  </sheetData>
  <autoFilter ref="A2:D14" xr:uid="{51EE835F-D721-4846-9D59-89A922DFAF26}">
    <sortState xmlns:xlrd2="http://schemas.microsoft.com/office/spreadsheetml/2017/richdata2" ref="A3:D14">
      <sortCondition ref="B2:B14"/>
    </sortState>
  </autoFilter>
  <mergeCells count="1">
    <mergeCell ref="A45:D45"/>
  </mergeCells>
  <phoneticPr fontId="3" type="noConversion"/>
  <pageMargins left="0.7" right="0.7" top="0.75" bottom="0.75" header="0.3" footer="0.3"/>
  <pageSetup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415C6-4314-4F22-81FE-E58BF8EA6C91}">
  <dimension ref="A1:R47"/>
  <sheetViews>
    <sheetView view="pageBreakPreview" topLeftCell="C1" zoomScale="90" zoomScaleNormal="100" zoomScaleSheetLayoutView="90" workbookViewId="0">
      <selection activeCell="C1" sqref="A1:XFD1048576"/>
    </sheetView>
  </sheetViews>
  <sheetFormatPr defaultColWidth="12.453125" defaultRowHeight="13" x14ac:dyDescent="0.3"/>
  <cols>
    <col min="1" max="2" width="0" style="54" hidden="1" customWidth="1"/>
    <col min="3" max="3" width="12.453125" style="54"/>
    <col min="4" max="4" width="4.453125" style="55" customWidth="1"/>
    <col min="5" max="5" width="30.26953125" style="55" customWidth="1"/>
    <col min="6" max="6" width="9" style="55" bestFit="1" customWidth="1"/>
    <col min="7" max="7" width="14" style="55" bestFit="1" customWidth="1"/>
    <col min="8" max="8" width="16.453125" style="55" bestFit="1" customWidth="1"/>
    <col min="9" max="9" width="2.26953125" style="55" customWidth="1"/>
    <col min="10" max="10" width="12.453125" style="55"/>
    <col min="11" max="11" width="3" style="55" customWidth="1"/>
    <col min="12" max="12" width="11.26953125" style="56" customWidth="1"/>
    <col min="13" max="13" width="3" style="56" customWidth="1"/>
    <col min="14" max="14" width="17" style="56" bestFit="1" customWidth="1"/>
    <col min="15" max="16" width="14.26953125" style="56" customWidth="1"/>
    <col min="17" max="18" width="12.453125" style="54"/>
    <col min="19" max="23" width="10.26953125" style="54" customWidth="1"/>
    <col min="24" max="16384" width="12.453125" style="54"/>
  </cols>
  <sheetData>
    <row r="1" spans="3:18" x14ac:dyDescent="0.3">
      <c r="C1" s="54" t="s">
        <v>29</v>
      </c>
    </row>
    <row r="2" spans="3:18" s="51" customFormat="1" ht="15.5" x14ac:dyDescent="0.35">
      <c r="C2" s="48" t="s">
        <v>30</v>
      </c>
      <c r="D2" s="48"/>
      <c r="E2" s="48"/>
      <c r="F2" s="48"/>
      <c r="G2" s="48"/>
      <c r="H2" s="48"/>
      <c r="I2" s="48"/>
      <c r="J2" s="48"/>
      <c r="K2" s="48"/>
      <c r="L2" s="48"/>
      <c r="M2" s="48"/>
      <c r="N2" s="49"/>
      <c r="O2" s="48"/>
      <c r="P2" s="50"/>
    </row>
    <row r="3" spans="3:18" s="51" customFormat="1" ht="14.5" x14ac:dyDescent="0.35">
      <c r="C3" s="48" t="s">
        <v>31</v>
      </c>
      <c r="E3" s="48"/>
      <c r="F3" s="48"/>
      <c r="G3" s="48"/>
      <c r="H3" s="48"/>
      <c r="I3" s="48"/>
      <c r="J3" s="48"/>
      <c r="K3" s="48"/>
      <c r="L3" s="50"/>
      <c r="M3" s="50"/>
      <c r="N3" s="52"/>
      <c r="O3" s="50"/>
      <c r="P3" s="50"/>
    </row>
    <row r="4" spans="3:18" s="51" customFormat="1" x14ac:dyDescent="0.3">
      <c r="C4" s="135">
        <v>44834</v>
      </c>
      <c r="D4" s="135"/>
      <c r="E4" s="135"/>
      <c r="F4" s="53"/>
      <c r="G4" s="48"/>
      <c r="H4" s="48"/>
      <c r="I4" s="48"/>
      <c r="J4" s="48"/>
      <c r="K4" s="48"/>
      <c r="L4" s="50"/>
      <c r="M4" s="50"/>
      <c r="N4" s="50"/>
      <c r="O4" s="50"/>
      <c r="P4" s="50"/>
    </row>
    <row r="5" spans="3:18" s="51" customFormat="1" x14ac:dyDescent="0.3">
      <c r="C5" s="136">
        <v>45291</v>
      </c>
      <c r="D5" s="136"/>
      <c r="E5" s="136"/>
      <c r="F5" s="48"/>
      <c r="G5" s="48"/>
      <c r="H5" s="48"/>
      <c r="I5" s="48"/>
      <c r="J5" s="48"/>
      <c r="K5" s="48"/>
      <c r="L5" s="48"/>
      <c r="M5" s="50"/>
      <c r="N5" s="50"/>
      <c r="O5" s="50"/>
      <c r="P5" s="50"/>
    </row>
    <row r="6" spans="3:18" x14ac:dyDescent="0.3">
      <c r="L6" s="55"/>
    </row>
    <row r="7" spans="3:18" s="57" customFormat="1" x14ac:dyDescent="0.3">
      <c r="D7" s="58"/>
      <c r="E7" s="58" t="s">
        <v>32</v>
      </c>
      <c r="F7" s="58" t="s">
        <v>33</v>
      </c>
      <c r="G7" s="58" t="s">
        <v>34</v>
      </c>
      <c r="H7" s="58" t="s">
        <v>35</v>
      </c>
      <c r="I7" s="58"/>
      <c r="J7" s="58" t="s">
        <v>36</v>
      </c>
      <c r="K7" s="58"/>
      <c r="L7" s="58" t="s">
        <v>37</v>
      </c>
      <c r="M7" s="59"/>
      <c r="N7" s="59" t="s">
        <v>38</v>
      </c>
      <c r="O7" s="59"/>
      <c r="P7" s="59"/>
    </row>
    <row r="8" spans="3:18" x14ac:dyDescent="0.3">
      <c r="L8" s="55"/>
      <c r="O8" s="58" t="s">
        <v>39</v>
      </c>
      <c r="P8" s="58" t="s">
        <v>40</v>
      </c>
    </row>
    <row r="9" spans="3:18" x14ac:dyDescent="0.3">
      <c r="C9" s="60" t="s">
        <v>41</v>
      </c>
      <c r="D9" s="61"/>
      <c r="E9" s="61"/>
      <c r="F9" s="61"/>
      <c r="G9" s="61"/>
      <c r="H9" s="61"/>
      <c r="I9" s="61"/>
      <c r="J9" s="60" t="s">
        <v>42</v>
      </c>
      <c r="L9" s="60" t="s">
        <v>43</v>
      </c>
      <c r="M9" s="62"/>
      <c r="N9" s="60" t="s">
        <v>44</v>
      </c>
      <c r="O9" s="60" t="s">
        <v>45</v>
      </c>
      <c r="P9" s="60" t="s">
        <v>46</v>
      </c>
    </row>
    <row r="10" spans="3:18" x14ac:dyDescent="0.3">
      <c r="L10" s="55"/>
      <c r="M10" s="62"/>
      <c r="N10" s="62"/>
      <c r="O10" s="62"/>
      <c r="P10" s="62"/>
    </row>
    <row r="11" spans="3:18" x14ac:dyDescent="0.3">
      <c r="C11" s="63">
        <v>1</v>
      </c>
      <c r="D11" s="55" t="s">
        <v>47</v>
      </c>
      <c r="J11" s="78">
        <v>200000</v>
      </c>
      <c r="K11" s="79"/>
      <c r="L11" s="78">
        <v>37001.5</v>
      </c>
      <c r="M11" s="80"/>
      <c r="N11" s="80">
        <f>+J11-L11</f>
        <v>162998.5</v>
      </c>
      <c r="O11" s="56">
        <f>(500+385+450+570+275+300)/6</f>
        <v>413.33333333333331</v>
      </c>
      <c r="P11" s="56">
        <f>+J11/O11</f>
        <v>483.87096774193549</v>
      </c>
      <c r="Q11" s="62"/>
      <c r="R11" s="81" t="s">
        <v>76</v>
      </c>
    </row>
    <row r="12" spans="3:18" x14ac:dyDescent="0.3">
      <c r="C12" s="63">
        <f>+C11+1</f>
        <v>2</v>
      </c>
      <c r="D12" s="55" t="s">
        <v>48</v>
      </c>
      <c r="J12" s="55">
        <v>158875</v>
      </c>
      <c r="L12" s="55">
        <f>12472.9+19666.77</f>
        <v>32139.67</v>
      </c>
      <c r="N12" s="76">
        <f>+J12-L12</f>
        <v>126735.33</v>
      </c>
      <c r="O12" s="56">
        <f>+J12/P12</f>
        <v>254.2</v>
      </c>
      <c r="P12" s="56">
        <v>625</v>
      </c>
      <c r="R12" s="82"/>
    </row>
    <row r="13" spans="3:18" ht="14.5" x14ac:dyDescent="0.3">
      <c r="C13" s="63">
        <f t="shared" ref="C13:C42" si="0">+C12+1</f>
        <v>3</v>
      </c>
      <c r="D13" s="55" t="s">
        <v>49</v>
      </c>
      <c r="L13" s="55"/>
      <c r="N13" s="77"/>
      <c r="R13" s="83" t="s">
        <v>77</v>
      </c>
    </row>
    <row r="14" spans="3:18" ht="14.5" x14ac:dyDescent="0.3">
      <c r="C14" s="63">
        <f t="shared" si="0"/>
        <v>4</v>
      </c>
      <c r="E14" s="55" t="s">
        <v>50</v>
      </c>
      <c r="F14" s="55">
        <v>12324</v>
      </c>
      <c r="G14" s="55" t="s">
        <v>51</v>
      </c>
      <c r="H14" s="55" t="s">
        <v>52</v>
      </c>
      <c r="J14" s="56">
        <f>F14*0.5125</f>
        <v>6316.0499999999993</v>
      </c>
      <c r="K14" s="54"/>
      <c r="L14" s="55">
        <v>0</v>
      </c>
      <c r="N14" s="77">
        <f>+J14-L14</f>
        <v>6316.0499999999993</v>
      </c>
      <c r="R14" s="83"/>
    </row>
    <row r="15" spans="3:18" ht="14.5" x14ac:dyDescent="0.3">
      <c r="C15" s="63">
        <f t="shared" si="0"/>
        <v>5</v>
      </c>
      <c r="E15" s="55" t="s">
        <v>53</v>
      </c>
      <c r="F15" s="55">
        <v>12324</v>
      </c>
      <c r="G15" s="55" t="str">
        <f>G14</f>
        <v>=</v>
      </c>
      <c r="H15" s="55" t="s">
        <v>91</v>
      </c>
      <c r="J15" s="56">
        <f>F15*0.1025</f>
        <v>1263.21</v>
      </c>
      <c r="K15" s="54"/>
      <c r="L15" s="55">
        <v>0</v>
      </c>
      <c r="N15" s="56">
        <f>+J15-L15</f>
        <v>1263.21</v>
      </c>
      <c r="R15" s="84" t="s">
        <v>78</v>
      </c>
    </row>
    <row r="16" spans="3:18" ht="14.5" x14ac:dyDescent="0.3">
      <c r="C16" s="63">
        <f t="shared" si="0"/>
        <v>6</v>
      </c>
      <c r="L16" s="55"/>
      <c r="R16" s="84" t="s">
        <v>79</v>
      </c>
    </row>
    <row r="17" spans="3:18" ht="14.5" x14ac:dyDescent="0.3">
      <c r="C17" s="63">
        <f t="shared" si="0"/>
        <v>7</v>
      </c>
      <c r="D17" s="55" t="s">
        <v>54</v>
      </c>
      <c r="J17" s="55">
        <v>1000</v>
      </c>
      <c r="L17" s="55">
        <v>0</v>
      </c>
      <c r="N17" s="56">
        <f>+J17-L17</f>
        <v>1000</v>
      </c>
      <c r="R17" s="84" t="s">
        <v>80</v>
      </c>
    </row>
    <row r="18" spans="3:18" ht="14.5" x14ac:dyDescent="0.3">
      <c r="C18" s="63">
        <f t="shared" si="0"/>
        <v>8</v>
      </c>
      <c r="L18" s="55"/>
      <c r="R18" s="84" t="s">
        <v>81</v>
      </c>
    </row>
    <row r="19" spans="3:18" ht="14.5" x14ac:dyDescent="0.3">
      <c r="C19" s="63">
        <f t="shared" si="0"/>
        <v>9</v>
      </c>
      <c r="F19" s="64"/>
      <c r="G19" s="64"/>
      <c r="H19" s="64" t="s">
        <v>55</v>
      </c>
      <c r="L19" s="55"/>
      <c r="R19" s="84" t="s">
        <v>82</v>
      </c>
    </row>
    <row r="20" spans="3:18" ht="14.5" x14ac:dyDescent="0.3">
      <c r="C20" s="63">
        <f t="shared" si="0"/>
        <v>10</v>
      </c>
      <c r="F20" s="65" t="s">
        <v>56</v>
      </c>
      <c r="G20" s="66" t="s">
        <v>57</v>
      </c>
      <c r="H20" s="65" t="s">
        <v>58</v>
      </c>
      <c r="L20" s="55"/>
      <c r="R20" s="84" t="s">
        <v>83</v>
      </c>
    </row>
    <row r="21" spans="3:18" ht="14.5" x14ac:dyDescent="0.3">
      <c r="C21" s="63">
        <f t="shared" si="0"/>
        <v>11</v>
      </c>
      <c r="D21" s="55" t="s">
        <v>59</v>
      </c>
      <c r="F21" s="64"/>
      <c r="G21" s="64"/>
      <c r="H21" s="64"/>
      <c r="L21" s="55"/>
      <c r="R21" s="84" t="s">
        <v>84</v>
      </c>
    </row>
    <row r="22" spans="3:18" ht="14.5" x14ac:dyDescent="0.3">
      <c r="C22" s="63">
        <f t="shared" si="0"/>
        <v>12</v>
      </c>
      <c r="E22" s="64" t="s">
        <v>60</v>
      </c>
      <c r="F22" s="67">
        <v>3</v>
      </c>
      <c r="G22" s="64">
        <v>500</v>
      </c>
      <c r="H22" s="64">
        <v>1</v>
      </c>
      <c r="J22" s="55">
        <f>F22*G22*H22</f>
        <v>1500</v>
      </c>
      <c r="L22" s="55">
        <v>0</v>
      </c>
      <c r="N22" s="56">
        <f>+J22-L22</f>
        <v>1500</v>
      </c>
      <c r="R22" s="84" t="s">
        <v>85</v>
      </c>
    </row>
    <row r="23" spans="3:18" ht="14.5" x14ac:dyDescent="0.3">
      <c r="C23" s="63">
        <f>+C22+1</f>
        <v>13</v>
      </c>
      <c r="E23" s="64" t="s">
        <v>61</v>
      </c>
      <c r="F23" s="67">
        <v>4</v>
      </c>
      <c r="G23" s="64">
        <v>249</v>
      </c>
      <c r="H23" s="64">
        <v>2</v>
      </c>
      <c r="J23" s="55">
        <f t="shared" ref="J23:J24" si="1">F23*G23*H23</f>
        <v>1992</v>
      </c>
      <c r="L23" s="55">
        <v>0</v>
      </c>
      <c r="N23" s="56">
        <f>+J23-L23</f>
        <v>1992</v>
      </c>
      <c r="R23" s="83" t="s">
        <v>86</v>
      </c>
    </row>
    <row r="24" spans="3:18" ht="14.5" x14ac:dyDescent="0.3">
      <c r="C24" s="63">
        <f t="shared" si="0"/>
        <v>14</v>
      </c>
      <c r="E24" s="64" t="s">
        <v>62</v>
      </c>
      <c r="F24" s="67">
        <v>4</v>
      </c>
      <c r="G24" s="64">
        <v>65</v>
      </c>
      <c r="H24" s="64">
        <v>2</v>
      </c>
      <c r="J24" s="55">
        <f t="shared" si="1"/>
        <v>520</v>
      </c>
      <c r="L24" s="55">
        <v>0</v>
      </c>
      <c r="N24" s="56">
        <f>+J24-L24</f>
        <v>520</v>
      </c>
      <c r="R24" s="84" t="s">
        <v>87</v>
      </c>
    </row>
    <row r="25" spans="3:18" ht="14.5" x14ac:dyDescent="0.3">
      <c r="C25" s="63">
        <f t="shared" si="0"/>
        <v>15</v>
      </c>
      <c r="G25" s="68"/>
      <c r="R25" s="84" t="s">
        <v>88</v>
      </c>
    </row>
    <row r="26" spans="3:18" ht="14.5" x14ac:dyDescent="0.3">
      <c r="C26" s="63">
        <f t="shared" si="0"/>
        <v>16</v>
      </c>
      <c r="J26" s="69"/>
      <c r="R26" s="84" t="s">
        <v>89</v>
      </c>
    </row>
    <row r="27" spans="3:18" ht="14.5" x14ac:dyDescent="0.3">
      <c r="C27" s="63">
        <f t="shared" si="0"/>
        <v>17</v>
      </c>
      <c r="D27" s="55" t="s">
        <v>63</v>
      </c>
      <c r="J27" s="70">
        <v>37000</v>
      </c>
      <c r="L27" s="56">
        <f>37000+5400+1080</f>
        <v>43480</v>
      </c>
      <c r="N27" s="56">
        <f>+J27-L27</f>
        <v>-6480</v>
      </c>
      <c r="O27" s="56">
        <f>(325+295+270+230+200+150+125+65)/8</f>
        <v>207.5</v>
      </c>
      <c r="P27" s="56">
        <f>+J27/O27</f>
        <v>178.31325301204819</v>
      </c>
      <c r="R27" s="84" t="s">
        <v>90</v>
      </c>
    </row>
    <row r="28" spans="3:18" x14ac:dyDescent="0.3">
      <c r="C28" s="63">
        <f t="shared" si="0"/>
        <v>18</v>
      </c>
      <c r="D28" s="55" t="s">
        <v>64</v>
      </c>
      <c r="J28" s="70">
        <v>22500</v>
      </c>
      <c r="L28" s="56">
        <v>29787.5</v>
      </c>
      <c r="N28" s="56">
        <f>+J28-L28</f>
        <v>-7287.5</v>
      </c>
      <c r="O28" s="56">
        <f>(325+295+270+230+200+150+125+65)/8</f>
        <v>207.5</v>
      </c>
      <c r="P28" s="56">
        <f>+J28/O28</f>
        <v>108.43373493975903</v>
      </c>
      <c r="R28" s="56"/>
    </row>
    <row r="29" spans="3:18" x14ac:dyDescent="0.3">
      <c r="C29" s="63">
        <f t="shared" si="0"/>
        <v>19</v>
      </c>
      <c r="D29" s="55" t="s">
        <v>65</v>
      </c>
      <c r="J29" s="71">
        <v>28350</v>
      </c>
      <c r="L29" s="56">
        <v>24728</v>
      </c>
      <c r="N29" s="56">
        <f>+J29-L29</f>
        <v>3622</v>
      </c>
      <c r="O29" s="56">
        <v>315</v>
      </c>
      <c r="P29" s="56">
        <v>90</v>
      </c>
    </row>
    <row r="30" spans="3:18" x14ac:dyDescent="0.3">
      <c r="C30" s="63">
        <f t="shared" si="0"/>
        <v>20</v>
      </c>
    </row>
    <row r="31" spans="3:18" x14ac:dyDescent="0.3">
      <c r="C31" s="63">
        <f t="shared" si="0"/>
        <v>21</v>
      </c>
      <c r="D31" s="55" t="s">
        <v>66</v>
      </c>
      <c r="J31" s="55">
        <f>SUM(J11:J29)</f>
        <v>459316.26</v>
      </c>
    </row>
    <row r="32" spans="3:18" x14ac:dyDescent="0.3">
      <c r="C32" s="63">
        <f t="shared" si="0"/>
        <v>22</v>
      </c>
    </row>
    <row r="33" spans="1:17" x14ac:dyDescent="0.3">
      <c r="C33" s="63">
        <f t="shared" si="0"/>
        <v>23</v>
      </c>
      <c r="D33" s="55" t="s">
        <v>67</v>
      </c>
      <c r="J33" s="55">
        <f>SUM(J31:J32)</f>
        <v>459316.26</v>
      </c>
      <c r="L33" s="72"/>
    </row>
    <row r="34" spans="1:17" x14ac:dyDescent="0.3">
      <c r="C34" s="63">
        <f t="shared" si="0"/>
        <v>24</v>
      </c>
      <c r="J34" s="69"/>
    </row>
    <row r="35" spans="1:17" x14ac:dyDescent="0.3">
      <c r="C35" s="63">
        <f t="shared" si="0"/>
        <v>25</v>
      </c>
      <c r="D35" s="55" t="s">
        <v>68</v>
      </c>
      <c r="J35" s="55">
        <v>0</v>
      </c>
      <c r="K35" s="54"/>
      <c r="L35" s="55"/>
      <c r="Q35" s="56"/>
    </row>
    <row r="36" spans="1:17" x14ac:dyDescent="0.3">
      <c r="C36" s="63">
        <f t="shared" si="0"/>
        <v>26</v>
      </c>
      <c r="L36" s="55"/>
      <c r="Q36" s="56"/>
    </row>
    <row r="37" spans="1:17" x14ac:dyDescent="0.3">
      <c r="C37" s="63">
        <f t="shared" si="0"/>
        <v>27</v>
      </c>
      <c r="D37" s="55" t="s">
        <v>42</v>
      </c>
      <c r="J37" s="55">
        <f>SUM(J33:J36)</f>
        <v>459316.26</v>
      </c>
      <c r="L37" s="55"/>
      <c r="N37" s="55"/>
    </row>
    <row r="38" spans="1:17" x14ac:dyDescent="0.3">
      <c r="C38" s="63">
        <f t="shared" si="0"/>
        <v>28</v>
      </c>
      <c r="J38" s="69"/>
      <c r="L38" s="55"/>
      <c r="N38" s="55"/>
    </row>
    <row r="39" spans="1:17" x14ac:dyDescent="0.3">
      <c r="C39" s="63">
        <f t="shared" si="0"/>
        <v>29</v>
      </c>
      <c r="D39" s="55" t="s">
        <v>69</v>
      </c>
      <c r="J39" s="61">
        <v>3</v>
      </c>
      <c r="L39" s="55"/>
      <c r="N39" s="55"/>
    </row>
    <row r="40" spans="1:17" x14ac:dyDescent="0.3">
      <c r="C40" s="63">
        <f t="shared" si="0"/>
        <v>30</v>
      </c>
      <c r="J40" s="69"/>
      <c r="L40" s="55"/>
      <c r="N40" s="55"/>
    </row>
    <row r="41" spans="1:17" x14ac:dyDescent="0.3">
      <c r="C41" s="63">
        <f t="shared" si="0"/>
        <v>31</v>
      </c>
      <c r="L41" s="55"/>
      <c r="N41" s="55"/>
    </row>
    <row r="42" spans="1:17" ht="13.5" thickBot="1" x14ac:dyDescent="0.35">
      <c r="C42" s="63">
        <f t="shared" si="0"/>
        <v>32</v>
      </c>
      <c r="D42" s="48" t="s">
        <v>70</v>
      </c>
      <c r="J42" s="73">
        <f>+J37/J39</f>
        <v>153105.42000000001</v>
      </c>
      <c r="K42" s="74"/>
      <c r="L42" s="55"/>
      <c r="N42" s="55"/>
    </row>
    <row r="43" spans="1:17" ht="13.5" thickTop="1" x14ac:dyDescent="0.3">
      <c r="C43" s="63"/>
      <c r="D43" s="48"/>
      <c r="J43" s="74"/>
      <c r="K43" s="74"/>
      <c r="L43" s="55"/>
      <c r="N43" s="55"/>
    </row>
    <row r="44" spans="1:17" x14ac:dyDescent="0.3">
      <c r="C44" s="75" t="s">
        <v>71</v>
      </c>
      <c r="D44" s="55" t="s">
        <v>72</v>
      </c>
      <c r="J44" s="74"/>
      <c r="K44" s="74"/>
      <c r="L44" s="74"/>
      <c r="M44" s="62"/>
      <c r="N44" s="74"/>
    </row>
    <row r="45" spans="1:17" x14ac:dyDescent="0.3">
      <c r="C45" s="75" t="s">
        <v>73</v>
      </c>
      <c r="D45" s="55" t="s">
        <v>74</v>
      </c>
    </row>
    <row r="47" spans="1:17" x14ac:dyDescent="0.3">
      <c r="A47" s="54" t="s">
        <v>75</v>
      </c>
    </row>
  </sheetData>
  <mergeCells count="2">
    <mergeCell ref="C4:E4"/>
    <mergeCell ref="C5:E5"/>
  </mergeCells>
  <pageMargins left="0.7" right="0.7" top="0.75" bottom="0.75" header="0.3" footer="0.3"/>
  <pageSetup scale="55" orientation="portrait"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0E6C50716BFC40BF67FFB0DB8DCAB1" ma:contentTypeVersion="11" ma:contentTypeDescription="Create a new document." ma:contentTypeScope="" ma:versionID="1b9002d694ddee4997dae11220d103b5">
  <xsd:schema xmlns:xsd="http://www.w3.org/2001/XMLSchema" xmlns:xs="http://www.w3.org/2001/XMLSchema" xmlns:p="http://schemas.microsoft.com/office/2006/metadata/properties" xmlns:ns2="e61568b1-c106-4d70-abab-16fd7af8c238" xmlns:ns3="0343ffb1-f659-47b9-8c3f-42d21e4ec3a0" targetNamespace="http://schemas.microsoft.com/office/2006/metadata/properties" ma:root="true" ma:fieldsID="045163a031dcb388ff49906fb25efbbc" ns2:_="" ns3:_="">
    <xsd:import namespace="e61568b1-c106-4d70-abab-16fd7af8c238"/>
    <xsd:import namespace="0343ffb1-f659-47b9-8c3f-42d21e4ec3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568b1-c106-4d70-abab-16fd7af8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897d326-6b4f-4e9a-8799-b3e387ea2c05"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43ffb1-f659-47b9-8c3f-42d21e4ec3a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61568b1-c106-4d70-abab-16fd7af8c2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851C08-21AF-44DC-AEDB-F02282A9BA76}">
  <ds:schemaRefs>
    <ds:schemaRef ds:uri="http://schemas.microsoft.com/sharepoint/v3/contenttype/forms"/>
  </ds:schemaRefs>
</ds:datastoreItem>
</file>

<file path=customXml/itemProps2.xml><?xml version="1.0" encoding="utf-8"?>
<ds:datastoreItem xmlns:ds="http://schemas.openxmlformats.org/officeDocument/2006/customXml" ds:itemID="{B2636771-6CC3-4D31-B9F7-A69BA1797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568b1-c106-4d70-abab-16fd7af8c238"/>
    <ds:schemaRef ds:uri="0343ffb1-f659-47b9-8c3f-42d21e4ec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BADE57-78A3-4B8D-9B42-078C800D25D2}">
  <ds:schemaRefs>
    <ds:schemaRef ds:uri="http://schemas.microsoft.com/office/2006/metadata/properties"/>
    <ds:schemaRef ds:uri="http://schemas.microsoft.com/office/infopath/2007/PartnerControls"/>
    <ds:schemaRef ds:uri="e61568b1-c106-4d70-abab-16fd7af8c2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vt:lpstr>
      <vt:lpstr>b</vt:lpstr>
      <vt:lpstr>c</vt:lpstr>
      <vt:lpstr>b!Print_Area</vt:lpstr>
      <vt:lpstr>'c'!Print_Area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Paciorek</dc:creator>
  <cp:keywords/>
  <dc:description/>
  <cp:lastModifiedBy>James Kilbane</cp:lastModifiedBy>
  <cp:revision/>
  <dcterms:created xsi:type="dcterms:W3CDTF">2022-06-16T18:42:55Z</dcterms:created>
  <dcterms:modified xsi:type="dcterms:W3CDTF">2022-09-20T12:58:46Z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0x010100180E6C50716BFC40BF67FFB0DB8DCAB1</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