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ixgroup.sharepoint.com/sites/Regulatory-Kentucky/Shared Documents/Kentucky/WSCKY 2022 Rate Case/Discovery/Staff DR Set 1/DR 49 Excel template spreadsheets/"/>
    </mc:Choice>
  </mc:AlternateContent>
  <xr:revisionPtr revIDLastSave="641" documentId="8_{609EABFB-3F24-422D-9B7E-C21AC6E74960}" xr6:coauthVersionLast="47" xr6:coauthVersionMax="47" xr10:uidLastSave="{B524FA23-EA74-4933-87BD-B8F5E42CF862}"/>
  <bookViews>
    <workbookView xWindow="28680" yWindow="-120" windowWidth="29040" windowHeight="15840" activeTab="1" xr2:uid="{00000000-000D-0000-FFFF-FFFF00000000}"/>
  </bookViews>
  <sheets>
    <sheet name="Cash flow" sheetId="9" r:id="rId1"/>
    <sheet name="Balance Sheet" sheetId="11" r:id="rId2"/>
    <sheet name="IS" sheetId="7" r:id="rId3"/>
    <sheet name="2020 IS" sheetId="10" state="hidden" r:id="rId4"/>
    <sheet name="Data for balance sheet" sheetId="14" r:id="rId5"/>
  </sheets>
  <externalReferences>
    <externalReference r:id="rId6"/>
    <externalReference r:id="rId7"/>
  </externalReferences>
  <definedNames>
    <definedName name="company_title">'[1]Input Schedule'!$C$3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'Balance Sheet'!$A$1:$I$67</definedName>
    <definedName name="_xlnm.Print_Area" localSheetId="0">'Cash flow'!$A$1:$H$44</definedName>
    <definedName name="_xlnm.Print_Area" localSheetId="2">IS!$A$1:$I$76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8" i="11" l="1"/>
  <c r="C68" i="11"/>
  <c r="S62" i="11" l="1"/>
  <c r="S61" i="11"/>
  <c r="S60" i="11"/>
  <c r="S30" i="11"/>
  <c r="S29" i="11"/>
  <c r="S24" i="11"/>
  <c r="S19" i="11"/>
  <c r="S13" i="11"/>
  <c r="S11" i="11"/>
  <c r="F15" i="11" l="1"/>
  <c r="F34" i="11" s="1"/>
  <c r="F22" i="11"/>
  <c r="F66" i="11"/>
  <c r="F27" i="9" l="1"/>
  <c r="G22" i="11"/>
  <c r="F42" i="9"/>
  <c r="G27" i="9"/>
  <c r="G13" i="9"/>
  <c r="I13" i="9"/>
  <c r="F44" i="9" l="1"/>
  <c r="G42" i="9" s="1"/>
  <c r="H22" i="11" s="1"/>
  <c r="G13" i="11"/>
  <c r="F13" i="9"/>
  <c r="H13" i="9"/>
  <c r="F35" i="9"/>
  <c r="F38" i="9" s="1"/>
  <c r="E49" i="11"/>
  <c r="I26" i="7"/>
  <c r="G44" i="9" l="1"/>
  <c r="S22" i="11"/>
  <c r="G24" i="11"/>
  <c r="J30" i="11"/>
  <c r="I30" i="11"/>
  <c r="I29" i="11" l="1"/>
  <c r="J23" i="11"/>
  <c r="P44" i="11"/>
  <c r="Q23" i="11"/>
  <c r="I23" i="11" s="1"/>
  <c r="Q44" i="11"/>
  <c r="H13" i="11"/>
  <c r="D5" i="14"/>
  <c r="J29" i="11" l="1"/>
  <c r="I27" i="9" s="1"/>
  <c r="H27" i="9"/>
  <c r="G23" i="11"/>
  <c r="I13" i="11"/>
  <c r="C15" i="11" l="1"/>
  <c r="D15" i="11"/>
  <c r="F49" i="7"/>
  <c r="E63" i="7"/>
  <c r="F17" i="9"/>
  <c r="E33" i="9"/>
  <c r="G46" i="11"/>
  <c r="E11" i="11" l="1"/>
  <c r="G11" i="11" l="1"/>
  <c r="F68" i="11"/>
  <c r="J61" i="11"/>
  <c r="J60" i="11"/>
  <c r="F25" i="9" l="1"/>
  <c r="H11" i="11"/>
  <c r="G25" i="9" s="1"/>
  <c r="E44" i="9"/>
  <c r="E24" i="11"/>
  <c r="E17" i="9" s="1"/>
  <c r="E30" i="11"/>
  <c r="E26" i="9" s="1"/>
  <c r="E42" i="9"/>
  <c r="E27" i="9"/>
  <c r="H24" i="11" l="1"/>
  <c r="I24" i="11" s="1"/>
  <c r="J24" i="11" s="1"/>
  <c r="E35" i="9"/>
  <c r="F26" i="9" l="1"/>
  <c r="G35" i="9"/>
  <c r="H35" i="9"/>
  <c r="I35" i="9"/>
  <c r="E62" i="11" l="1"/>
  <c r="I49" i="7"/>
  <c r="H49" i="7"/>
  <c r="I42" i="7"/>
  <c r="J13" i="11" s="1"/>
  <c r="J8" i="14"/>
  <c r="J5" i="14"/>
  <c r="G62" i="11" l="1"/>
  <c r="H62" i="11" s="1"/>
  <c r="I62" i="11" s="1"/>
  <c r="J62" i="11" s="1"/>
  <c r="E64" i="11"/>
  <c r="H42" i="9" l="1"/>
  <c r="I22" i="11" s="1"/>
  <c r="I42" i="9" l="1"/>
  <c r="J22" i="11" s="1"/>
  <c r="I44" i="9" s="1"/>
  <c r="H44" i="9"/>
  <c r="H34" i="7" l="1"/>
  <c r="H5" i="14"/>
  <c r="F5" i="14"/>
  <c r="I11" i="11" l="1"/>
  <c r="H64" i="11"/>
  <c r="G64" i="11"/>
  <c r="E48" i="11"/>
  <c r="G48" i="11" s="1"/>
  <c r="H48" i="11" s="1"/>
  <c r="I48" i="11" s="1"/>
  <c r="J48" i="11" s="1"/>
  <c r="E47" i="11"/>
  <c r="G47" i="11" l="1"/>
  <c r="H47" i="11" s="1"/>
  <c r="I47" i="11" s="1"/>
  <c r="J47" i="11" s="1"/>
  <c r="H25" i="9"/>
  <c r="E25" i="9"/>
  <c r="J11" i="11"/>
  <c r="I25" i="9" s="1"/>
  <c r="G12" i="7"/>
  <c r="G13" i="7"/>
  <c r="H13" i="7" s="1"/>
  <c r="I13" i="7" s="1"/>
  <c r="G14" i="7"/>
  <c r="G16" i="7"/>
  <c r="G18" i="7"/>
  <c r="G19" i="7"/>
  <c r="H19" i="7" s="1"/>
  <c r="I19" i="7" s="1"/>
  <c r="G20" i="7"/>
  <c r="H20" i="7" s="1"/>
  <c r="I20" i="7" s="1"/>
  <c r="G23" i="7"/>
  <c r="H23" i="7" s="1"/>
  <c r="I23" i="7" s="1"/>
  <c r="G26" i="7"/>
  <c r="G31" i="7"/>
  <c r="G36" i="7"/>
  <c r="H36" i="7" s="1"/>
  <c r="I36" i="7" s="1"/>
  <c r="G44" i="7"/>
  <c r="G47" i="7"/>
  <c r="G49" i="7"/>
  <c r="G51" i="7"/>
  <c r="G11" i="7"/>
  <c r="H23" i="11" s="1"/>
  <c r="S23" i="11" s="1"/>
  <c r="D12" i="7"/>
  <c r="D13" i="7"/>
  <c r="D14" i="7"/>
  <c r="D16" i="7"/>
  <c r="D18" i="7"/>
  <c r="D19" i="7"/>
  <c r="D20" i="7"/>
  <c r="D23" i="7"/>
  <c r="D26" i="7"/>
  <c r="D31" i="7"/>
  <c r="D36" i="7"/>
  <c r="D44" i="7"/>
  <c r="D45" i="7"/>
  <c r="D46" i="7"/>
  <c r="D47" i="7"/>
  <c r="D48" i="7"/>
  <c r="D49" i="7"/>
  <c r="D51" i="7"/>
  <c r="D52" i="7"/>
  <c r="D11" i="7"/>
  <c r="C16" i="7"/>
  <c r="C18" i="7"/>
  <c r="C19" i="7"/>
  <c r="C20" i="7"/>
  <c r="C21" i="7"/>
  <c r="C22" i="7"/>
  <c r="C23" i="7"/>
  <c r="C24" i="7"/>
  <c r="C25" i="7"/>
  <c r="C26" i="7"/>
  <c r="C27" i="7"/>
  <c r="C29" i="7"/>
  <c r="C31" i="7"/>
  <c r="C32" i="7"/>
  <c r="C33" i="7"/>
  <c r="C34" i="7"/>
  <c r="C35" i="7"/>
  <c r="C36" i="7"/>
  <c r="C37" i="7"/>
  <c r="C38" i="7"/>
  <c r="C40" i="7"/>
  <c r="C42" i="7"/>
  <c r="C43" i="7"/>
  <c r="C44" i="7"/>
  <c r="C45" i="7"/>
  <c r="C46" i="7"/>
  <c r="C47" i="7"/>
  <c r="C48" i="7"/>
  <c r="C49" i="7"/>
  <c r="C50" i="7"/>
  <c r="C51" i="7"/>
  <c r="C52" i="7"/>
  <c r="C54" i="7"/>
  <c r="C56" i="7"/>
  <c r="C58" i="7"/>
  <c r="C12" i="7"/>
  <c r="C13" i="7"/>
  <c r="C14" i="7"/>
  <c r="C11" i="7"/>
  <c r="E38" i="9"/>
  <c r="I7" i="9"/>
  <c r="E7" i="9"/>
  <c r="E13" i="7" l="1"/>
  <c r="E12" i="7"/>
  <c r="E51" i="7"/>
  <c r="F51" i="7" s="1"/>
  <c r="E45" i="7"/>
  <c r="E18" i="7"/>
  <c r="E31" i="7"/>
  <c r="E14" i="7"/>
  <c r="E23" i="11"/>
  <c r="E16" i="7"/>
  <c r="E47" i="7"/>
  <c r="E46" i="7"/>
  <c r="E36" i="7"/>
  <c r="E19" i="7"/>
  <c r="F19" i="7" s="1"/>
  <c r="E20" i="7"/>
  <c r="F20" i="7" s="1"/>
  <c r="H14" i="7"/>
  <c r="E48" i="7"/>
  <c r="F48" i="7" s="1"/>
  <c r="E52" i="7"/>
  <c r="E49" i="7"/>
  <c r="E23" i="7"/>
  <c r="F23" i="7" s="1"/>
  <c r="E11" i="7"/>
  <c r="E26" i="7"/>
  <c r="F26" i="7" s="1"/>
  <c r="E44" i="7"/>
  <c r="E29" i="9"/>
  <c r="E44" i="11" l="1"/>
  <c r="E16" i="9"/>
  <c r="E26" i="11"/>
  <c r="F31" i="7"/>
  <c r="F52" i="7"/>
  <c r="F47" i="7"/>
  <c r="F44" i="7"/>
  <c r="F14" i="7"/>
  <c r="F16" i="7" s="1"/>
  <c r="E56" i="11"/>
  <c r="H17" i="9"/>
  <c r="G17" i="9"/>
  <c r="I14" i="7"/>
  <c r="I16" i="7" s="1"/>
  <c r="H16" i="7"/>
  <c r="E32" i="11"/>
  <c r="F29" i="9"/>
  <c r="F16" i="9" l="1"/>
  <c r="E45" i="11"/>
  <c r="E19" i="9"/>
  <c r="H16" i="9"/>
  <c r="G26" i="11"/>
  <c r="G56" i="11"/>
  <c r="I17" i="9"/>
  <c r="G32" i="11"/>
  <c r="G16" i="9" l="1"/>
  <c r="H26" i="11"/>
  <c r="I16" i="9"/>
  <c r="I26" i="11"/>
  <c r="J26" i="11" l="1"/>
  <c r="I64" i="11" l="1"/>
  <c r="J64" i="11"/>
  <c r="G26" i="9" l="1"/>
  <c r="G29" i="9" s="1"/>
  <c r="H32" i="11" l="1"/>
  <c r="H26" i="9"/>
  <c r="I26" i="9" l="1"/>
  <c r="D42" i="7" l="1"/>
  <c r="E42" i="7" l="1"/>
  <c r="E13" i="11" s="1"/>
  <c r="E15" i="11" s="1"/>
  <c r="G15" i="11" l="1"/>
  <c r="H15" i="11" l="1"/>
  <c r="G60" i="7" s="1"/>
  <c r="G38" i="9" l="1"/>
  <c r="G63" i="7"/>
  <c r="F60" i="7"/>
  <c r="I15" i="11"/>
  <c r="H47" i="7"/>
  <c r="F63" i="7" l="1"/>
  <c r="J15" i="11"/>
  <c r="I47" i="7"/>
  <c r="H60" i="7" l="1"/>
  <c r="I60" i="7"/>
  <c r="I38" i="9" l="1"/>
  <c r="I63" i="7"/>
  <c r="H38" i="9"/>
  <c r="H63" i="7"/>
  <c r="D50" i="7" l="1"/>
  <c r="E50" i="7" s="1"/>
  <c r="F50" i="7" l="1"/>
  <c r="D22" i="7" l="1"/>
  <c r="D35" i="7"/>
  <c r="E35" i="7" s="1"/>
  <c r="D24" i="7"/>
  <c r="E24" i="7" s="1"/>
  <c r="D25" i="7"/>
  <c r="F35" i="7" l="1"/>
  <c r="F24" i="7"/>
  <c r="F22" i="7"/>
  <c r="E22" i="7"/>
  <c r="E25" i="7"/>
  <c r="F25" i="7"/>
  <c r="D43" i="7"/>
  <c r="D27" i="7"/>
  <c r="D33" i="7"/>
  <c r="D34" i="7"/>
  <c r="D37" i="7"/>
  <c r="E37" i="7" s="1"/>
  <c r="F37" i="7" s="1"/>
  <c r="G37" i="7" s="1"/>
  <c r="H37" i="7" s="1"/>
  <c r="I37" i="7" s="1"/>
  <c r="E34" i="7" l="1"/>
  <c r="F34" i="7"/>
  <c r="F27" i="7"/>
  <c r="E27" i="7"/>
  <c r="E17" i="11"/>
  <c r="E34" i="11" s="1"/>
  <c r="E43" i="7"/>
  <c r="G48" i="7"/>
  <c r="F33" i="7"/>
  <c r="E33" i="7"/>
  <c r="D32" i="7"/>
  <c r="D38" i="7"/>
  <c r="E38" i="7" s="1"/>
  <c r="F38" i="7" l="1"/>
  <c r="E32" i="7"/>
  <c r="F32" i="7"/>
  <c r="G35" i="7"/>
  <c r="H35" i="7" s="1"/>
  <c r="I35" i="7" s="1"/>
  <c r="F43" i="7"/>
  <c r="E12" i="9"/>
  <c r="G43" i="7"/>
  <c r="G24" i="7"/>
  <c r="H24" i="7" s="1"/>
  <c r="I24" i="7" s="1"/>
  <c r="G34" i="7"/>
  <c r="I34" i="7" s="1"/>
  <c r="G17" i="11" l="1"/>
  <c r="F12" i="9"/>
  <c r="G32" i="7"/>
  <c r="H32" i="7" s="1"/>
  <c r="I32" i="7" s="1"/>
  <c r="G25" i="7"/>
  <c r="H25" i="7" s="1"/>
  <c r="I25" i="7" s="1"/>
  <c r="G34" i="11" l="1"/>
  <c r="G22" i="7"/>
  <c r="H22" i="7" s="1"/>
  <c r="I22" i="7" s="1"/>
  <c r="H29" i="9"/>
  <c r="I32" i="11"/>
  <c r="F40" i="7"/>
  <c r="G27" i="7"/>
  <c r="H27" i="7" s="1"/>
  <c r="I27" i="7" s="1"/>
  <c r="H17" i="11"/>
  <c r="H34" i="11" s="1"/>
  <c r="S17" i="11" l="1"/>
  <c r="S34" i="11"/>
  <c r="I29" i="9"/>
  <c r="J32" i="11"/>
  <c r="I17" i="11"/>
  <c r="I34" i="11" s="1"/>
  <c r="J17" i="11" l="1"/>
  <c r="J34" i="11" s="1"/>
  <c r="G46" i="7" l="1"/>
  <c r="G45" i="7" l="1"/>
  <c r="G50" i="7" l="1"/>
  <c r="D40" i="7" l="1"/>
  <c r="E40" i="7" s="1"/>
  <c r="D21" i="7" l="1"/>
  <c r="E21" i="7" s="1"/>
  <c r="I21" i="7" l="1"/>
  <c r="H21" i="7"/>
  <c r="G21" i="7"/>
  <c r="F21" i="7"/>
  <c r="F29" i="7" s="1"/>
  <c r="D29" i="7"/>
  <c r="E29" i="7" s="1"/>
  <c r="F54" i="7" l="1"/>
  <c r="F56" i="7" s="1"/>
  <c r="F58" i="7" s="1"/>
  <c r="F65" i="7" s="1"/>
  <c r="F67" i="7" s="1"/>
  <c r="F68" i="7" s="1"/>
  <c r="F70" i="7" s="1"/>
  <c r="F80" i="7"/>
  <c r="G44" i="11" l="1"/>
  <c r="G45" i="11" s="1"/>
  <c r="G52" i="11" s="1"/>
  <c r="F72" i="7"/>
  <c r="F19" i="9" l="1"/>
  <c r="G39" i="11"/>
  <c r="G41" i="11" s="1"/>
  <c r="G66" i="11" s="1"/>
  <c r="G68" i="11" s="1"/>
  <c r="G70" i="11" s="1"/>
  <c r="F9" i="9"/>
  <c r="F20" i="9"/>
  <c r="F22" i="9" s="1"/>
  <c r="F40" i="9" s="1"/>
  <c r="F47" i="9" s="1"/>
  <c r="E46" i="11" l="1"/>
  <c r="D54" i="7"/>
  <c r="E54" i="7" s="1"/>
  <c r="E20" i="9" l="1"/>
  <c r="E52" i="11"/>
  <c r="D56" i="7"/>
  <c r="E56" i="7" s="1"/>
  <c r="D58" i="7" l="1"/>
  <c r="E58" i="7" s="1"/>
  <c r="E65" i="7" s="1"/>
  <c r="E67" i="7" l="1"/>
  <c r="E39" i="11"/>
  <c r="E41" i="11" s="1"/>
  <c r="E9" i="9"/>
  <c r="E22" i="9" s="1"/>
  <c r="E40" i="9" s="1"/>
  <c r="E66" i="11" l="1"/>
  <c r="E68" i="11" s="1"/>
  <c r="E68" i="7"/>
  <c r="E70" i="7" s="1"/>
  <c r="E72" i="7" s="1"/>
  <c r="G38" i="7" l="1"/>
  <c r="H38" i="7" s="1"/>
  <c r="I38" i="7" s="1"/>
  <c r="G40" i="7"/>
  <c r="I40" i="7" l="1"/>
  <c r="H40" i="7"/>
  <c r="G29" i="7" l="1"/>
  <c r="G80" i="7" s="1"/>
  <c r="I29" i="7" l="1"/>
  <c r="H29" i="7"/>
  <c r="H80" i="7" l="1"/>
  <c r="I80" i="7"/>
  <c r="H46" i="11" l="1"/>
  <c r="I46" i="11" l="1"/>
  <c r="J46" i="11" l="1"/>
  <c r="G52" i="7" l="1"/>
  <c r="H56" i="11" l="1"/>
  <c r="H52" i="7"/>
  <c r="G12" i="9"/>
  <c r="H12" i="9" l="1"/>
  <c r="I52" i="7"/>
  <c r="H54" i="7"/>
  <c r="H56" i="7" s="1"/>
  <c r="I56" i="11"/>
  <c r="J56" i="11" s="1"/>
  <c r="S56" i="11"/>
  <c r="H58" i="7" l="1"/>
  <c r="H65" i="7" s="1"/>
  <c r="H67" i="7" s="1"/>
  <c r="H68" i="7" s="1"/>
  <c r="H70" i="7" s="1"/>
  <c r="H72" i="7" s="1"/>
  <c r="H9" i="9" s="1"/>
  <c r="I44" i="11"/>
  <c r="I12" i="9"/>
  <c r="I54" i="7"/>
  <c r="I56" i="7" s="1"/>
  <c r="J44" i="11" l="1"/>
  <c r="I58" i="7"/>
  <c r="I65" i="7" s="1"/>
  <c r="I67" i="7" l="1"/>
  <c r="I68" i="7" s="1"/>
  <c r="I70" i="7" s="1"/>
  <c r="I72" i="7" s="1"/>
  <c r="I9" i="9" s="1"/>
  <c r="I19" i="9"/>
  <c r="G54" i="7" l="1"/>
  <c r="G56" i="7" l="1"/>
  <c r="H44" i="11" s="1"/>
  <c r="G19" i="9" l="1"/>
  <c r="H45" i="11"/>
  <c r="H19" i="9"/>
  <c r="G58" i="7"/>
  <c r="G65" i="7" s="1"/>
  <c r="G67" i="7" l="1"/>
  <c r="G68" i="7"/>
  <c r="G70" i="7" s="1"/>
  <c r="G72" i="7" s="1"/>
  <c r="H52" i="11"/>
  <c r="G20" i="9"/>
  <c r="I45" i="11"/>
  <c r="J45" i="11" l="1"/>
  <c r="H20" i="9"/>
  <c r="H22" i="9" s="1"/>
  <c r="H40" i="9" s="1"/>
  <c r="H47" i="9" s="1"/>
  <c r="I52" i="11"/>
  <c r="H39" i="11"/>
  <c r="G9" i="9"/>
  <c r="G22" i="9" s="1"/>
  <c r="G40" i="9" s="1"/>
  <c r="G47" i="9" s="1"/>
  <c r="I39" i="11" l="1"/>
  <c r="H41" i="11"/>
  <c r="H66" i="11" s="1"/>
  <c r="I20" i="9"/>
  <c r="I22" i="9" s="1"/>
  <c r="I40" i="9" s="1"/>
  <c r="I47" i="9" s="1"/>
  <c r="J52" i="11"/>
  <c r="H68" i="11" l="1"/>
  <c r="H70" i="11" s="1"/>
  <c r="M69" i="11"/>
  <c r="J39" i="11"/>
  <c r="J41" i="11" s="1"/>
  <c r="J66" i="11" s="1"/>
  <c r="J68" i="11" s="1"/>
  <c r="J70" i="11" s="1"/>
  <c r="I41" i="11"/>
  <c r="I66" i="11" s="1"/>
  <c r="I68" i="11" s="1"/>
  <c r="I70" i="11" s="1"/>
</calcChain>
</file>

<file path=xl/sharedStrings.xml><?xml version="1.0" encoding="utf-8"?>
<sst xmlns="http://schemas.openxmlformats.org/spreadsheetml/2006/main" count="341" uniqueCount="176">
  <si>
    <t>Community Utilities of Indiana, Inc.</t>
  </si>
  <si>
    <t>Accrued Liabilities</t>
  </si>
  <si>
    <t>Total</t>
  </si>
  <si>
    <t>Other Current Assets</t>
  </si>
  <si>
    <t>Other Non-Current Assets</t>
  </si>
  <si>
    <t>TOTAL ASSETS</t>
  </si>
  <si>
    <t xml:space="preserve"> -   </t>
  </si>
  <si>
    <t>A</t>
  </si>
  <si>
    <t>B</t>
  </si>
  <si>
    <t>Line No.</t>
  </si>
  <si>
    <t>Operating Revenues</t>
  </si>
  <si>
    <t>Service Revenues - Water</t>
  </si>
  <si>
    <t>Service Revenues - Sewer</t>
  </si>
  <si>
    <t>Purchase Water Revenue</t>
  </si>
  <si>
    <t>Miscellaneous Revenues</t>
  </si>
  <si>
    <t>Uncollectible Accounts</t>
  </si>
  <si>
    <t>Total Operating Revenues</t>
  </si>
  <si>
    <t>Maintenance Expenses</t>
  </si>
  <si>
    <t>Salaries and Wages</t>
  </si>
  <si>
    <t>Purchase Water/Sewer</t>
  </si>
  <si>
    <t>Purchased Power</t>
  </si>
  <si>
    <t>Maintenance and Repair</t>
  </si>
  <si>
    <t>Maintenance Testing</t>
  </si>
  <si>
    <t>Meter Reading</t>
  </si>
  <si>
    <t>Chemicals</t>
  </si>
  <si>
    <t>Transportation</t>
  </si>
  <si>
    <t>Operating Exp. Charged to Plant</t>
  </si>
  <si>
    <t>Outside Services - Other</t>
  </si>
  <si>
    <t xml:space="preserve">Total </t>
  </si>
  <si>
    <t>General Expenses</t>
  </si>
  <si>
    <t>Office Supplies &amp; Other Office Exp.</t>
  </si>
  <si>
    <t>Pension &amp; Other Benefits</t>
  </si>
  <si>
    <t>Rent</t>
  </si>
  <si>
    <t>Insurance</t>
  </si>
  <si>
    <t>Office Utilities</t>
  </si>
  <si>
    <t>Miscellaneous</t>
  </si>
  <si>
    <t>Corporate Overhead Allocation</t>
  </si>
  <si>
    <t>Depreciation</t>
  </si>
  <si>
    <t>Amortization of PAA</t>
  </si>
  <si>
    <t>Taxes Other Than Income</t>
  </si>
  <si>
    <t>Income Taxes - Federal</t>
  </si>
  <si>
    <t>Income Taxes - State</t>
  </si>
  <si>
    <t>Amortization of Income Tax Credit</t>
  </si>
  <si>
    <t>Amortization of CIAC</t>
  </si>
  <si>
    <t>Total Operating Expenses</t>
  </si>
  <si>
    <t>Net Operating Income</t>
  </si>
  <si>
    <t>Interest During Construction</t>
  </si>
  <si>
    <t>Interest on Debt</t>
  </si>
  <si>
    <t>Other Income</t>
  </si>
  <si>
    <t>Net Income</t>
  </si>
  <si>
    <t>Water Operations</t>
  </si>
  <si>
    <t>Regulatory Expense</t>
  </si>
  <si>
    <t>Rate Case Expense</t>
  </si>
  <si>
    <t xml:space="preserve">Amortization of CIAC </t>
  </si>
  <si>
    <t>Sewer Operations</t>
  </si>
  <si>
    <t>Adjustments to reconcile net income to net cash</t>
  </si>
  <si>
    <t>(used in) provided by operating activities:</t>
  </si>
  <si>
    <t>Depreciation &amp; Amortization</t>
  </si>
  <si>
    <t>(Increase) Decrease in:</t>
  </si>
  <si>
    <t>Accounts Receivable</t>
  </si>
  <si>
    <t>Prepaid Expenses &amp; Other Assets</t>
  </si>
  <si>
    <t xml:space="preserve">Increase (decrease) in </t>
  </si>
  <si>
    <t>Accounts Payable</t>
  </si>
  <si>
    <t>NET CASH (USED IN) PROVIDED BY OPERATING ACTIVITIES</t>
  </si>
  <si>
    <t>CASH FLOWS FROM INVESTING ACTIVITIES</t>
  </si>
  <si>
    <t>Purchases of property, plant and equipment</t>
  </si>
  <si>
    <t>NET CASH USED IN INVESTING ACTIVITIES</t>
  </si>
  <si>
    <t>CASH FLOWS FROM FINANCING ACTIVITIES</t>
  </si>
  <si>
    <t>Payment of loan financing costs</t>
  </si>
  <si>
    <t>Drawdown of Credit Facility</t>
  </si>
  <si>
    <t>NET CASH USED IN FINANCING ACTIVITIES</t>
  </si>
  <si>
    <t>NET INCREASE (DECREASE) IN CASH</t>
  </si>
  <si>
    <t>CASH, Beginning of Period</t>
  </si>
  <si>
    <t>CASH, End of Period</t>
  </si>
  <si>
    <t>Combined Operations Income Statement</t>
  </si>
  <si>
    <t>Base Year Ending September 30, 2020</t>
  </si>
  <si>
    <t>Payment of Deferred Charges</t>
  </si>
  <si>
    <t>Non- operating income</t>
  </si>
  <si>
    <t>Purchase non-current assets</t>
  </si>
  <si>
    <t>ASSETS:</t>
  </si>
  <si>
    <t>Capital Stock and Retained Earnings:</t>
  </si>
  <si>
    <t>Common Stock and Paid In Capital</t>
  </si>
  <si>
    <t>Retained Earnings</t>
  </si>
  <si>
    <t>Current and Accrued Liabilities:</t>
  </si>
  <si>
    <t>Taxes Accrued</t>
  </si>
  <si>
    <t>Customer Deposits</t>
  </si>
  <si>
    <t>Net Utility Plant</t>
  </si>
  <si>
    <t>Customer Deposits - Interest</t>
  </si>
  <si>
    <t>A/P - Assoc. Companies</t>
  </si>
  <si>
    <t>Deferred Revenue</t>
  </si>
  <si>
    <t>Current Assets:</t>
  </si>
  <si>
    <t>Cash</t>
  </si>
  <si>
    <t>Accounts Receivable - Net</t>
  </si>
  <si>
    <t>Other Liabilities:</t>
  </si>
  <si>
    <t>Unamortized ITC</t>
  </si>
  <si>
    <t>Non-Current Assets:</t>
  </si>
  <si>
    <t>Deferred Tax - Federal</t>
  </si>
  <si>
    <t>Deferred Charges</t>
  </si>
  <si>
    <t>Deferred Tax - State</t>
  </si>
  <si>
    <t>Other Non Current Liabilities</t>
  </si>
  <si>
    <t>Purchased Water / Sewer</t>
  </si>
  <si>
    <t>Regulatory Commission Exp.</t>
  </si>
  <si>
    <t>Payroll Taxes</t>
  </si>
  <si>
    <t>Franchise Tax</t>
  </si>
  <si>
    <t>Gross Receipts Tax</t>
  </si>
  <si>
    <t>Property Taxes</t>
  </si>
  <si>
    <t>Special Assessments</t>
  </si>
  <si>
    <t>Utility/Commission Tax</t>
  </si>
  <si>
    <t>Other General Taxes</t>
  </si>
  <si>
    <t>Amortization of ITC</t>
  </si>
  <si>
    <t>Forecasted</t>
  </si>
  <si>
    <t>Actual</t>
  </si>
  <si>
    <t>Check should be zero</t>
  </si>
  <si>
    <t>Base Period</t>
  </si>
  <si>
    <t>YTD spend</t>
  </si>
  <si>
    <t>Retirement</t>
  </si>
  <si>
    <t>Accrued Expenses and other</t>
  </si>
  <si>
    <t>Interest Expense</t>
  </si>
  <si>
    <t>AFUDC</t>
  </si>
  <si>
    <t>Total Income Taxes</t>
  </si>
  <si>
    <t>From Exhibit 28 Schedule A</t>
  </si>
  <si>
    <t>Description</t>
  </si>
  <si>
    <t>Water Service Corporation of Kentucky</t>
  </si>
  <si>
    <t>Case No. 2022-00147</t>
  </si>
  <si>
    <t>Income Statement</t>
  </si>
  <si>
    <t>Exhibit 14</t>
  </si>
  <si>
    <t>Balance Sheet</t>
  </si>
  <si>
    <t>Plant In Service</t>
  </si>
  <si>
    <t>Accumulated Depreciation</t>
  </si>
  <si>
    <t>Advances In Aid of Construction</t>
  </si>
  <si>
    <t>Contributions In Aid of Construction</t>
  </si>
  <si>
    <t>Plant Acquisition Adjustment</t>
  </si>
  <si>
    <t>Construction Work In Process</t>
  </si>
  <si>
    <t>Cap in-service</t>
  </si>
  <si>
    <t>from Exhibit 28 Schedule A</t>
  </si>
  <si>
    <t>Remove Base Year deferred maintenance, add forecasted in Exhibit 28 Schedule A</t>
  </si>
  <si>
    <t>2025 = phase 2 of AMI, 2024 per budget</t>
  </si>
  <si>
    <t>forecasted in Exhibit 28 Schedule A</t>
  </si>
  <si>
    <t>7.5% assumption per insurance support workpaper</t>
  </si>
  <si>
    <t>Financial Statements - 2022-2024, Income Statement for 2025</t>
  </si>
  <si>
    <t>Cash Flow</t>
  </si>
  <si>
    <t>additions</t>
  </si>
  <si>
    <t>ROY 2022</t>
  </si>
  <si>
    <t>2021 Ann. Rpt</t>
  </si>
  <si>
    <t>Revenue</t>
  </si>
  <si>
    <t>O&amp;M/TOTI</t>
  </si>
  <si>
    <t>inventory, sp dep, misc recv'bles</t>
  </si>
  <si>
    <t>non-current Asset account 194006, see Exhibit 29 Schedule C</t>
  </si>
  <si>
    <t>from Exhibit 10.  2025 = Phase 1 AFUDC in 2023</t>
  </si>
  <si>
    <t>EQUITY:</t>
  </si>
  <si>
    <t>TOTAL LIABILITIES AND EQUITY</t>
  </si>
  <si>
    <t>Proceeds (payment) of long term debt</t>
  </si>
  <si>
    <t>interest sync</t>
  </si>
  <si>
    <t>Allowance for Funds Used During Construction</t>
  </si>
  <si>
    <t>CASH FLOWS FROM OPERATING ACTIVITIES</t>
  </si>
  <si>
    <t>Funds from Parent</t>
  </si>
  <si>
    <t>Deferred Income Taxes</t>
  </si>
  <si>
    <t>Total Other Deductions/(Income)</t>
  </si>
  <si>
    <t>Total Taxable Income</t>
  </si>
  <si>
    <t>Total Other Expenses</t>
  </si>
  <si>
    <t>Total General Expenses</t>
  </si>
  <si>
    <t>Total Maintenance Expenses</t>
  </si>
  <si>
    <t>Year Ended</t>
  </si>
  <si>
    <t>Exhibit 15</t>
  </si>
  <si>
    <t>Exhibit 16</t>
  </si>
  <si>
    <t>Note:</t>
  </si>
  <si>
    <t>This exhibit reflects present rate revenue requirements.  See Exhibits No. 27, 29, and 29 for the Base and Forecast Period revenue requirements.</t>
  </si>
  <si>
    <t>Financial forecast for each of 3 forecasted years included in capital construction budget supported by underlying assumptions made in projecting results of operations and including the following information:</t>
  </si>
  <si>
    <t>Requirement:</t>
  </si>
  <si>
    <t>Operating income statement (exclusive of dividends per share or earnings per share);</t>
  </si>
  <si>
    <t>Revenue requirements necessary to support the forecasted rate of return;</t>
  </si>
  <si>
    <t>balance sheet</t>
  </si>
  <si>
    <t>cash flow statement</t>
  </si>
  <si>
    <t>Cash Working Capital calculation for Exhibit 20</t>
  </si>
  <si>
    <t>Avg 2023</t>
  </si>
  <si>
    <t>For Exh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</si>
</sst>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  <numFmt numFmtId="165" formatCode="#,##0\ ;\(#,##0\)"/>
    <numFmt numFmtId="166" formatCode="_(* #,##0_);_(* \(#,##0\);_(* &quot;-&quot;??_);_(@_)"/>
    <numFmt numFmtId="167" formatCode="[$-409]mmm\-yy;@"/>
    <numFmt numFmtId="168" formatCode="0.0%"/>
    <numFmt numFmtId="169" formatCode="#,##0.00;\(#,##0.00\)"/>
    <numFmt numFmtId="170" formatCode="&quot;$&quot;#,##0.00;\(&quot;$&quot;#,##0.00\)"/>
    <numFmt numFmtId="171" formatCode="###0.0%;\(###0.0%\)"/>
    <numFmt numFmtId="172" formatCode="_-* #,##0.00_-;\-* #,##0.00_-;_-* &quot;-&quot;??_-;_-@_-"/>
    <numFmt numFmtId="173" formatCode="_-&quot;$&quot;* #,##0.00_-;\-&quot;$&quot;* #,##0.00_-;_-&quot;$&quot;* &quot;-&quot;??_-;_-@_-"/>
    <numFmt numFmtId="174" formatCode="[$-409]mmmm\-yy;@"/>
    <numFmt numFmtId="175" formatCode="#########"/>
    <numFmt numFmtId="176" formatCode="##"/>
    <numFmt numFmtId="177" formatCode="mm/dd/yy"/>
    <numFmt numFmtId="178" formatCode="mm/yy"/>
    <numFmt numFmtId="179" formatCode="_([$€-2]* #,##0.00_);_([$€-2]* \(#,##0.00\);_([$€-2]* &quot;-&quot;??_)"/>
    <numFmt numFmtId="180" formatCode="_(&quot;$&quot;* #,##0_);_(&quot;$&quot;* \(#,##0\);_(&quot;$&quot;* &quot;-&quot;??_);_(@_)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0"/>
      <color theme="1"/>
      <name val="Segoe UI"/>
      <family val="2"/>
    </font>
    <font>
      <sz val="10"/>
      <color rgb="FFFF0000"/>
      <name val="Book Antiqua"/>
      <family val="1"/>
    </font>
    <font>
      <b/>
      <sz val="10"/>
      <color rgb="FFFF0000"/>
      <name val="Book Antiqua"/>
      <family val="1"/>
    </font>
    <font>
      <sz val="12"/>
      <color theme="1"/>
      <name val="Calibri"/>
      <family val="2"/>
      <scheme val="minor"/>
    </font>
    <font>
      <sz val="10"/>
      <color indexed="0"/>
      <name val="Arial"/>
      <family val="2"/>
    </font>
    <font>
      <u/>
      <sz val="10"/>
      <color theme="10"/>
      <name val="Segoe UI"/>
      <family val="2"/>
    </font>
    <font>
      <sz val="10"/>
      <name val="Arial"/>
      <family val="2"/>
    </font>
    <font>
      <sz val="10"/>
      <color indexed="0"/>
      <name val="Times New Roman"/>
      <family val="1"/>
    </font>
    <font>
      <b/>
      <sz val="10"/>
      <color indexed="0"/>
      <name val="Times New Roman"/>
      <family val="1"/>
    </font>
    <font>
      <b/>
      <sz val="12"/>
      <color indexed="0"/>
      <name val="Times New Roman"/>
      <family val="1"/>
    </font>
    <font>
      <sz val="12"/>
      <color indexed="0"/>
      <name val="Times New Roman"/>
      <family val="1"/>
    </font>
    <font>
      <sz val="10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Geneva"/>
    </font>
    <font>
      <sz val="10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Book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sz val="12"/>
      <name val="Arial MT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ourie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Book Antiqua"/>
      <family val="1"/>
    </font>
  </fonts>
  <fills count="5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5">
    <xf numFmtId="0" fontId="0" fillId="0" borderId="0"/>
    <xf numFmtId="164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0" fillId="0" borderId="0"/>
    <xf numFmtId="170" fontId="10" fillId="0" borderId="0"/>
    <xf numFmtId="171" fontId="10" fillId="0" borderId="0"/>
    <xf numFmtId="0" fontId="11" fillId="0" borderId="0" applyNumberFormat="0" applyFill="0" applyBorder="0" applyAlignment="0" applyProtection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0" fontId="10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44" fontId="1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0" fontId="2" fillId="0" borderId="0"/>
    <xf numFmtId="167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4" fontId="2" fillId="0" borderId="0"/>
    <xf numFmtId="174" fontId="2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75" fontId="35" fillId="0" borderId="0"/>
    <xf numFmtId="167" fontId="1" fillId="10" borderId="0" applyNumberFormat="0" applyBorder="0" applyAlignment="0" applyProtection="0"/>
    <xf numFmtId="0" fontId="36" fillId="33" borderId="0" applyNumberFormat="0" applyBorder="0" applyAlignment="0" applyProtection="0"/>
    <xf numFmtId="167" fontId="1" fillId="10" borderId="0" applyNumberFormat="0" applyBorder="0" applyAlignment="0" applyProtection="0"/>
    <xf numFmtId="0" fontId="36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4" borderId="0" applyNumberFormat="0" applyBorder="0" applyAlignment="0" applyProtection="0"/>
    <xf numFmtId="0" fontId="36" fillId="34" borderId="0" applyNumberFormat="0" applyBorder="0" applyAlignment="0" applyProtection="0"/>
    <xf numFmtId="167" fontId="1" fillId="14" borderId="0" applyNumberFormat="0" applyBorder="0" applyAlignment="0" applyProtection="0"/>
    <xf numFmtId="0" fontId="36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8" borderId="0" applyNumberFormat="0" applyBorder="0" applyAlignment="0" applyProtection="0"/>
    <xf numFmtId="0" fontId="36" fillId="35" borderId="0" applyNumberFormat="0" applyBorder="0" applyAlignment="0" applyProtection="0"/>
    <xf numFmtId="167" fontId="1" fillId="18" borderId="0" applyNumberFormat="0" applyBorder="0" applyAlignment="0" applyProtection="0"/>
    <xf numFmtId="0" fontId="36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22" borderId="0" applyNumberFormat="0" applyBorder="0" applyAlignment="0" applyProtection="0"/>
    <xf numFmtId="0" fontId="36" fillId="36" borderId="0" applyNumberFormat="0" applyBorder="0" applyAlignment="0" applyProtection="0"/>
    <xf numFmtId="167" fontId="1" fillId="22" borderId="0" applyNumberFormat="0" applyBorder="0" applyAlignment="0" applyProtection="0"/>
    <xf numFmtId="0" fontId="36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6" borderId="0" applyNumberFormat="0" applyBorder="0" applyAlignment="0" applyProtection="0"/>
    <xf numFmtId="0" fontId="36" fillId="37" borderId="0" applyNumberFormat="0" applyBorder="0" applyAlignment="0" applyProtection="0"/>
    <xf numFmtId="167" fontId="1" fillId="26" borderId="0" applyNumberFormat="0" applyBorder="0" applyAlignment="0" applyProtection="0"/>
    <xf numFmtId="0" fontId="36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30" borderId="0" applyNumberFormat="0" applyBorder="0" applyAlignment="0" applyProtection="0"/>
    <xf numFmtId="0" fontId="36" fillId="38" borderId="0" applyNumberFormat="0" applyBorder="0" applyAlignment="0" applyProtection="0"/>
    <xf numFmtId="167" fontId="1" fillId="30" borderId="0" applyNumberFormat="0" applyBorder="0" applyAlignment="0" applyProtection="0"/>
    <xf numFmtId="0" fontId="36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11" borderId="0" applyNumberFormat="0" applyBorder="0" applyAlignment="0" applyProtection="0"/>
    <xf numFmtId="0" fontId="36" fillId="39" borderId="0" applyNumberFormat="0" applyBorder="0" applyAlignment="0" applyProtection="0"/>
    <xf numFmtId="167" fontId="1" fillId="11" borderId="0" applyNumberFormat="0" applyBorder="0" applyAlignment="0" applyProtection="0"/>
    <xf numFmtId="0" fontId="36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5" borderId="0" applyNumberFormat="0" applyBorder="0" applyAlignment="0" applyProtection="0"/>
    <xf numFmtId="0" fontId="36" fillId="40" borderId="0" applyNumberFormat="0" applyBorder="0" applyAlignment="0" applyProtection="0"/>
    <xf numFmtId="167" fontId="1" fillId="15" borderId="0" applyNumberFormat="0" applyBorder="0" applyAlignment="0" applyProtection="0"/>
    <xf numFmtId="0" fontId="36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9" borderId="0" applyNumberFormat="0" applyBorder="0" applyAlignment="0" applyProtection="0"/>
    <xf numFmtId="0" fontId="36" fillId="41" borderId="0" applyNumberFormat="0" applyBorder="0" applyAlignment="0" applyProtection="0"/>
    <xf numFmtId="167" fontId="1" fillId="19" borderId="0" applyNumberFormat="0" applyBorder="0" applyAlignment="0" applyProtection="0"/>
    <xf numFmtId="0" fontId="36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23" borderId="0" applyNumberFormat="0" applyBorder="0" applyAlignment="0" applyProtection="0"/>
    <xf numFmtId="0" fontId="36" fillId="36" borderId="0" applyNumberFormat="0" applyBorder="0" applyAlignment="0" applyProtection="0"/>
    <xf numFmtId="167" fontId="1" fillId="23" borderId="0" applyNumberFormat="0" applyBorder="0" applyAlignment="0" applyProtection="0"/>
    <xf numFmtId="0" fontId="36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7" borderId="0" applyNumberFormat="0" applyBorder="0" applyAlignment="0" applyProtection="0"/>
    <xf numFmtId="0" fontId="36" fillId="39" borderId="0" applyNumberFormat="0" applyBorder="0" applyAlignment="0" applyProtection="0"/>
    <xf numFmtId="167" fontId="1" fillId="27" borderId="0" applyNumberFormat="0" applyBorder="0" applyAlignment="0" applyProtection="0"/>
    <xf numFmtId="0" fontId="36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31" borderId="0" applyNumberFormat="0" applyBorder="0" applyAlignment="0" applyProtection="0"/>
    <xf numFmtId="0" fontId="36" fillId="42" borderId="0" applyNumberFormat="0" applyBorder="0" applyAlignment="0" applyProtection="0"/>
    <xf numFmtId="167" fontId="1" fillId="31" borderId="0" applyNumberFormat="0" applyBorder="0" applyAlignment="0" applyProtection="0"/>
    <xf numFmtId="0" fontId="36" fillId="42" borderId="0" applyNumberFormat="0" applyBorder="0" applyAlignment="0" applyProtection="0"/>
    <xf numFmtId="167" fontId="1" fillId="31" borderId="0" applyNumberFormat="0" applyBorder="0" applyAlignment="0" applyProtection="0"/>
    <xf numFmtId="167" fontId="31" fillId="12" borderId="0" applyNumberFormat="0" applyBorder="0" applyAlignment="0" applyProtection="0"/>
    <xf numFmtId="0" fontId="37" fillId="43" borderId="0" applyNumberFormat="0" applyBorder="0" applyAlignment="0" applyProtection="0"/>
    <xf numFmtId="167" fontId="31" fillId="12" borderId="0" applyNumberFormat="0" applyBorder="0" applyAlignment="0" applyProtection="0"/>
    <xf numFmtId="0" fontId="37" fillId="43" borderId="0" applyNumberFormat="0" applyBorder="0" applyAlignment="0" applyProtection="0"/>
    <xf numFmtId="167" fontId="31" fillId="12" borderId="0" applyNumberFormat="0" applyBorder="0" applyAlignment="0" applyProtection="0"/>
    <xf numFmtId="167" fontId="31" fillId="16" borderId="0" applyNumberFormat="0" applyBorder="0" applyAlignment="0" applyProtection="0"/>
    <xf numFmtId="0" fontId="37" fillId="40" borderId="0" applyNumberFormat="0" applyBorder="0" applyAlignment="0" applyProtection="0"/>
    <xf numFmtId="167" fontId="31" fillId="16" borderId="0" applyNumberFormat="0" applyBorder="0" applyAlignment="0" applyProtection="0"/>
    <xf numFmtId="0" fontId="37" fillId="40" borderId="0" applyNumberFormat="0" applyBorder="0" applyAlignment="0" applyProtection="0"/>
    <xf numFmtId="167" fontId="31" fillId="16" borderId="0" applyNumberFormat="0" applyBorder="0" applyAlignment="0" applyProtection="0"/>
    <xf numFmtId="167" fontId="31" fillId="20" borderId="0" applyNumberFormat="0" applyBorder="0" applyAlignment="0" applyProtection="0"/>
    <xf numFmtId="0" fontId="37" fillId="41" borderId="0" applyNumberFormat="0" applyBorder="0" applyAlignment="0" applyProtection="0"/>
    <xf numFmtId="167" fontId="31" fillId="20" borderId="0" applyNumberFormat="0" applyBorder="0" applyAlignment="0" applyProtection="0"/>
    <xf numFmtId="0" fontId="37" fillId="41" borderId="0" applyNumberFormat="0" applyBorder="0" applyAlignment="0" applyProtection="0"/>
    <xf numFmtId="167" fontId="31" fillId="20" borderId="0" applyNumberFormat="0" applyBorder="0" applyAlignment="0" applyProtection="0"/>
    <xf numFmtId="167" fontId="31" fillId="24" borderId="0" applyNumberFormat="0" applyBorder="0" applyAlignment="0" applyProtection="0"/>
    <xf numFmtId="0" fontId="37" fillId="44" borderId="0" applyNumberFormat="0" applyBorder="0" applyAlignment="0" applyProtection="0"/>
    <xf numFmtId="167" fontId="31" fillId="24" borderId="0" applyNumberFormat="0" applyBorder="0" applyAlignment="0" applyProtection="0"/>
    <xf numFmtId="0" fontId="37" fillId="44" borderId="0" applyNumberFormat="0" applyBorder="0" applyAlignment="0" applyProtection="0"/>
    <xf numFmtId="167" fontId="31" fillId="24" borderId="0" applyNumberFormat="0" applyBorder="0" applyAlignment="0" applyProtection="0"/>
    <xf numFmtId="167" fontId="31" fillId="28" borderId="0" applyNumberFormat="0" applyBorder="0" applyAlignment="0" applyProtection="0"/>
    <xf numFmtId="0" fontId="37" fillId="45" borderId="0" applyNumberFormat="0" applyBorder="0" applyAlignment="0" applyProtection="0"/>
    <xf numFmtId="167" fontId="31" fillId="28" borderId="0" applyNumberFormat="0" applyBorder="0" applyAlignment="0" applyProtection="0"/>
    <xf numFmtId="0" fontId="37" fillId="45" borderId="0" applyNumberFormat="0" applyBorder="0" applyAlignment="0" applyProtection="0"/>
    <xf numFmtId="167" fontId="31" fillId="28" borderId="0" applyNumberFormat="0" applyBorder="0" applyAlignment="0" applyProtection="0"/>
    <xf numFmtId="167" fontId="31" fillId="32" borderId="0" applyNumberFormat="0" applyBorder="0" applyAlignment="0" applyProtection="0"/>
    <xf numFmtId="0" fontId="37" fillId="46" borderId="0" applyNumberFormat="0" applyBorder="0" applyAlignment="0" applyProtection="0"/>
    <xf numFmtId="167" fontId="31" fillId="32" borderId="0" applyNumberFormat="0" applyBorder="0" applyAlignment="0" applyProtection="0"/>
    <xf numFmtId="0" fontId="37" fillId="46" borderId="0" applyNumberFormat="0" applyBorder="0" applyAlignment="0" applyProtection="0"/>
    <xf numFmtId="167" fontId="31" fillId="32" borderId="0" applyNumberFormat="0" applyBorder="0" applyAlignment="0" applyProtection="0"/>
    <xf numFmtId="167" fontId="31" fillId="9" borderId="0" applyNumberFormat="0" applyBorder="0" applyAlignment="0" applyProtection="0"/>
    <xf numFmtId="0" fontId="37" fillId="47" borderId="0" applyNumberFormat="0" applyBorder="0" applyAlignment="0" applyProtection="0"/>
    <xf numFmtId="167" fontId="31" fillId="9" borderId="0" applyNumberFormat="0" applyBorder="0" applyAlignment="0" applyProtection="0"/>
    <xf numFmtId="0" fontId="37" fillId="47" borderId="0" applyNumberFormat="0" applyBorder="0" applyAlignment="0" applyProtection="0"/>
    <xf numFmtId="167" fontId="31" fillId="9" borderId="0" applyNumberFormat="0" applyBorder="0" applyAlignment="0" applyProtection="0"/>
    <xf numFmtId="167" fontId="31" fillId="13" borderId="0" applyNumberFormat="0" applyBorder="0" applyAlignment="0" applyProtection="0"/>
    <xf numFmtId="0" fontId="37" fillId="48" borderId="0" applyNumberFormat="0" applyBorder="0" applyAlignment="0" applyProtection="0"/>
    <xf numFmtId="167" fontId="31" fillId="13" borderId="0" applyNumberFormat="0" applyBorder="0" applyAlignment="0" applyProtection="0"/>
    <xf numFmtId="0" fontId="37" fillId="48" borderId="0" applyNumberFormat="0" applyBorder="0" applyAlignment="0" applyProtection="0"/>
    <xf numFmtId="167" fontId="31" fillId="13" borderId="0" applyNumberFormat="0" applyBorder="0" applyAlignment="0" applyProtection="0"/>
    <xf numFmtId="167" fontId="31" fillId="17" borderId="0" applyNumberFormat="0" applyBorder="0" applyAlignment="0" applyProtection="0"/>
    <xf numFmtId="0" fontId="37" fillId="49" borderId="0" applyNumberFormat="0" applyBorder="0" applyAlignment="0" applyProtection="0"/>
    <xf numFmtId="167" fontId="31" fillId="17" borderId="0" applyNumberFormat="0" applyBorder="0" applyAlignment="0" applyProtection="0"/>
    <xf numFmtId="0" fontId="37" fillId="49" borderId="0" applyNumberFormat="0" applyBorder="0" applyAlignment="0" applyProtection="0"/>
    <xf numFmtId="167" fontId="31" fillId="17" borderId="0" applyNumberFormat="0" applyBorder="0" applyAlignment="0" applyProtection="0"/>
    <xf numFmtId="167" fontId="31" fillId="21" borderId="0" applyNumberFormat="0" applyBorder="0" applyAlignment="0" applyProtection="0"/>
    <xf numFmtId="0" fontId="37" fillId="44" borderId="0" applyNumberFormat="0" applyBorder="0" applyAlignment="0" applyProtection="0"/>
    <xf numFmtId="167" fontId="31" fillId="21" borderId="0" applyNumberFormat="0" applyBorder="0" applyAlignment="0" applyProtection="0"/>
    <xf numFmtId="0" fontId="37" fillId="44" borderId="0" applyNumberFormat="0" applyBorder="0" applyAlignment="0" applyProtection="0"/>
    <xf numFmtId="167" fontId="31" fillId="21" borderId="0" applyNumberFormat="0" applyBorder="0" applyAlignment="0" applyProtection="0"/>
    <xf numFmtId="167" fontId="31" fillId="25" borderId="0" applyNumberFormat="0" applyBorder="0" applyAlignment="0" applyProtection="0"/>
    <xf numFmtId="0" fontId="37" fillId="45" borderId="0" applyNumberFormat="0" applyBorder="0" applyAlignment="0" applyProtection="0"/>
    <xf numFmtId="167" fontId="31" fillId="25" borderId="0" applyNumberFormat="0" applyBorder="0" applyAlignment="0" applyProtection="0"/>
    <xf numFmtId="0" fontId="37" fillId="45" borderId="0" applyNumberFormat="0" applyBorder="0" applyAlignment="0" applyProtection="0"/>
    <xf numFmtId="167" fontId="31" fillId="25" borderId="0" applyNumberFormat="0" applyBorder="0" applyAlignment="0" applyProtection="0"/>
    <xf numFmtId="167" fontId="31" fillId="29" borderId="0" applyNumberFormat="0" applyBorder="0" applyAlignment="0" applyProtection="0"/>
    <xf numFmtId="0" fontId="37" fillId="50" borderId="0" applyNumberFormat="0" applyBorder="0" applyAlignment="0" applyProtection="0"/>
    <xf numFmtId="167" fontId="31" fillId="29" borderId="0" applyNumberFormat="0" applyBorder="0" applyAlignment="0" applyProtection="0"/>
    <xf numFmtId="0" fontId="37" fillId="50" borderId="0" applyNumberFormat="0" applyBorder="0" applyAlignment="0" applyProtection="0"/>
    <xf numFmtId="167" fontId="31" fillId="29" borderId="0" applyNumberFormat="0" applyBorder="0" applyAlignment="0" applyProtection="0"/>
    <xf numFmtId="167" fontId="22" fillId="3" borderId="0" applyNumberFormat="0" applyBorder="0" applyAlignment="0" applyProtection="0"/>
    <xf numFmtId="0" fontId="38" fillId="34" borderId="0" applyNumberFormat="0" applyBorder="0" applyAlignment="0" applyProtection="0"/>
    <xf numFmtId="167" fontId="22" fillId="3" borderId="0" applyNumberFormat="0" applyBorder="0" applyAlignment="0" applyProtection="0"/>
    <xf numFmtId="0" fontId="38" fillId="34" borderId="0" applyNumberFormat="0" applyBorder="0" applyAlignment="0" applyProtection="0"/>
    <xf numFmtId="167" fontId="22" fillId="3" borderId="0" applyNumberFormat="0" applyBorder="0" applyAlignment="0" applyProtection="0"/>
    <xf numFmtId="167" fontId="25" fillId="6" borderId="7" applyNumberFormat="0" applyAlignment="0" applyProtection="0"/>
    <xf numFmtId="0" fontId="39" fillId="51" borderId="13" applyNumberFormat="0" applyAlignment="0" applyProtection="0"/>
    <xf numFmtId="167" fontId="25" fillId="6" borderId="7" applyNumberFormat="0" applyAlignment="0" applyProtection="0"/>
    <xf numFmtId="0" fontId="39" fillId="51" borderId="13" applyNumberFormat="0" applyAlignment="0" applyProtection="0"/>
    <xf numFmtId="167" fontId="25" fillId="6" borderId="7" applyNumberFormat="0" applyAlignment="0" applyProtection="0"/>
    <xf numFmtId="167" fontId="27" fillId="7" borderId="10" applyNumberFormat="0" applyAlignment="0" applyProtection="0"/>
    <xf numFmtId="0" fontId="40" fillId="52" borderId="14" applyNumberFormat="0" applyAlignment="0" applyProtection="0"/>
    <xf numFmtId="167" fontId="27" fillId="7" borderId="10" applyNumberFormat="0" applyAlignment="0" applyProtection="0"/>
    <xf numFmtId="0" fontId="40" fillId="52" borderId="14" applyNumberFormat="0" applyAlignment="0" applyProtection="0"/>
    <xf numFmtId="167" fontId="27" fillId="7" borderId="10" applyNumberFormat="0" applyAlignment="0" applyProtection="0"/>
    <xf numFmtId="176" fontId="34" fillId="0" borderId="0" applyFont="0"/>
    <xf numFmtId="37" fontId="4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41" fillId="0" borderId="0"/>
    <xf numFmtId="44" fontId="2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8" fontId="41" fillId="0" borderId="0"/>
    <xf numFmtId="177" fontId="41" fillId="0" borderId="0"/>
    <xf numFmtId="44" fontId="1" fillId="0" borderId="0" applyFont="0" applyFill="0" applyBorder="0" applyAlignment="0" applyProtection="0"/>
    <xf numFmtId="14" fontId="34" fillId="0" borderId="0"/>
    <xf numFmtId="178" fontId="35" fillId="0" borderId="0" applyFont="0" applyAlignment="0"/>
    <xf numFmtId="167" fontId="2" fillId="0" borderId="0" applyFont="0" applyFill="0" applyBorder="0" applyAlignment="0" applyProtection="0"/>
    <xf numFmtId="167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29" fillId="0" borderId="0" applyNumberFormat="0" applyFill="0" applyBorder="0" applyAlignment="0" applyProtection="0"/>
    <xf numFmtId="167" fontId="41" fillId="0" borderId="0">
      <alignment horizontal="right"/>
    </xf>
    <xf numFmtId="167" fontId="21" fillId="2" borderId="0" applyNumberFormat="0" applyBorder="0" applyAlignment="0" applyProtection="0"/>
    <xf numFmtId="0" fontId="47" fillId="35" borderId="0" applyNumberFormat="0" applyBorder="0" applyAlignment="0" applyProtection="0"/>
    <xf numFmtId="167" fontId="21" fillId="2" borderId="0" applyNumberFormat="0" applyBorder="0" applyAlignment="0" applyProtection="0"/>
    <xf numFmtId="0" fontId="47" fillId="35" borderId="0" applyNumberFormat="0" applyBorder="0" applyAlignment="0" applyProtection="0"/>
    <xf numFmtId="167" fontId="21" fillId="2" borderId="0" applyNumberFormat="0" applyBorder="0" applyAlignment="0" applyProtection="0"/>
    <xf numFmtId="167" fontId="18" fillId="0" borderId="4" applyNumberFormat="0" applyFill="0" applyAlignment="0" applyProtection="0"/>
    <xf numFmtId="0" fontId="48" fillId="0" borderId="15" applyNumberFormat="0" applyFill="0" applyAlignment="0" applyProtection="0"/>
    <xf numFmtId="167" fontId="18" fillId="0" borderId="4" applyNumberFormat="0" applyFill="0" applyAlignment="0" applyProtection="0"/>
    <xf numFmtId="0" fontId="48" fillId="0" borderId="15" applyNumberFormat="0" applyFill="0" applyAlignment="0" applyProtection="0"/>
    <xf numFmtId="167" fontId="18" fillId="0" borderId="4" applyNumberFormat="0" applyFill="0" applyAlignment="0" applyProtection="0"/>
    <xf numFmtId="167" fontId="19" fillId="0" borderId="5" applyNumberFormat="0" applyFill="0" applyAlignment="0" applyProtection="0"/>
    <xf numFmtId="0" fontId="49" fillId="0" borderId="16" applyNumberFormat="0" applyFill="0" applyAlignment="0" applyProtection="0"/>
    <xf numFmtId="167" fontId="19" fillId="0" borderId="5" applyNumberFormat="0" applyFill="0" applyAlignment="0" applyProtection="0"/>
    <xf numFmtId="0" fontId="49" fillId="0" borderId="16" applyNumberFormat="0" applyFill="0" applyAlignment="0" applyProtection="0"/>
    <xf numFmtId="167" fontId="19" fillId="0" borderId="5" applyNumberFormat="0" applyFill="0" applyAlignment="0" applyProtection="0"/>
    <xf numFmtId="167" fontId="20" fillId="0" borderId="6" applyNumberFormat="0" applyFill="0" applyAlignment="0" applyProtection="0"/>
    <xf numFmtId="0" fontId="50" fillId="0" borderId="17" applyNumberFormat="0" applyFill="0" applyAlignment="0" applyProtection="0"/>
    <xf numFmtId="167" fontId="20" fillId="0" borderId="6" applyNumberFormat="0" applyFill="0" applyAlignment="0" applyProtection="0"/>
    <xf numFmtId="0" fontId="50" fillId="0" borderId="17" applyNumberFormat="0" applyFill="0" applyAlignment="0" applyProtection="0"/>
    <xf numFmtId="167" fontId="20" fillId="0" borderId="6" applyNumberFormat="0" applyFill="0" applyAlignment="0" applyProtection="0"/>
    <xf numFmtId="167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23" fillId="5" borderId="7" applyNumberFormat="0" applyAlignment="0" applyProtection="0"/>
    <xf numFmtId="0" fontId="51" fillId="38" borderId="13" applyNumberFormat="0" applyAlignment="0" applyProtection="0"/>
    <xf numFmtId="167" fontId="23" fillId="5" borderId="7" applyNumberFormat="0" applyAlignment="0" applyProtection="0"/>
    <xf numFmtId="0" fontId="51" fillId="38" borderId="13" applyNumberFormat="0" applyAlignment="0" applyProtection="0"/>
    <xf numFmtId="167" fontId="23" fillId="5" borderId="7" applyNumberFormat="0" applyAlignment="0" applyProtection="0"/>
    <xf numFmtId="49" fontId="41" fillId="0" borderId="0">
      <alignment horizontal="center"/>
    </xf>
    <xf numFmtId="167" fontId="26" fillId="0" borderId="9" applyNumberFormat="0" applyFill="0" applyAlignment="0" applyProtection="0"/>
    <xf numFmtId="0" fontId="52" fillId="0" borderId="18" applyNumberFormat="0" applyFill="0" applyAlignment="0" applyProtection="0"/>
    <xf numFmtId="167" fontId="26" fillId="0" borderId="9" applyNumberFormat="0" applyFill="0" applyAlignment="0" applyProtection="0"/>
    <xf numFmtId="0" fontId="52" fillId="0" borderId="18" applyNumberFormat="0" applyFill="0" applyAlignment="0" applyProtection="0"/>
    <xf numFmtId="167" fontId="26" fillId="0" borderId="9" applyNumberFormat="0" applyFill="0" applyAlignment="0" applyProtection="0"/>
    <xf numFmtId="167" fontId="33" fillId="4" borderId="0" applyNumberFormat="0" applyBorder="0" applyAlignment="0" applyProtection="0"/>
    <xf numFmtId="0" fontId="53" fillId="53" borderId="0" applyNumberFormat="0" applyBorder="0" applyAlignment="0" applyProtection="0"/>
    <xf numFmtId="167" fontId="33" fillId="4" borderId="0" applyNumberFormat="0" applyBorder="0" applyAlignment="0" applyProtection="0"/>
    <xf numFmtId="0" fontId="53" fillId="53" borderId="0" applyNumberFormat="0" applyBorder="0" applyAlignment="0" applyProtection="0"/>
    <xf numFmtId="167" fontId="33" fillId="4" borderId="0" applyNumberFormat="0" applyBorder="0" applyAlignment="0" applyProtection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4" fillId="0" borderId="0"/>
    <xf numFmtId="0" fontId="54" fillId="0" borderId="0"/>
    <xf numFmtId="0" fontId="12" fillId="0" borderId="0"/>
    <xf numFmtId="0" fontId="4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41" fillId="0" borderId="0"/>
    <xf numFmtId="0" fontId="1" fillId="0" borderId="0"/>
    <xf numFmtId="0" fontId="12" fillId="0" borderId="0"/>
    <xf numFmtId="0" fontId="2" fillId="0" borderId="0"/>
    <xf numFmtId="167" fontId="12" fillId="0" borderId="0"/>
    <xf numFmtId="167" fontId="12" fillId="0" borderId="0"/>
    <xf numFmtId="167" fontId="1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" fillId="0" borderId="0"/>
    <xf numFmtId="179" fontId="36" fillId="0" borderId="0"/>
    <xf numFmtId="167" fontId="41" fillId="0" borderId="0"/>
    <xf numFmtId="167" fontId="41" fillId="0" borderId="0"/>
    <xf numFmtId="167" fontId="42" fillId="0" borderId="0"/>
    <xf numFmtId="0" fontId="2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" fillId="0" borderId="0"/>
    <xf numFmtId="167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44" fillId="0" borderId="0">
      <alignment vertical="top"/>
    </xf>
    <xf numFmtId="0" fontId="1" fillId="0" borderId="0"/>
    <xf numFmtId="167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167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" fillId="8" borderId="11" applyNumberFormat="0" applyFont="0" applyAlignment="0" applyProtection="0"/>
    <xf numFmtId="0" fontId="36" fillId="54" borderId="19" applyNumberFormat="0" applyFont="0" applyAlignment="0" applyProtection="0"/>
    <xf numFmtId="167" fontId="1" fillId="8" borderId="11" applyNumberFormat="0" applyFont="0" applyAlignment="0" applyProtection="0"/>
    <xf numFmtId="0" fontId="36" fillId="54" borderId="19" applyNumberFormat="0" applyFont="0" applyAlignment="0" applyProtection="0"/>
    <xf numFmtId="167" fontId="1" fillId="8" borderId="11" applyNumberFormat="0" applyFont="0" applyAlignment="0" applyProtection="0"/>
    <xf numFmtId="0" fontId="36" fillId="54" borderId="19" applyNumberFormat="0" applyFont="0" applyAlignment="0" applyProtection="0"/>
    <xf numFmtId="0" fontId="36" fillId="54" borderId="19" applyNumberFormat="0" applyFont="0" applyAlignment="0" applyProtection="0"/>
    <xf numFmtId="0" fontId="36" fillId="54" borderId="19" applyNumberFormat="0" applyFont="0" applyAlignment="0" applyProtection="0"/>
    <xf numFmtId="0" fontId="36" fillId="54" borderId="19" applyNumberFormat="0" applyFont="0" applyAlignment="0" applyProtection="0"/>
    <xf numFmtId="0" fontId="36" fillId="54" borderId="19" applyNumberFormat="0" applyFont="0" applyAlignment="0" applyProtection="0"/>
    <xf numFmtId="167" fontId="24" fillId="6" borderId="8" applyNumberFormat="0" applyAlignment="0" applyProtection="0"/>
    <xf numFmtId="0" fontId="55" fillId="51" borderId="20" applyNumberFormat="0" applyAlignment="0" applyProtection="0"/>
    <xf numFmtId="167" fontId="24" fillId="6" borderId="8" applyNumberFormat="0" applyAlignment="0" applyProtection="0"/>
    <xf numFmtId="0" fontId="55" fillId="51" borderId="20" applyNumberFormat="0" applyAlignment="0" applyProtection="0"/>
    <xf numFmtId="167" fontId="24" fillId="6" borderId="8" applyNumberFormat="0" applyAlignment="0" applyProtection="0"/>
    <xf numFmtId="10" fontId="56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167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32" fillId="0" borderId="0" applyNumberFormat="0" applyFill="0" applyBorder="0" applyAlignment="0" applyProtection="0"/>
    <xf numFmtId="167" fontId="30" fillId="0" borderId="12" applyNumberFormat="0" applyFill="0" applyAlignment="0" applyProtection="0"/>
    <xf numFmtId="0" fontId="58" fillId="0" borderId="21" applyNumberFormat="0" applyFill="0" applyAlignment="0" applyProtection="0"/>
    <xf numFmtId="167" fontId="30" fillId="0" borderId="12" applyNumberFormat="0" applyFill="0" applyAlignment="0" applyProtection="0"/>
    <xf numFmtId="0" fontId="58" fillId="0" borderId="21" applyNumberFormat="0" applyFill="0" applyAlignment="0" applyProtection="0"/>
    <xf numFmtId="167" fontId="30" fillId="0" borderId="12" applyNumberFormat="0" applyFill="0" applyAlignment="0" applyProtection="0"/>
    <xf numFmtId="167" fontId="2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7" fontId="28" fillId="0" borderId="0" applyNumberFormat="0" applyFill="0" applyBorder="0" applyAlignment="0" applyProtection="0"/>
    <xf numFmtId="174" fontId="2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44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167" fontId="1" fillId="0" borderId="0"/>
    <xf numFmtId="0" fontId="36" fillId="54" borderId="31" applyNumberFormat="0" applyFont="0" applyAlignment="0" applyProtection="0"/>
    <xf numFmtId="167" fontId="1" fillId="0" borderId="0"/>
    <xf numFmtId="0" fontId="39" fillId="51" borderId="34" applyNumberFormat="0" applyAlignment="0" applyProtection="0"/>
    <xf numFmtId="0" fontId="39" fillId="51" borderId="26" applyNumberFormat="0" applyAlignment="0" applyProtection="0"/>
    <xf numFmtId="0" fontId="58" fillId="0" borderId="25" applyNumberFormat="0" applyFill="0" applyAlignment="0" applyProtection="0"/>
    <xf numFmtId="0" fontId="58" fillId="0" borderId="25" applyNumberFormat="0" applyFill="0" applyAlignment="0" applyProtection="0"/>
    <xf numFmtId="0" fontId="58" fillId="0" borderId="29" applyNumberFormat="0" applyFill="0" applyAlignment="0" applyProtection="0"/>
    <xf numFmtId="0" fontId="58" fillId="0" borderId="29" applyNumberFormat="0" applyFill="0" applyAlignment="0" applyProtection="0"/>
    <xf numFmtId="0" fontId="36" fillId="54" borderId="35" applyNumberFormat="0" applyFont="0" applyAlignment="0" applyProtection="0"/>
    <xf numFmtId="0" fontId="55" fillId="51" borderId="24" applyNumberFormat="0" applyAlignment="0" applyProtection="0"/>
    <xf numFmtId="0" fontId="55" fillId="51" borderId="24" applyNumberFormat="0" applyAlignment="0" applyProtection="0"/>
    <xf numFmtId="0" fontId="36" fillId="54" borderId="23" applyNumberFormat="0" applyFont="0" applyAlignment="0" applyProtection="0"/>
    <xf numFmtId="0" fontId="36" fillId="54" borderId="23" applyNumberFormat="0" applyFont="0" applyAlignment="0" applyProtection="0"/>
    <xf numFmtId="0" fontId="36" fillId="54" borderId="23" applyNumberFormat="0" applyFont="0" applyAlignment="0" applyProtection="0"/>
    <xf numFmtId="0" fontId="36" fillId="54" borderId="23" applyNumberFormat="0" applyFont="0" applyAlignment="0" applyProtection="0"/>
    <xf numFmtId="0" fontId="36" fillId="54" borderId="23" applyNumberFormat="0" applyFont="0" applyAlignment="0" applyProtection="0"/>
    <xf numFmtId="0" fontId="36" fillId="54" borderId="23" applyNumberFormat="0" applyFont="0" applyAlignment="0" applyProtection="0"/>
    <xf numFmtId="0" fontId="36" fillId="54" borderId="23" applyNumberFormat="0" applyFont="0" applyAlignment="0" applyProtection="0"/>
    <xf numFmtId="0" fontId="55" fillId="51" borderId="28" applyNumberFormat="0" applyAlignment="0" applyProtection="0"/>
    <xf numFmtId="0" fontId="58" fillId="0" borderId="33" applyNumberFormat="0" applyFill="0" applyAlignment="0" applyProtection="0"/>
    <xf numFmtId="0" fontId="55" fillId="51" borderId="28" applyNumberFormat="0" applyAlignment="0" applyProtection="0"/>
    <xf numFmtId="0" fontId="36" fillId="54" borderId="27" applyNumberFormat="0" applyFont="0" applyAlignment="0" applyProtection="0"/>
    <xf numFmtId="0" fontId="36" fillId="54" borderId="27" applyNumberFormat="0" applyFont="0" applyAlignment="0" applyProtection="0"/>
    <xf numFmtId="0" fontId="36" fillId="54" borderId="27" applyNumberFormat="0" applyFont="0" applyAlignment="0" applyProtection="0"/>
    <xf numFmtId="0" fontId="36" fillId="54" borderId="27" applyNumberFormat="0" applyFont="0" applyAlignment="0" applyProtection="0"/>
    <xf numFmtId="0" fontId="36" fillId="54" borderId="27" applyNumberFormat="0" applyFont="0" applyAlignment="0" applyProtection="0"/>
    <xf numFmtId="0" fontId="36" fillId="54" borderId="27" applyNumberFormat="0" applyFont="0" applyAlignment="0" applyProtection="0"/>
    <xf numFmtId="0" fontId="36" fillId="54" borderId="27" applyNumberFormat="0" applyFont="0" applyAlignment="0" applyProtection="0"/>
    <xf numFmtId="0" fontId="55" fillId="51" borderId="32" applyNumberFormat="0" applyAlignment="0" applyProtection="0"/>
    <xf numFmtId="167" fontId="1" fillId="0" borderId="0"/>
    <xf numFmtId="0" fontId="58" fillId="0" borderId="37" applyNumberFormat="0" applyFill="0" applyAlignment="0" applyProtection="0"/>
    <xf numFmtId="0" fontId="55" fillId="51" borderId="32" applyNumberFormat="0" applyAlignment="0" applyProtection="0"/>
    <xf numFmtId="0" fontId="36" fillId="54" borderId="31" applyNumberFormat="0" applyFont="0" applyAlignment="0" applyProtection="0"/>
    <xf numFmtId="0" fontId="36" fillId="54" borderId="31" applyNumberFormat="0" applyFont="0" applyAlignment="0" applyProtection="0"/>
    <xf numFmtId="0" fontId="36" fillId="54" borderId="31" applyNumberFormat="0" applyFont="0" applyAlignment="0" applyProtection="0"/>
    <xf numFmtId="0" fontId="36" fillId="54" borderId="31" applyNumberFormat="0" applyFont="0" applyAlignment="0" applyProtection="0"/>
    <xf numFmtId="0" fontId="36" fillId="54" borderId="31" applyNumberFormat="0" applyFont="0" applyAlignment="0" applyProtection="0"/>
    <xf numFmtId="0" fontId="55" fillId="51" borderId="36" applyNumberFormat="0" applyAlignment="0" applyProtection="0"/>
    <xf numFmtId="0" fontId="36" fillId="54" borderId="35" applyNumberFormat="0" applyFont="0" applyAlignment="0" applyProtection="0"/>
    <xf numFmtId="0" fontId="36" fillId="54" borderId="35" applyNumberFormat="0" applyFont="0" applyAlignment="0" applyProtection="0"/>
    <xf numFmtId="0" fontId="36" fillId="54" borderId="35" applyNumberFormat="0" applyFont="0" applyAlignment="0" applyProtection="0"/>
    <xf numFmtId="0" fontId="36" fillId="54" borderId="35" applyNumberFormat="0" applyFont="0" applyAlignment="0" applyProtection="0"/>
    <xf numFmtId="167" fontId="1" fillId="0" borderId="0"/>
    <xf numFmtId="0" fontId="51" fillId="38" borderId="26" applyNumberFormat="0" applyAlignment="0" applyProtection="0"/>
    <xf numFmtId="0" fontId="51" fillId="38" borderId="26" applyNumberFormat="0" applyAlignment="0" applyProtection="0"/>
    <xf numFmtId="0" fontId="51" fillId="38" borderId="22" applyNumberFormat="0" applyAlignment="0" applyProtection="0"/>
    <xf numFmtId="0" fontId="51" fillId="38" borderId="22" applyNumberFormat="0" applyAlignment="0" applyProtection="0"/>
    <xf numFmtId="0" fontId="51" fillId="38" borderId="30" applyNumberFormat="0" applyAlignment="0" applyProtection="0"/>
    <xf numFmtId="0" fontId="51" fillId="38" borderId="30" applyNumberFormat="0" applyAlignment="0" applyProtection="0"/>
    <xf numFmtId="0" fontId="51" fillId="38" borderId="34" applyNumberFormat="0" applyAlignment="0" applyProtection="0"/>
    <xf numFmtId="0" fontId="51" fillId="38" borderId="34" applyNumberFormat="0" applyAlignment="0" applyProtection="0"/>
    <xf numFmtId="0" fontId="39" fillId="51" borderId="30" applyNumberFormat="0" applyAlignment="0" applyProtection="0"/>
    <xf numFmtId="0" fontId="39" fillId="51" borderId="30" applyNumberFormat="0" applyAlignment="0" applyProtection="0"/>
    <xf numFmtId="0" fontId="39" fillId="51" borderId="26" applyNumberFormat="0" applyAlignment="0" applyProtection="0"/>
    <xf numFmtId="0" fontId="39" fillId="51" borderId="34" applyNumberFormat="0" applyAlignment="0" applyProtection="0"/>
    <xf numFmtId="0" fontId="39" fillId="51" borderId="22" applyNumberFormat="0" applyAlignment="0" applyProtection="0"/>
    <xf numFmtId="0" fontId="39" fillId="51" borderId="22" applyNumberFormat="0" applyAlignment="0" applyProtection="0"/>
    <xf numFmtId="167" fontId="1" fillId="0" borderId="0"/>
    <xf numFmtId="0" fontId="58" fillId="0" borderId="37" applyNumberFormat="0" applyFill="0" applyAlignment="0" applyProtection="0"/>
    <xf numFmtId="167" fontId="1" fillId="0" borderId="0"/>
    <xf numFmtId="167" fontId="1" fillId="0" borderId="0"/>
    <xf numFmtId="0" fontId="36" fillId="54" borderId="35" applyNumberFormat="0" applyFont="0" applyAlignment="0" applyProtection="0"/>
    <xf numFmtId="0" fontId="36" fillId="54" borderId="31" applyNumberFormat="0" applyFont="0" applyAlignment="0" applyProtection="0"/>
    <xf numFmtId="0" fontId="55" fillId="51" borderId="36" applyNumberFormat="0" applyAlignment="0" applyProtection="0"/>
    <xf numFmtId="0" fontId="58" fillId="0" borderId="33" applyNumberFormat="0" applyFill="0" applyAlignment="0" applyProtection="0"/>
    <xf numFmtId="0" fontId="36" fillId="54" borderId="35" applyNumberFormat="0" applyFont="0" applyAlignment="0" applyProtection="0"/>
    <xf numFmtId="0" fontId="61" fillId="0" borderId="0"/>
    <xf numFmtId="0" fontId="62" fillId="0" borderId="0"/>
    <xf numFmtId="43" fontId="62" fillId="0" borderId="0" applyFont="0" applyFill="0" applyBorder="0" applyAlignment="0" applyProtection="0"/>
    <xf numFmtId="0" fontId="62" fillId="0" borderId="0"/>
    <xf numFmtId="0" fontId="62" fillId="0" borderId="0"/>
    <xf numFmtId="0" fontId="62" fillId="0" borderId="0"/>
  </cellStyleXfs>
  <cellXfs count="1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0" borderId="1" xfId="0" applyNumberFormat="1" applyFont="1" applyBorder="1"/>
    <xf numFmtId="0" fontId="4" fillId="0" borderId="2" xfId="0" applyFont="1" applyBorder="1"/>
    <xf numFmtId="165" fontId="3" fillId="0" borderId="0" xfId="0" applyNumberFormat="1" applyFont="1"/>
    <xf numFmtId="165" fontId="4" fillId="0" borderId="0" xfId="0" applyNumberFormat="1" applyFont="1"/>
    <xf numFmtId="166" fontId="4" fillId="0" borderId="0" xfId="4" applyNumberFormat="1" applyFont="1" applyFill="1"/>
    <xf numFmtId="166" fontId="3" fillId="0" borderId="0" xfId="4" applyNumberFormat="1" applyFont="1" applyFill="1" applyAlignment="1">
      <alignment horizontal="right"/>
    </xf>
    <xf numFmtId="165" fontId="7" fillId="0" borderId="0" xfId="0" applyNumberFormat="1" applyFont="1"/>
    <xf numFmtId="167" fontId="4" fillId="0" borderId="0" xfId="0" applyNumberFormat="1" applyFont="1"/>
    <xf numFmtId="44" fontId="4" fillId="0" borderId="0" xfId="5" applyFont="1" applyFill="1"/>
    <xf numFmtId="165" fontId="3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/>
    </xf>
    <xf numFmtId="166" fontId="3" fillId="0" borderId="0" xfId="4" applyNumberFormat="1" applyFont="1" applyFill="1" applyAlignment="1">
      <alignment horizontal="center"/>
    </xf>
    <xf numFmtId="44" fontId="3" fillId="0" borderId="0" xfId="5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66" fontId="3" fillId="0" borderId="1" xfId="4" applyNumberFormat="1" applyFont="1" applyFill="1" applyBorder="1" applyAlignment="1">
      <alignment horizontal="center"/>
    </xf>
    <xf numFmtId="166" fontId="3" fillId="0" borderId="0" xfId="4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165" fontId="4" fillId="0" borderId="1" xfId="0" applyNumberFormat="1" applyFont="1" applyBorder="1"/>
    <xf numFmtId="10" fontId="7" fillId="0" borderId="0" xfId="6" applyNumberFormat="1" applyFont="1" applyFill="1"/>
    <xf numFmtId="166" fontId="4" fillId="0" borderId="1" xfId="4" applyNumberFormat="1" applyFont="1" applyFill="1" applyBorder="1"/>
    <xf numFmtId="165" fontId="8" fillId="0" borderId="0" xfId="0" applyNumberFormat="1" applyFont="1"/>
    <xf numFmtId="166" fontId="4" fillId="0" borderId="0" xfId="4" applyNumberFormat="1" applyFont="1" applyFill="1" applyBorder="1"/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fill"/>
    </xf>
    <xf numFmtId="3" fontId="4" fillId="0" borderId="3" xfId="0" applyNumberFormat="1" applyFont="1" applyBorder="1"/>
    <xf numFmtId="0" fontId="4" fillId="0" borderId="0" xfId="0" applyFont="1" applyAlignment="1">
      <alignment horizontal="center"/>
    </xf>
    <xf numFmtId="165" fontId="4" fillId="0" borderId="0" xfId="0" applyNumberFormat="1" applyFont="1" applyBorder="1"/>
    <xf numFmtId="166" fontId="4" fillId="0" borderId="0" xfId="4" applyNumberFormat="1" applyFont="1"/>
    <xf numFmtId="43" fontId="4" fillId="0" borderId="0" xfId="4" applyFont="1" applyFill="1" applyAlignment="1">
      <alignment horizontal="fill"/>
    </xf>
    <xf numFmtId="165" fontId="4" fillId="0" borderId="0" xfId="0" applyNumberFormat="1" applyFont="1" applyFill="1"/>
    <xf numFmtId="165" fontId="4" fillId="0" borderId="1" xfId="0" applyNumberFormat="1" applyFont="1" applyFill="1" applyBorder="1"/>
    <xf numFmtId="165" fontId="4" fillId="0" borderId="0" xfId="0" applyNumberFormat="1" applyFont="1" applyFill="1" applyAlignment="1">
      <alignment horizontal="fill"/>
    </xf>
    <xf numFmtId="165" fontId="4" fillId="0" borderId="1" xfId="0" applyNumberFormat="1" applyFont="1" applyFill="1" applyBorder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43" fontId="4" fillId="0" borderId="0" xfId="4" applyFont="1"/>
    <xf numFmtId="1" fontId="0" fillId="0" borderId="0" xfId="0" applyNumberFormat="1"/>
    <xf numFmtId="14" fontId="3" fillId="0" borderId="0" xfId="0" applyNumberFormat="1" applyFont="1" applyAlignment="1">
      <alignment horizontal="center"/>
    </xf>
    <xf numFmtId="166" fontId="0" fillId="0" borderId="0" xfId="4" applyNumberFormat="1" applyFont="1"/>
    <xf numFmtId="165" fontId="3" fillId="0" borderId="0" xfId="0" applyNumberFormat="1" applyFont="1" applyFill="1" applyAlignment="1">
      <alignment horizontal="center"/>
    </xf>
    <xf numFmtId="0" fontId="4" fillId="0" borderId="0" xfId="0" applyFont="1" applyFill="1"/>
    <xf numFmtId="165" fontId="3" fillId="0" borderId="0" xfId="0" applyNumberFormat="1" applyFont="1" applyFill="1"/>
    <xf numFmtId="165" fontId="5" fillId="0" borderId="0" xfId="0" applyNumberFormat="1" applyFont="1" applyFill="1"/>
    <xf numFmtId="0" fontId="3" fillId="0" borderId="0" xfId="3" applyFont="1" applyFill="1"/>
    <xf numFmtId="0" fontId="4" fillId="0" borderId="0" xfId="3" applyFont="1" applyFill="1"/>
    <xf numFmtId="43" fontId="5" fillId="0" borderId="0" xfId="0" applyNumberFormat="1" applyFont="1" applyFill="1"/>
    <xf numFmtId="166" fontId="4" fillId="0" borderId="0" xfId="581" applyNumberFormat="1" applyFont="1" applyFill="1" applyBorder="1"/>
    <xf numFmtId="165" fontId="4" fillId="0" borderId="0" xfId="582" applyNumberFormat="1" applyFont="1"/>
    <xf numFmtId="165" fontId="4" fillId="0" borderId="0" xfId="582" applyNumberFormat="1" applyFont="1" applyAlignment="1">
      <alignment horizontal="fill"/>
    </xf>
    <xf numFmtId="165" fontId="4" fillId="0" borderId="1" xfId="582" applyNumberFormat="1" applyFont="1" applyBorder="1"/>
    <xf numFmtId="165" fontId="4" fillId="0" borderId="0" xfId="584" applyNumberFormat="1" applyFont="1"/>
    <xf numFmtId="165" fontId="4" fillId="0" borderId="0" xfId="584" applyNumberFormat="1" applyFont="1" applyAlignment="1">
      <alignment horizontal="fill"/>
    </xf>
    <xf numFmtId="165" fontId="4" fillId="0" borderId="1" xfId="584" applyNumberFormat="1" applyFont="1" applyBorder="1"/>
    <xf numFmtId="43" fontId="4" fillId="0" borderId="0" xfId="581" applyFont="1" applyFill="1" applyAlignment="1">
      <alignment horizontal="fill"/>
    </xf>
    <xf numFmtId="165" fontId="4" fillId="0" borderId="1" xfId="584" applyNumberFormat="1" applyFont="1" applyBorder="1" applyAlignment="1">
      <alignment horizontal="right"/>
    </xf>
    <xf numFmtId="166" fontId="4" fillId="0" borderId="1" xfId="581" applyNumberFormat="1" applyFont="1" applyFill="1" applyBorder="1"/>
    <xf numFmtId="166" fontId="4" fillId="0" borderId="0" xfId="581" applyNumberFormat="1" applyFont="1" applyFill="1"/>
    <xf numFmtId="0" fontId="4" fillId="0" borderId="0" xfId="0" applyFont="1"/>
    <xf numFmtId="0" fontId="3" fillId="0" borderId="0" xfId="0" applyFont="1"/>
    <xf numFmtId="0" fontId="4" fillId="0" borderId="0" xfId="3" applyFont="1" applyFill="1" applyAlignment="1">
      <alignment horizontal="right"/>
    </xf>
    <xf numFmtId="165" fontId="7" fillId="0" borderId="0" xfId="0" applyNumberFormat="1" applyFont="1" applyFill="1"/>
    <xf numFmtId="165" fontId="3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5" fontId="8" fillId="0" borderId="0" xfId="0" applyNumberFormat="1" applyFont="1" applyAlignment="1">
      <alignment horizontal="left"/>
    </xf>
    <xf numFmtId="166" fontId="4" fillId="0" borderId="1" xfId="4" applyNumberFormat="1" applyFont="1" applyBorder="1"/>
    <xf numFmtId="166" fontId="5" fillId="0" borderId="0" xfId="4" applyNumberFormat="1" applyFont="1" applyFill="1" applyBorder="1"/>
    <xf numFmtId="166" fontId="4" fillId="0" borderId="0" xfId="4" applyNumberFormat="1" applyFont="1" applyFill="1" applyAlignment="1"/>
    <xf numFmtId="166" fontId="4" fillId="0" borderId="3" xfId="4" applyNumberFormat="1" applyFont="1" applyBorder="1"/>
    <xf numFmtId="0" fontId="63" fillId="0" borderId="0" xfId="0" applyFont="1"/>
    <xf numFmtId="180" fontId="4" fillId="0" borderId="0" xfId="5" applyNumberFormat="1" applyFont="1"/>
    <xf numFmtId="180" fontId="4" fillId="0" borderId="3" xfId="5" applyNumberFormat="1" applyFont="1" applyBorder="1"/>
    <xf numFmtId="0" fontId="30" fillId="0" borderId="0" xfId="0" applyFont="1"/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6" fontId="5" fillId="0" borderId="0" xfId="4" applyNumberFormat="1" applyFont="1" applyFill="1"/>
    <xf numFmtId="166" fontId="7" fillId="0" borderId="0" xfId="0" applyNumberFormat="1" applyFont="1" applyFill="1"/>
    <xf numFmtId="166" fontId="5" fillId="0" borderId="0" xfId="0" applyNumberFormat="1" applyFont="1" applyFill="1"/>
    <xf numFmtId="0" fontId="5" fillId="0" borderId="0" xfId="582" applyFont="1"/>
    <xf numFmtId="0" fontId="5" fillId="0" borderId="0" xfId="584" applyFont="1"/>
    <xf numFmtId="165" fontId="3" fillId="0" borderId="0" xfId="0" applyNumberFormat="1" applyFont="1" applyFill="1" applyAlignment="1">
      <alignment horizontal="left"/>
    </xf>
    <xf numFmtId="165" fontId="4" fillId="0" borderId="0" xfId="584" applyNumberFormat="1" applyFont="1" applyFill="1"/>
    <xf numFmtId="0" fontId="3" fillId="0" borderId="0" xfId="0" applyFont="1" applyAlignment="1">
      <alignment horizontal="left" indent="1"/>
    </xf>
    <xf numFmtId="166" fontId="3" fillId="0" borderId="0" xfId="4" applyNumberFormat="1" applyFont="1"/>
    <xf numFmtId="166" fontId="3" fillId="0" borderId="0" xfId="4" applyNumberFormat="1" applyFont="1" applyFill="1"/>
    <xf numFmtId="37" fontId="3" fillId="0" borderId="0" xfId="0" applyNumberFormat="1" applyFont="1"/>
    <xf numFmtId="5" fontId="3" fillId="0" borderId="0" xfId="0" applyNumberFormat="1" applyFont="1" applyBorder="1"/>
    <xf numFmtId="0" fontId="5" fillId="0" borderId="0" xfId="0" applyFont="1"/>
    <xf numFmtId="0" fontId="7" fillId="0" borderId="0" xfId="0" applyFont="1"/>
    <xf numFmtId="166" fontId="5" fillId="0" borderId="0" xfId="4" applyNumberFormat="1" applyFont="1"/>
    <xf numFmtId="5" fontId="5" fillId="0" borderId="0" xfId="0" applyNumberFormat="1" applyFont="1"/>
    <xf numFmtId="0" fontId="5" fillId="0" borderId="0" xfId="0" applyFont="1" applyAlignment="1">
      <alignment horizontal="left" indent="2"/>
    </xf>
    <xf numFmtId="0" fontId="5" fillId="0" borderId="0" xfId="0" applyFont="1" applyFill="1" applyAlignment="1">
      <alignment horizontal="left"/>
    </xf>
    <xf numFmtId="166" fontId="5" fillId="0" borderId="0" xfId="0" applyNumberFormat="1" applyFont="1"/>
    <xf numFmtId="166" fontId="5" fillId="0" borderId="1" xfId="4" applyNumberFormat="1" applyFont="1" applyBorder="1"/>
    <xf numFmtId="166" fontId="5" fillId="0" borderId="1" xfId="4" applyNumberFormat="1" applyFont="1" applyFill="1" applyBorder="1"/>
    <xf numFmtId="166" fontId="5" fillId="0" borderId="3" xfId="4" applyNumberFormat="1" applyFont="1" applyBorder="1"/>
    <xf numFmtId="165" fontId="5" fillId="0" borderId="0" xfId="0" applyNumberFormat="1" applyFont="1"/>
    <xf numFmtId="166" fontId="3" fillId="0" borderId="1" xfId="4" applyNumberFormat="1" applyFont="1" applyBorder="1" applyAlignment="1">
      <alignment horizontal="center"/>
    </xf>
    <xf numFmtId="17" fontId="5" fillId="0" borderId="1" xfId="0" applyNumberFormat="1" applyFont="1" applyBorder="1"/>
    <xf numFmtId="0" fontId="7" fillId="0" borderId="0" xfId="0" applyFont="1" applyFill="1" applyBorder="1"/>
    <xf numFmtId="166" fontId="7" fillId="0" borderId="0" xfId="0" applyNumberFormat="1" applyFont="1" applyFill="1" applyBorder="1"/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horizontal="fill"/>
    </xf>
    <xf numFmtId="43" fontId="7" fillId="0" borderId="0" xfId="4" applyFont="1" applyFill="1" applyBorder="1" applyAlignment="1">
      <alignment horizontal="fill"/>
    </xf>
    <xf numFmtId="166" fontId="7" fillId="0" borderId="0" xfId="4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17" fontId="5" fillId="0" borderId="1" xfId="0" applyNumberFormat="1" applyFont="1" applyFill="1" applyBorder="1"/>
    <xf numFmtId="167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165" fontId="3" fillId="0" borderId="0" xfId="0" applyNumberFormat="1" applyFont="1" applyAlignment="1">
      <alignment wrapText="1"/>
    </xf>
    <xf numFmtId="0" fontId="63" fillId="0" borderId="0" xfId="0" applyFont="1" applyFill="1"/>
    <xf numFmtId="165" fontId="3" fillId="0" borderId="1" xfId="0" applyNumberFormat="1" applyFont="1" applyBorder="1" applyAlignment="1">
      <alignment horizontal="center"/>
    </xf>
    <xf numFmtId="0" fontId="63" fillId="0" borderId="1" xfId="0" applyFont="1" applyBorder="1" applyAlignment="1">
      <alignment horizontal="center"/>
    </xf>
    <xf numFmtId="167" fontId="4" fillId="0" borderId="0" xfId="0" applyNumberFormat="1" applyFont="1" applyAlignment="1">
      <alignment horizontal="left" wrapText="1"/>
    </xf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3" fillId="0" borderId="0" xfId="0" applyFont="1"/>
  </cellXfs>
  <cellStyles count="585">
    <cellStyle name="########" xfId="47" xr:uid="{DC0B1C8F-8120-42DC-8297-1767708EFE94}"/>
    <cellStyle name="######## 2" xfId="48" xr:uid="{224F8167-64A3-440F-A027-A2051D7474AF}"/>
    <cellStyle name="######## 3" xfId="49" xr:uid="{EF179D45-9C55-46B3-8FBB-47C7E7FCB359}"/>
    <cellStyle name="######## 4" xfId="50" xr:uid="{83D026F2-359C-4AF4-BF68-F4794CD2D80B}"/>
    <cellStyle name="######## 5" xfId="51" xr:uid="{78549DA2-3137-4C80-9024-1D06D4FE3723}"/>
    <cellStyle name="20% - Accent1 2" xfId="52" xr:uid="{675EA041-D374-4EDA-AF77-4E458EB68104}"/>
    <cellStyle name="20% - Accent1 2 2" xfId="53" xr:uid="{60B36E61-3096-4DD8-9B93-50C9D3625EBC}"/>
    <cellStyle name="20% - Accent1 3" xfId="54" xr:uid="{E26FC548-5E8F-455F-8848-23A82D31E446}"/>
    <cellStyle name="20% - Accent1 3 2" xfId="55" xr:uid="{8446A037-4155-47BB-949A-9592DB548E74}"/>
    <cellStyle name="20% - Accent1 4" xfId="56" xr:uid="{25A65FD6-E43A-4AE3-9D41-69D625DBBBC9}"/>
    <cellStyle name="20% - Accent2 2" xfId="57" xr:uid="{FBE365AD-B8AC-449F-8889-02478C330D31}"/>
    <cellStyle name="20% - Accent2 2 2" xfId="58" xr:uid="{C3824ED2-3EC3-4DEB-BE35-B299054C8617}"/>
    <cellStyle name="20% - Accent2 3" xfId="59" xr:uid="{6B815176-ACEB-4E22-AB4F-A4CB0C65DDAE}"/>
    <cellStyle name="20% - Accent2 3 2" xfId="60" xr:uid="{82BD9E8A-3405-4414-8947-9D0DCEAC5D3D}"/>
    <cellStyle name="20% - Accent2 4" xfId="61" xr:uid="{2E9FD760-E272-40BB-A214-328182F2C02B}"/>
    <cellStyle name="20% - Accent3 2" xfId="62" xr:uid="{15DF07BE-7CEC-45E9-958E-801D997852EB}"/>
    <cellStyle name="20% - Accent3 2 2" xfId="63" xr:uid="{0897F9A7-71A1-49F7-8722-B55E40E4D569}"/>
    <cellStyle name="20% - Accent3 3" xfId="64" xr:uid="{5AA24205-7B99-47D6-B3DE-369A6B12FF07}"/>
    <cellStyle name="20% - Accent3 3 2" xfId="65" xr:uid="{1024F8BC-C13C-4D9A-9BEB-52992905A18D}"/>
    <cellStyle name="20% - Accent3 4" xfId="66" xr:uid="{474F588F-6F25-47F8-A0FD-6EBD36E84585}"/>
    <cellStyle name="20% - Accent4 2" xfId="67" xr:uid="{C25F8977-667E-4129-A2D9-6583A87F4E06}"/>
    <cellStyle name="20% - Accent4 2 2" xfId="68" xr:uid="{AC7A1D99-102F-4AE4-81EF-95CD0B2E3C24}"/>
    <cellStyle name="20% - Accent4 3" xfId="69" xr:uid="{4486A67F-A404-495D-BBEF-D6E2038BD245}"/>
    <cellStyle name="20% - Accent4 3 2" xfId="70" xr:uid="{FB2C0AA9-66F8-4644-A4DB-4F2F239C38BB}"/>
    <cellStyle name="20% - Accent4 4" xfId="71" xr:uid="{C678635A-CEF5-4585-BA8A-A3C01231D967}"/>
    <cellStyle name="20% - Accent5 2" xfId="72" xr:uid="{8FB6B7BB-5351-411A-A5B1-2D566D4C68DE}"/>
    <cellStyle name="20% - Accent5 2 2" xfId="73" xr:uid="{F062C1CD-B4DA-4DBF-8AE8-ACC73A89C4F8}"/>
    <cellStyle name="20% - Accent5 3" xfId="74" xr:uid="{FEBCE2EC-C93C-48BD-A8E6-EE3944A83EDD}"/>
    <cellStyle name="20% - Accent5 3 2" xfId="75" xr:uid="{819CF0BB-0B4C-49D5-A1FB-83458B7E4C69}"/>
    <cellStyle name="20% - Accent5 4" xfId="76" xr:uid="{78AAC3F1-09CF-4F8B-898C-90DC8F218A27}"/>
    <cellStyle name="20% - Accent6 2" xfId="77" xr:uid="{60439AC3-7C70-49FE-B1FA-9D54D808F6A8}"/>
    <cellStyle name="20% - Accent6 2 2" xfId="78" xr:uid="{5BEF8D60-E1A7-426B-B127-001FAE32A79F}"/>
    <cellStyle name="20% - Accent6 3" xfId="79" xr:uid="{8E2313E1-3137-4259-9B1E-AB3051F27D4C}"/>
    <cellStyle name="20% - Accent6 3 2" xfId="80" xr:uid="{7DDD4CD9-FB2F-41F9-94E0-BD062F6D2F99}"/>
    <cellStyle name="20% - Accent6 4" xfId="81" xr:uid="{6AC4278E-A5FD-4FF8-AE40-67C5BE0FDBAC}"/>
    <cellStyle name="40% - Accent1 2" xfId="82" xr:uid="{752F7947-E09B-43B1-A478-5A5AC115E3CC}"/>
    <cellStyle name="40% - Accent1 2 2" xfId="83" xr:uid="{D812C8CE-B074-4558-88E4-7188A88052DB}"/>
    <cellStyle name="40% - Accent1 3" xfId="84" xr:uid="{FD9CD3C6-9A10-4533-95E8-4A2B5CA7AB07}"/>
    <cellStyle name="40% - Accent1 3 2" xfId="85" xr:uid="{84E40885-D9E6-48AF-B868-2556F49D5852}"/>
    <cellStyle name="40% - Accent1 4" xfId="86" xr:uid="{4202FDF3-7C49-4E07-B2D0-F224614460A2}"/>
    <cellStyle name="40% - Accent2 2" xfId="87" xr:uid="{D747E13B-A468-4574-B10C-6F8E48B9C6B3}"/>
    <cellStyle name="40% - Accent2 2 2" xfId="88" xr:uid="{A6260702-62AA-4427-809C-38645BBC08D3}"/>
    <cellStyle name="40% - Accent2 3" xfId="89" xr:uid="{1B288BF5-1ECB-4F2D-A2DF-BCB0F28C7619}"/>
    <cellStyle name="40% - Accent2 3 2" xfId="90" xr:uid="{D94BDA53-173C-4467-B9AE-93B3CEDE7468}"/>
    <cellStyle name="40% - Accent2 4" xfId="91" xr:uid="{599F2645-D702-42AA-92BA-0B78CBB01781}"/>
    <cellStyle name="40% - Accent3 2" xfId="92" xr:uid="{51C34E24-855F-4BE7-B6B4-5622C8F28B86}"/>
    <cellStyle name="40% - Accent3 2 2" xfId="93" xr:uid="{1AC7D673-1EF9-4E01-9319-FCCEB5BF9A53}"/>
    <cellStyle name="40% - Accent3 3" xfId="94" xr:uid="{7D893648-2866-449D-B3C0-56DC8F861B57}"/>
    <cellStyle name="40% - Accent3 3 2" xfId="95" xr:uid="{24962F53-81E1-4DF0-81C8-823113ABC606}"/>
    <cellStyle name="40% - Accent3 4" xfId="96" xr:uid="{E925A7B5-ECB3-454D-86C9-99575892DF73}"/>
    <cellStyle name="40% - Accent4 2" xfId="97" xr:uid="{A788CD01-42E8-4167-A62E-F60E1925881F}"/>
    <cellStyle name="40% - Accent4 2 2" xfId="98" xr:uid="{90F079BF-6CE8-4FDB-A829-102B76742E71}"/>
    <cellStyle name="40% - Accent4 3" xfId="99" xr:uid="{E0C40FEC-BE37-4773-B369-2A4B44C7ADE1}"/>
    <cellStyle name="40% - Accent4 3 2" xfId="100" xr:uid="{55F8ED43-AFA1-46E3-873A-72F7DE56AB7B}"/>
    <cellStyle name="40% - Accent4 4" xfId="101" xr:uid="{BCF48090-A7E4-4A5A-9BB1-AD75397D3FDC}"/>
    <cellStyle name="40% - Accent5 2" xfId="102" xr:uid="{AB1AB7FD-05E9-43EC-BECD-4ABBA66BCB8C}"/>
    <cellStyle name="40% - Accent5 2 2" xfId="103" xr:uid="{F9D3E800-0D21-497F-B687-D337572DC0B5}"/>
    <cellStyle name="40% - Accent5 3" xfId="104" xr:uid="{FFCC45A3-3CE7-46A1-9C4A-EE12AAB1ACC6}"/>
    <cellStyle name="40% - Accent5 3 2" xfId="105" xr:uid="{0479F072-CA6A-49E3-9038-C74C9103D4FA}"/>
    <cellStyle name="40% - Accent5 4" xfId="106" xr:uid="{D8FDB256-840D-4EE4-B21C-BFFC3072C797}"/>
    <cellStyle name="40% - Accent6 2" xfId="107" xr:uid="{7DC75022-C94D-4386-8BB7-08A215DDF51B}"/>
    <cellStyle name="40% - Accent6 2 2" xfId="108" xr:uid="{1B21225A-48A7-4197-BC3B-8E781EEB63D0}"/>
    <cellStyle name="40% - Accent6 3" xfId="109" xr:uid="{E043138B-F699-43F3-9B57-AB7100FAD150}"/>
    <cellStyle name="40% - Accent6 3 2" xfId="110" xr:uid="{8BF76E58-388D-4DC9-8DE0-23447AD9A7A8}"/>
    <cellStyle name="40% - Accent6 4" xfId="111" xr:uid="{A413CE4D-85C1-4057-9615-2DEDE9AB9111}"/>
    <cellStyle name="60% - Accent1 2" xfId="112" xr:uid="{813F0624-418D-46A5-A954-88D5326F5661}"/>
    <cellStyle name="60% - Accent1 2 2" xfId="113" xr:uid="{B1829152-C0C3-43DE-9DE4-8A6594D27355}"/>
    <cellStyle name="60% - Accent1 3" xfId="114" xr:uid="{1F7DCED7-945D-4BAB-9690-85CFA281D4B5}"/>
    <cellStyle name="60% - Accent1 3 2" xfId="115" xr:uid="{D39B4FFE-0DDC-4A65-A1CE-794FAA362434}"/>
    <cellStyle name="60% - Accent1 4" xfId="116" xr:uid="{A8804C54-2EA2-44C1-917A-B00CED86F8D9}"/>
    <cellStyle name="60% - Accent2 2" xfId="117" xr:uid="{D9BBA0C6-8268-4743-AB6F-799E6F82C3E4}"/>
    <cellStyle name="60% - Accent2 2 2" xfId="118" xr:uid="{258043E4-2A5C-412C-BDE3-444D13381F49}"/>
    <cellStyle name="60% - Accent2 3" xfId="119" xr:uid="{9A60723E-C1FF-4F2A-9B3D-EB99E6811672}"/>
    <cellStyle name="60% - Accent2 3 2" xfId="120" xr:uid="{0906E960-E024-4757-99C4-B56260671287}"/>
    <cellStyle name="60% - Accent2 4" xfId="121" xr:uid="{D3A0BDC6-AB44-4DAC-B9CF-D484E99404ED}"/>
    <cellStyle name="60% - Accent3 2" xfId="122" xr:uid="{DBA602EF-EE65-403E-8B43-BF54C8E09AFB}"/>
    <cellStyle name="60% - Accent3 2 2" xfId="123" xr:uid="{96C35AB6-F61C-4049-B4A9-44D6489BBDE3}"/>
    <cellStyle name="60% - Accent3 3" xfId="124" xr:uid="{5DCC426E-4723-4A28-BDF6-CB5102A4FAA6}"/>
    <cellStyle name="60% - Accent3 3 2" xfId="125" xr:uid="{4BC0A419-5C84-4B96-BB4D-A0ECB310061F}"/>
    <cellStyle name="60% - Accent3 4" xfId="126" xr:uid="{5C04DD3B-B4A2-4081-8A70-316784435C87}"/>
    <cellStyle name="60% - Accent4 2" xfId="127" xr:uid="{62FCB075-DB91-4D61-9B8F-E05CD40A747B}"/>
    <cellStyle name="60% - Accent4 2 2" xfId="128" xr:uid="{ECB676A7-60F1-4C27-85F7-38D329277E92}"/>
    <cellStyle name="60% - Accent4 3" xfId="129" xr:uid="{0B0B15A2-9DD4-47B3-BA26-A5DAD7C3CC43}"/>
    <cellStyle name="60% - Accent4 3 2" xfId="130" xr:uid="{B5459C46-1CC1-49A3-8168-90E4E254E415}"/>
    <cellStyle name="60% - Accent4 4" xfId="131" xr:uid="{89815FF2-AFF2-4FBC-9C94-2738826B58AD}"/>
    <cellStyle name="60% - Accent5 2" xfId="132" xr:uid="{89A08A48-A36F-4FF9-BB25-897DA66719AF}"/>
    <cellStyle name="60% - Accent5 2 2" xfId="133" xr:uid="{A845B065-0893-4991-ADCD-C22CFCB7B340}"/>
    <cellStyle name="60% - Accent5 3" xfId="134" xr:uid="{251CA845-DCBB-4750-B261-9463B8BAEB30}"/>
    <cellStyle name="60% - Accent5 3 2" xfId="135" xr:uid="{FEE22091-0A88-4B9B-9CD5-9297FC732635}"/>
    <cellStyle name="60% - Accent5 4" xfId="136" xr:uid="{F8F6C46C-8CE2-450C-85DD-9D114F52D328}"/>
    <cellStyle name="60% - Accent6 2" xfId="137" xr:uid="{6035F113-2563-47D1-A3A9-E4B2B3467660}"/>
    <cellStyle name="60% - Accent6 2 2" xfId="138" xr:uid="{B263E297-6EB2-4E98-9DC4-8B71E08FE2DF}"/>
    <cellStyle name="60% - Accent6 3" xfId="139" xr:uid="{DFC97A29-0D79-462B-A571-741DC9F99CE5}"/>
    <cellStyle name="60% - Accent6 3 2" xfId="140" xr:uid="{2950B04C-A654-45D5-8FBA-F5D6702D28CD}"/>
    <cellStyle name="60% - Accent6 4" xfId="141" xr:uid="{D678F61B-FAC5-41E9-8231-542545B87FC2}"/>
    <cellStyle name="Accent1 2" xfId="142" xr:uid="{4287D510-1B27-4D71-AC50-8385E303E9F4}"/>
    <cellStyle name="Accent1 2 2" xfId="143" xr:uid="{D60085CF-29A0-4CFF-82AE-B16E8B2049F4}"/>
    <cellStyle name="Accent1 3" xfId="144" xr:uid="{427322B4-319B-442C-A8C8-A0C4DD8FEB59}"/>
    <cellStyle name="Accent1 3 2" xfId="145" xr:uid="{D46B9C61-B1E1-4C61-A17D-E9DD00E3F238}"/>
    <cellStyle name="Accent1 4" xfId="146" xr:uid="{A89BCA13-143E-408B-AF16-9592EA94024D}"/>
    <cellStyle name="Accent2 2" xfId="147" xr:uid="{54BB94D1-F732-4B49-9B2B-D2D9C480EC34}"/>
    <cellStyle name="Accent2 2 2" xfId="148" xr:uid="{5939E53F-35BD-4C31-A614-6FA26B7ECA03}"/>
    <cellStyle name="Accent2 3" xfId="149" xr:uid="{23B1561A-B682-4CCA-8F2E-535FE7022570}"/>
    <cellStyle name="Accent2 3 2" xfId="150" xr:uid="{A9AAA1D9-3738-408D-B5EB-82DA2E8DE28C}"/>
    <cellStyle name="Accent2 4" xfId="151" xr:uid="{B908CAEA-8CE3-4AE0-A5D7-4CF8308D83FD}"/>
    <cellStyle name="Accent3 2" xfId="152" xr:uid="{A22B2D21-82C2-434D-B875-2C558D63A334}"/>
    <cellStyle name="Accent3 2 2" xfId="153" xr:uid="{774388FC-164B-4005-86CF-B234401ED510}"/>
    <cellStyle name="Accent3 3" xfId="154" xr:uid="{6BDE5FF1-FAC7-4F30-90D3-4AF86870A043}"/>
    <cellStyle name="Accent3 3 2" xfId="155" xr:uid="{A9BBD801-199A-48C1-A420-63503A8329C6}"/>
    <cellStyle name="Accent3 4" xfId="156" xr:uid="{A08D5F69-32B6-49D7-A5ED-5E96EB7DDF83}"/>
    <cellStyle name="Accent4 2" xfId="157" xr:uid="{B2D1450A-0963-4B04-8980-12721A46FF58}"/>
    <cellStyle name="Accent4 2 2" xfId="158" xr:uid="{15DAC815-1012-4AC5-B957-CAB0E28BEDC1}"/>
    <cellStyle name="Accent4 3" xfId="159" xr:uid="{A08E2674-8CB5-49DE-BEAE-B62181932195}"/>
    <cellStyle name="Accent4 3 2" xfId="160" xr:uid="{0CEAD38B-B2B8-42E9-8F8E-C408837EE0F8}"/>
    <cellStyle name="Accent4 4" xfId="161" xr:uid="{26294283-92F8-4F24-8533-2715775D87C4}"/>
    <cellStyle name="Accent5 2" xfId="162" xr:uid="{7AB3BFEB-60D9-4490-A134-E0FACE22547F}"/>
    <cellStyle name="Accent5 2 2" xfId="163" xr:uid="{9BEBB7B1-E42A-4651-B054-3DAFE59BFA49}"/>
    <cellStyle name="Accent5 3" xfId="164" xr:uid="{A0CE3D1E-27A6-4D07-9276-3702540BFCF2}"/>
    <cellStyle name="Accent5 3 2" xfId="165" xr:uid="{B3153F55-12B9-4D51-A198-E71B25DD5118}"/>
    <cellStyle name="Accent5 4" xfId="166" xr:uid="{2C0B0016-CF54-4462-89FC-C314BE2DB4B3}"/>
    <cellStyle name="Accent6 2" xfId="167" xr:uid="{DAAEAFBC-3AA9-49CB-8342-E5FF796EEC9E}"/>
    <cellStyle name="Accent6 2 2" xfId="168" xr:uid="{D6CAA0AE-0E27-4FF7-BBF1-B3CB216798A2}"/>
    <cellStyle name="Accent6 3" xfId="169" xr:uid="{AFB9B848-AF4D-491B-AEE8-D2C02D1F070A}"/>
    <cellStyle name="Accent6 3 2" xfId="170" xr:uid="{B79566F8-2A53-442A-A708-282DB79070D8}"/>
    <cellStyle name="Accent6 4" xfId="171" xr:uid="{AC0444B7-23B8-4F3B-A4B8-EB4AB8B47ED9}"/>
    <cellStyle name="Bad 2" xfId="172" xr:uid="{C1F17468-97B7-4FB0-B23E-692EBED08CC9}"/>
    <cellStyle name="Bad 2 2" xfId="173" xr:uid="{F483FB47-F401-42B3-BBE4-FA1BB8096512}"/>
    <cellStyle name="Bad 3" xfId="174" xr:uid="{24F8AC4B-10E4-4771-BC24-550543D76863}"/>
    <cellStyle name="Bad 3 2" xfId="175" xr:uid="{362E485F-E441-4F57-824A-8A076F4C68AA}"/>
    <cellStyle name="Bad 4" xfId="176" xr:uid="{5DBE1FC9-BB9F-4271-9BEE-BCF3D3844DB4}"/>
    <cellStyle name="Calculation 2" xfId="177" xr:uid="{E86E57B5-7D9E-4EBB-B515-DD0FB7F77CAF}"/>
    <cellStyle name="Calculation 2 2" xfId="178" xr:uid="{344BA73B-CA05-4117-966B-73E819266550}"/>
    <cellStyle name="Calculation 2 2 2" xfId="569" xr:uid="{9EDF15EE-B6EB-4B5C-B783-8018F976677A}"/>
    <cellStyle name="Calculation 2 2 3" xfId="566" xr:uid="{B0AE86D1-DB7B-49E5-85E7-1E31FD0C4AB4}"/>
    <cellStyle name="Calculation 2 2 4" xfId="565" xr:uid="{19289F48-BE03-4E45-A2A0-052837D0E019}"/>
    <cellStyle name="Calculation 2 2 5" xfId="567" xr:uid="{EBDF3295-0771-4B84-A6CA-230289889B45}"/>
    <cellStyle name="Calculation 3" xfId="179" xr:uid="{F149D11A-20B8-483E-9B3B-44280CAA4C0A}"/>
    <cellStyle name="Calculation 3 2" xfId="180" xr:uid="{BDDB0CBE-49AF-47CB-8972-1552ABF078AD}"/>
    <cellStyle name="Calculation 3 2 2" xfId="568" xr:uid="{870DA83C-8375-4DB4-818A-A667696A0295}"/>
    <cellStyle name="Calculation 3 2 3" xfId="516" xr:uid="{95BD5121-91A5-4B8B-979A-E08694EC49B3}"/>
    <cellStyle name="Calculation 3 2 4" xfId="564" xr:uid="{0DF8F1C4-FE07-4E6B-89DE-8A274BC00315}"/>
    <cellStyle name="Calculation 3 2 5" xfId="515" xr:uid="{30EC165B-B4D7-4570-8F17-22797FE16D28}"/>
    <cellStyle name="Calculation 4" xfId="181" xr:uid="{8DFC4ABF-347F-4D5D-9282-C1D643AD5DBB}"/>
    <cellStyle name="Check Cell 2" xfId="182" xr:uid="{C5215C03-C27B-474D-9C30-A806D28A1516}"/>
    <cellStyle name="Check Cell 2 2" xfId="183" xr:uid="{89BE2465-EAB7-497B-B130-A9B487D3EEF7}"/>
    <cellStyle name="Check Cell 3" xfId="184" xr:uid="{BFDDF714-6868-490D-B576-C9EC5A2189EE}"/>
    <cellStyle name="Check Cell 3 2" xfId="185" xr:uid="{8676F097-8351-4FF6-A123-9FE0C832A68F}"/>
    <cellStyle name="Check Cell 4" xfId="186" xr:uid="{3927C770-E6A9-4F51-A6BA-D9CFE54A793D}"/>
    <cellStyle name="Co #" xfId="187" xr:uid="{27224E69-75AC-4D76-9C6C-E570AC22FA3E}"/>
    <cellStyle name="Comma" xfId="4" builtinId="3"/>
    <cellStyle name="Comma 10" xfId="188" xr:uid="{496AB9DF-F616-45BD-97E5-C5199114A7C2}"/>
    <cellStyle name="Comma 10 2" xfId="189" xr:uid="{FA2D25FA-E275-4DFA-AD93-2C7B56F80473}"/>
    <cellStyle name="Comma 10 3" xfId="190" xr:uid="{7801EC5B-6F08-4D64-A06D-81E46F74D6F9}"/>
    <cellStyle name="Comma 10 4" xfId="191" xr:uid="{FE571F45-3D1A-4518-9425-0FCC28105088}"/>
    <cellStyle name="Comma 10 5" xfId="192" xr:uid="{0004FABA-3BC7-4464-8A82-3FEFAE136705}"/>
    <cellStyle name="Comma 11" xfId="193" xr:uid="{E9D763A0-BDC0-4B19-B5EA-7BA52095CE49}"/>
    <cellStyle name="Comma 12" xfId="194" xr:uid="{65B20577-0C88-41D3-A0CA-E2BF6CC496C1}"/>
    <cellStyle name="Comma 13" xfId="195" xr:uid="{36B8CB87-7313-4212-AD00-BCFB3E9FC0AE}"/>
    <cellStyle name="Comma 13 3 2" xfId="44" xr:uid="{097EF93E-D2E2-44A8-AC46-9AA4335724F2}"/>
    <cellStyle name="Comma 14" xfId="196" xr:uid="{264A954C-3BF2-4290-9A5E-AB89199985F1}"/>
    <cellStyle name="Comma 15" xfId="197" xr:uid="{7106FD59-60B0-4903-A60A-BBA8D269AE2C}"/>
    <cellStyle name="Comma 16" xfId="198" xr:uid="{9F56CDA5-B480-4B25-B006-3EF480557B61}"/>
    <cellStyle name="Comma 17" xfId="199" xr:uid="{988370F2-F3BE-4B25-A115-BA78B1676DBB}"/>
    <cellStyle name="Comma 18" xfId="200" xr:uid="{AE11F2EE-19CC-4079-AAD8-5B8EE4FCCD98}"/>
    <cellStyle name="Comma 19" xfId="201" xr:uid="{F6029885-E500-4384-9806-C43B5CDE11CD}"/>
    <cellStyle name="Comma 2" xfId="34" xr:uid="{451319E1-DB35-4C42-93E7-454DC2AC7AED}"/>
    <cellStyle name="Comma 2 2" xfId="202" xr:uid="{FED3A67C-39E8-4267-9A3A-BE1BD0475890}"/>
    <cellStyle name="Comma 2 2 2" xfId="203" xr:uid="{A1C46EA9-AD76-4260-8A04-665D86B25DF2}"/>
    <cellStyle name="Comma 2 2 2 2" xfId="204" xr:uid="{689A41F0-F4D1-4F04-9444-B57B71002DA4}"/>
    <cellStyle name="Comma 2 2 2 3" xfId="205" xr:uid="{5B229869-CAD1-4E98-9D02-975B0E3CE1A6}"/>
    <cellStyle name="Comma 2 2 2 4" xfId="206" xr:uid="{745F2892-A8EB-4C3A-8CFC-E04841901A5C}"/>
    <cellStyle name="Comma 2 2 2 5" xfId="207" xr:uid="{7F3952B8-4C00-462B-BB6E-81EC3E5C1937}"/>
    <cellStyle name="Comma 2 2 3" xfId="208" xr:uid="{C563C249-EF89-4BE6-892C-C493E12C0AD3}"/>
    <cellStyle name="Comma 2 2 4" xfId="209" xr:uid="{9955F2B9-C5A3-4EA0-8C5F-76E9049ACAC3}"/>
    <cellStyle name="Comma 2 2 5" xfId="210" xr:uid="{88791A9B-C31C-4BAD-81F4-3E7A640F4C84}"/>
    <cellStyle name="Comma 2 2 6" xfId="211" xr:uid="{45E39CF0-920B-4B0C-920F-3E1894663024}"/>
    <cellStyle name="Comma 2 3" xfId="31" xr:uid="{384FCA29-E917-446E-B0F0-D73EC56AD6E2}"/>
    <cellStyle name="Comma 2 3 2" xfId="212" xr:uid="{6C944D71-8C0F-4B4F-A7DD-7BB53C2ED908}"/>
    <cellStyle name="Comma 2 4" xfId="213" xr:uid="{5334F905-0484-4538-BECD-8C958C9AB0A4}"/>
    <cellStyle name="Comma 2 5" xfId="42" xr:uid="{B578EA99-92B7-40F1-B460-FA084F71145D}"/>
    <cellStyle name="Comma 2 6" xfId="214" xr:uid="{CD5212C5-A2EC-4B0E-AAB2-1D737E98F6F6}"/>
    <cellStyle name="Comma 2 7" xfId="38" xr:uid="{A7D7C396-F66F-4536-9310-9A8520D1FB0C}"/>
    <cellStyle name="Comma 20" xfId="581" xr:uid="{81743E77-331F-43B7-B9F8-230C21A10325}"/>
    <cellStyle name="Comma 25" xfId="2" xr:uid="{BF35C17D-3C02-4CE3-B2C6-FA8124217731}"/>
    <cellStyle name="Comma 3" xfId="215" xr:uid="{58D45B68-F8B7-4DF5-BDEA-2EBA3062E94A}"/>
    <cellStyle name="Comma 3 2" xfId="216" xr:uid="{F8418BD8-9D2A-42C7-A9A5-2F918ADFBD1B}"/>
    <cellStyle name="Comma 4" xfId="217" xr:uid="{92F31183-2D38-4913-BB31-8A482DA48771}"/>
    <cellStyle name="Comma 4 2" xfId="218" xr:uid="{30D5D361-0197-48BD-81C2-1A675A19C9E0}"/>
    <cellStyle name="Comma 4 2 2" xfId="219" xr:uid="{82836E6E-DB9F-4C2C-8382-F2E09F790694}"/>
    <cellStyle name="Comma 4 2 3" xfId="220" xr:uid="{3AB57155-DBDD-4CBE-88F9-483B196A1569}"/>
    <cellStyle name="Comma 4 2 4" xfId="221" xr:uid="{49BDDE2C-11C6-47E2-94D6-BA5E7A50A8EA}"/>
    <cellStyle name="Comma 4 2 5" xfId="222" xr:uid="{46E5A77B-1D3D-42CC-AEA9-B2C08A7A25B2}"/>
    <cellStyle name="Comma 5" xfId="223" xr:uid="{E78D57F2-E447-4EC5-A063-FC92F0A564F0}"/>
    <cellStyle name="Comma 5 2" xfId="224" xr:uid="{0F9DDA0F-9898-47C5-B8C9-35F1C31ED5CB}"/>
    <cellStyle name="Comma 5 3" xfId="225" xr:uid="{6ED1F426-7518-4833-9A8F-A8F6225E14FF}"/>
    <cellStyle name="Comma 5 4" xfId="226" xr:uid="{1BD67F2E-130E-440A-B3C4-A2AA3C5E3D25}"/>
    <cellStyle name="Comma 5 5" xfId="227" xr:uid="{5E5ABBD3-9E97-4C1E-99BC-97FBA295FF04}"/>
    <cellStyle name="Comma 6" xfId="228" xr:uid="{C9D66BEE-7287-44F2-8525-836696BD2D5E}"/>
    <cellStyle name="Comma 7" xfId="229" xr:uid="{E81D47D1-39D8-42C7-97D6-C1C8A4A2AA83}"/>
    <cellStyle name="Comma 7 2" xfId="230" xr:uid="{2B6FAA3F-985D-4394-918D-C38C4DE40BB0}"/>
    <cellStyle name="Comma 7 3" xfId="231" xr:uid="{79E6D550-FA65-4F6D-A304-3B31A753B074}"/>
    <cellStyle name="Comma 7 4" xfId="232" xr:uid="{D23AA596-C292-485D-B3F1-784ADBEA0B8B}"/>
    <cellStyle name="Comma 7 5" xfId="233" xr:uid="{381FA398-3EFC-4461-8BA9-0B08AF1302C9}"/>
    <cellStyle name="Comma 8" xfId="234" xr:uid="{2916553F-8878-4643-877B-15F64364317D}"/>
    <cellStyle name="Comma 8 2" xfId="235" xr:uid="{A0BCDCA8-5144-4D20-B737-7D2494C2D298}"/>
    <cellStyle name="Comma 8 2 2" xfId="236" xr:uid="{DE4D2175-0153-499A-93DA-074B184BB44B}"/>
    <cellStyle name="Comma 8 3" xfId="237" xr:uid="{7CE889A4-04F1-471A-BEB1-B5FF2970BC17}"/>
    <cellStyle name="Comma 8 4" xfId="238" xr:uid="{42A38A86-41B0-4A3B-81D7-0126F32F0D18}"/>
    <cellStyle name="Comma 8 5" xfId="239" xr:uid="{1571DF41-084F-416F-B809-5EBC0A3D1E9E}"/>
    <cellStyle name="Comma 8 6" xfId="240" xr:uid="{7E324AA4-960B-4054-92B6-4728DD1EE5F9}"/>
    <cellStyle name="Comma 9" xfId="241" xr:uid="{9652EB74-BDAD-4068-8C99-AB2C5B8A0510}"/>
    <cellStyle name="Currency" xfId="5" builtinId="4"/>
    <cellStyle name="Currency 2" xfId="28" xr:uid="{2B258486-DF00-4453-AB6C-61B7C198FD37}"/>
    <cellStyle name="Currency 2 2" xfId="32" xr:uid="{5B7730BC-2844-402A-BF92-85A033790BCA}"/>
    <cellStyle name="Currency 2 2 2" xfId="243" xr:uid="{ED10C182-0F79-4DF2-B917-38D56AB7B693}"/>
    <cellStyle name="Currency 2 2 3" xfId="242" xr:uid="{00E599FA-B243-4E85-9F8D-D7A89A772A7D}"/>
    <cellStyle name="Currency 2 3" xfId="244" xr:uid="{F46C7C8A-DD80-45C4-A972-138D839922E7}"/>
    <cellStyle name="Currency 2 4" xfId="245" xr:uid="{9502C5E1-448F-49C6-8939-34A0A07F005D}"/>
    <cellStyle name="Currency 2 5" xfId="246" xr:uid="{F2068127-BC30-4BD8-9810-3F584A0EDF5A}"/>
    <cellStyle name="Currency 2 6" xfId="510" xr:uid="{36B757E8-282F-473E-826B-3960F59FD3E3}"/>
    <cellStyle name="Currency 2 7" xfId="41" xr:uid="{E42B319D-7D69-4B29-B5BE-62BA3BC3859B}"/>
    <cellStyle name="Currency 3" xfId="247" xr:uid="{575EB48A-5075-482A-9DC1-BEDAC6E3E7AF}"/>
    <cellStyle name="Currency 4" xfId="248" xr:uid="{058A5119-907B-4450-9CEE-BD52BB793CD3}"/>
    <cellStyle name="Currency 4 2" xfId="30" xr:uid="{549C620D-FAA6-47E3-B86A-B3F48F030BAF}"/>
    <cellStyle name="Currency 5" xfId="249" xr:uid="{FF02579F-3EF3-4154-B97C-14034CD09D60}"/>
    <cellStyle name="Currency 6" xfId="33" xr:uid="{E93A1AE0-FA45-42BE-98AC-6337FF8221BD}"/>
    <cellStyle name="Date" xfId="250" xr:uid="{373A9569-BDE3-4C29-8BC6-2716F6A8EA74}"/>
    <cellStyle name="Date-Regulatory" xfId="251" xr:uid="{792D31E8-687C-4A71-8B09-4D131E409124}"/>
    <cellStyle name="Euro" xfId="252" xr:uid="{384DF286-5607-4566-B28D-701951EE35BA}"/>
    <cellStyle name="Explanatory Text 2" xfId="253" xr:uid="{95D1BCFF-737D-4919-80F1-DCB7CE8CB535}"/>
    <cellStyle name="Explanatory Text 2 2" xfId="254" xr:uid="{F49BC463-3786-40F7-A05C-922E10523C21}"/>
    <cellStyle name="Explanatory Text 3" xfId="255" xr:uid="{AC711660-A15E-4162-B6F5-B5D39580A459}"/>
    <cellStyle name="Explanatory Text 3 2" xfId="256" xr:uid="{E8835BDD-EE3D-45D9-8D32-EBBC5490445F}"/>
    <cellStyle name="Explanatory Text 4" xfId="257" xr:uid="{F3F7C95E-608F-4232-8AD0-09D413CBE15D}"/>
    <cellStyle name="Footnote" xfId="258" xr:uid="{12BF4347-6136-481F-B6C4-6DE24CEB180E}"/>
    <cellStyle name="FRxAmtStyle" xfId="7" xr:uid="{4CC0F50C-28EF-4F3D-9719-0A60E2F35D15}"/>
    <cellStyle name="FRxCurrStyle" xfId="8" xr:uid="{DFBA8659-418F-42FC-8B1C-E699C0CD44D2}"/>
    <cellStyle name="FRxPcntStyle" xfId="9" xr:uid="{479F8D99-D0D2-4870-805B-642C370CA069}"/>
    <cellStyle name="Good 2" xfId="259" xr:uid="{9B0E7E70-E48E-42A6-B6B6-02DDDDCADAB1}"/>
    <cellStyle name="Good 2 2" xfId="260" xr:uid="{0BAC0E12-989E-4719-97DD-7B1833BFF2CC}"/>
    <cellStyle name="Good 3" xfId="261" xr:uid="{B1EF410A-D860-4E12-99DF-3380C602AE6D}"/>
    <cellStyle name="Good 3 2" xfId="262" xr:uid="{A0E87DAC-DF50-47AA-AEC3-0F575029971F}"/>
    <cellStyle name="Good 4" xfId="263" xr:uid="{D9CAD347-F841-40A2-BAF4-D0875B206B7E}"/>
    <cellStyle name="Heading 1 2" xfId="264" xr:uid="{491F3313-59BD-415D-98AE-AE495FE0D500}"/>
    <cellStyle name="Heading 1 2 2" xfId="265" xr:uid="{83FD943B-4C17-427C-B099-B91C987B0F25}"/>
    <cellStyle name="Heading 1 3" xfId="266" xr:uid="{546B2998-81E5-4273-B5D9-A42098D84FE3}"/>
    <cellStyle name="Heading 1 3 2" xfId="267" xr:uid="{CFF05C25-14DF-499E-A09A-0F4BCF89408F}"/>
    <cellStyle name="Heading 1 4" xfId="268" xr:uid="{388BB491-7FBB-40BE-997A-418E969B21B8}"/>
    <cellStyle name="Heading 2 2" xfId="269" xr:uid="{F25E1D31-EAC2-4869-9E04-2E7E467FD645}"/>
    <cellStyle name="Heading 2 2 2" xfId="270" xr:uid="{566B449B-7694-4D85-9171-D89672DB2A91}"/>
    <cellStyle name="Heading 2 3" xfId="271" xr:uid="{C8545DE2-452B-4AD1-B13F-37EE46CEDE2A}"/>
    <cellStyle name="Heading 2 3 2" xfId="272" xr:uid="{8ABB6F32-E87F-45CE-BDE1-811CC41919DC}"/>
    <cellStyle name="Heading 2 4" xfId="273" xr:uid="{34AC670B-9586-4F3D-A483-173A0BC1955B}"/>
    <cellStyle name="Heading 3 2" xfId="274" xr:uid="{31546DA2-3F24-4DBB-91AA-A85F239FD6BD}"/>
    <cellStyle name="Heading 3 2 2" xfId="275" xr:uid="{C4BCE7D5-F635-4E73-B82F-A97500A9DAE9}"/>
    <cellStyle name="Heading 3 3" xfId="276" xr:uid="{D26B4FFD-E09C-429B-A2FD-EE3F752C97CD}"/>
    <cellStyle name="Heading 3 3 2" xfId="277" xr:uid="{B84A0B19-27B4-443C-B9D3-1BD751196BAB}"/>
    <cellStyle name="Heading 3 4" xfId="278" xr:uid="{DE4C0C91-BA1F-4B3E-989B-60E20ABFC05F}"/>
    <cellStyle name="Heading 4 2" xfId="279" xr:uid="{6E6057FB-E814-4AEF-8468-FF575F50B3C1}"/>
    <cellStyle name="Heading 4 2 2" xfId="280" xr:uid="{32377D42-7F4F-4742-BDBF-8D174BA146BF}"/>
    <cellStyle name="Heading 4 3" xfId="281" xr:uid="{E085B93C-9FCE-4A43-82D2-C58D939A67B0}"/>
    <cellStyle name="Heading 4 3 2" xfId="282" xr:uid="{014CC72B-9461-4640-9FFB-B71123B316D7}"/>
    <cellStyle name="Heading 4 4" xfId="283" xr:uid="{2F2F92D8-35FA-4105-9AF8-F428F5D2BEE3}"/>
    <cellStyle name="Hyperlink 2" xfId="10" xr:uid="{02C86107-D2D9-4045-B156-2CF99A1F36F7}"/>
    <cellStyle name="Input 2" xfId="284" xr:uid="{C6F4F876-E835-402B-99F0-2FC116D67357}"/>
    <cellStyle name="Input 2 2" xfId="285" xr:uid="{0E55EA3B-E337-41AF-9230-B03F5E2E4D1D}"/>
    <cellStyle name="Input 2 2 2" xfId="559" xr:uid="{75F687BD-0247-4C46-8C1C-118493248134}"/>
    <cellStyle name="Input 2 2 3" xfId="557" xr:uid="{50F445BC-99BD-482C-9F0A-6EF370019181}"/>
    <cellStyle name="Input 2 2 4" xfId="561" xr:uid="{80B6E7AF-A9AB-4874-84E9-1E9499F4E77E}"/>
    <cellStyle name="Input 2 2 5" xfId="563" xr:uid="{0A07D89C-5A3D-436C-B243-60F5A7F97C31}"/>
    <cellStyle name="Input 3" xfId="286" xr:uid="{4C3312D3-86E8-473C-B86E-A7B1F34A288F}"/>
    <cellStyle name="Input 3 2" xfId="287" xr:uid="{AC23ABC7-EA01-4F00-9957-18F06BF3C4DD}"/>
    <cellStyle name="Input 3 2 2" xfId="558" xr:uid="{58AFD9D8-8DC0-4FCB-B293-CA2F67A20140}"/>
    <cellStyle name="Input 3 2 3" xfId="556" xr:uid="{E7A663EF-E22F-40F6-90D7-8FB8335EBE30}"/>
    <cellStyle name="Input 3 2 4" xfId="560" xr:uid="{208891F0-E81C-4EE8-848C-84B02107F1E8}"/>
    <cellStyle name="Input 3 2 5" xfId="562" xr:uid="{6DC672ED-8CF1-4756-89CE-5345B07D611A}"/>
    <cellStyle name="Input 4" xfId="288" xr:uid="{60AA7CF4-9F8C-40AD-B04F-92FDF257A503}"/>
    <cellStyle name="Line Number" xfId="289" xr:uid="{ACEEC781-3579-4872-90C7-B9CC63072F24}"/>
    <cellStyle name="Linked Cell 2" xfId="290" xr:uid="{4B663418-9F85-474B-AF4A-868A14722792}"/>
    <cellStyle name="Linked Cell 2 2" xfId="291" xr:uid="{4AC47124-9C5F-4349-8A2D-B3E6B15D1192}"/>
    <cellStyle name="Linked Cell 3" xfId="292" xr:uid="{447194C9-7626-457D-A52E-3DC5A534E0C1}"/>
    <cellStyle name="Linked Cell 3 2" xfId="293" xr:uid="{63177E4C-8E12-48F0-B281-C795F2893A20}"/>
    <cellStyle name="Linked Cell 4" xfId="294" xr:uid="{71C398FA-96BC-4181-901D-EF75C10EC632}"/>
    <cellStyle name="Neutral 2" xfId="295" xr:uid="{E2F7F457-AE94-4FF6-8A9A-3ACC001366E7}"/>
    <cellStyle name="Neutral 2 2" xfId="296" xr:uid="{E766B432-CE90-47AE-AAEE-B141C2933CFE}"/>
    <cellStyle name="Neutral 3" xfId="297" xr:uid="{41B9BA0B-1841-484A-8BAE-361D06E6BECA}"/>
    <cellStyle name="Neutral 3 2" xfId="298" xr:uid="{479C4DE1-5CE0-4B10-9971-92B377648DEA}"/>
    <cellStyle name="Neutral 4" xfId="299" xr:uid="{9A23960D-B5B8-40D9-923A-81862317A46D}"/>
    <cellStyle name="Normal" xfId="0" builtinId="0"/>
    <cellStyle name="Normal 10" xfId="300" xr:uid="{6D99E8DB-A3DE-486F-8934-298EA7F87A5A}"/>
    <cellStyle name="Normal 10 2" xfId="301" xr:uid="{645B6C2E-1EC9-4A4B-81DC-99219AF5634F}"/>
    <cellStyle name="Normal 10 3" xfId="302" xr:uid="{3775AB60-E1A9-4BBB-AB0A-73767B1CFE94}"/>
    <cellStyle name="Normal 10 4" xfId="303" xr:uid="{BDAA0438-4CDF-4908-913F-30AA3A95F52C}"/>
    <cellStyle name="Normal 10 5" xfId="304" xr:uid="{88960C05-4B07-4DB8-8422-5B48848FFA50}"/>
    <cellStyle name="Normal 10 6" xfId="305" xr:uid="{5A5EBA77-28E6-47EB-A84A-664D8EBE027C}"/>
    <cellStyle name="Normal 10 7" xfId="1" xr:uid="{1D12560C-EF0F-4B12-824C-26CA3E3EED0E}"/>
    <cellStyle name="Normal 11" xfId="306" xr:uid="{74779A73-FDAA-4203-8646-5B19728B1049}"/>
    <cellStyle name="Normal 11 2" xfId="307" xr:uid="{68F303F2-9739-4484-8280-89A5FD7FF4C9}"/>
    <cellStyle name="Normal 11 3" xfId="308" xr:uid="{B43C4E0F-10FF-45A0-9A5D-CA275574DC24}"/>
    <cellStyle name="Normal 11 4" xfId="309" xr:uid="{4C56483A-710C-4A80-B780-2AA0AD4A2362}"/>
    <cellStyle name="Normal 11 5" xfId="310" xr:uid="{B041ECD1-658B-4A20-9CBD-46B48511E6E8}"/>
    <cellStyle name="Normal 11 6" xfId="311" xr:uid="{E2772397-4831-4AB7-8972-806236474940}"/>
    <cellStyle name="Normal 12" xfId="312" xr:uid="{EA902694-CA98-4095-B7BE-907C91DE7A21}"/>
    <cellStyle name="Normal 12 2" xfId="313" xr:uid="{BBA9BB23-0085-4F5F-BC12-CCBCCA08FEDC}"/>
    <cellStyle name="Normal 12 3" xfId="314" xr:uid="{C2EF039B-FDF6-485C-B9EC-C7F3928A57E4}"/>
    <cellStyle name="Normal 12 4" xfId="315" xr:uid="{C23FB4B6-A703-4231-BF4D-C9001373CCC7}"/>
    <cellStyle name="Normal 12 5" xfId="316" xr:uid="{B2735BB2-7C9B-49B9-91B0-A9E2E6115D97}"/>
    <cellStyle name="Normal 12 6" xfId="317" xr:uid="{7981A28C-A9AC-46CE-AEF0-56294300EED8}"/>
    <cellStyle name="Normal 13" xfId="318" xr:uid="{EC568A36-3FFB-45E3-9321-E314A98A334D}"/>
    <cellStyle name="Normal 13 2" xfId="319" xr:uid="{99344D7B-34EB-4D73-9363-2A39345CCBD5}"/>
    <cellStyle name="Normal 13 3" xfId="320" xr:uid="{8A1F3730-213B-49E3-AAC9-1D6E4B7D89E5}"/>
    <cellStyle name="Normal 13 4" xfId="321" xr:uid="{FF27F84B-B456-4714-86CF-7F1E250F66DA}"/>
    <cellStyle name="Normal 13 5" xfId="322" xr:uid="{240C1C79-37FD-4D24-91DB-62CA4F567797}"/>
    <cellStyle name="Normal 13 6" xfId="323" xr:uid="{ACC0BF27-9C96-4272-B46F-14A1D75E9453}"/>
    <cellStyle name="Normal 14" xfId="324" xr:uid="{E063A00D-8A6F-4EB8-9549-D21843D21AD0}"/>
    <cellStyle name="Normal 14 2" xfId="325" xr:uid="{185C34BC-D740-4DDE-8225-48F3EE87D949}"/>
    <cellStyle name="Normal 14 3" xfId="326" xr:uid="{15441CF7-AF51-4E1E-A66A-C1537C2DD10D}"/>
    <cellStyle name="Normal 14 4" xfId="327" xr:uid="{65D67BF1-986E-4778-8236-1021E8D6857E}"/>
    <cellStyle name="Normal 14 5" xfId="328" xr:uid="{B8E4D85D-0F70-47CC-8DBE-4682982B0C7D}"/>
    <cellStyle name="Normal 14 6" xfId="329" xr:uid="{B86DD595-0604-4123-97F4-448295353FFF}"/>
    <cellStyle name="Normal 15" xfId="330" xr:uid="{C4459D6B-0419-4B94-A1B2-85AAF7CFEE23}"/>
    <cellStyle name="Normal 15 2" xfId="331" xr:uid="{6307ABCF-0A5E-442D-B6A1-5FCC9040F3BB}"/>
    <cellStyle name="Normal 15 3" xfId="332" xr:uid="{F4F581B3-75C5-4BDB-9F93-245C8A487679}"/>
    <cellStyle name="Normal 15 4" xfId="333" xr:uid="{103051CA-113E-45CC-BB4E-31C5BDED5B0E}"/>
    <cellStyle name="Normal 15 5" xfId="334" xr:uid="{2C21E72C-ABAE-4826-984F-09F6B9518501}"/>
    <cellStyle name="Normal 15 6" xfId="335" xr:uid="{12AB5F65-EC81-4FD7-A899-F2CC4A59046E}"/>
    <cellStyle name="Normal 16" xfId="336" xr:uid="{4BCA48A4-13A5-4BF5-81B3-443A4AF5992E}"/>
    <cellStyle name="Normal 16 2" xfId="337" xr:uid="{0188439F-F8E1-482B-88A4-5D6778C33F9B}"/>
    <cellStyle name="Normal 16 3" xfId="338" xr:uid="{0A0A8685-CE6E-40B5-98C7-804C85224264}"/>
    <cellStyle name="Normal 16 4" xfId="339" xr:uid="{321031D8-414D-4793-9543-F32BE1A0E994}"/>
    <cellStyle name="Normal 16 5" xfId="340" xr:uid="{621E4537-C962-4D0B-A7E3-717A38097788}"/>
    <cellStyle name="Normal 16 6" xfId="341" xr:uid="{CF11BFCE-C68B-421D-8193-ED50E85C3805}"/>
    <cellStyle name="Normal 17" xfId="342" xr:uid="{62C577A7-D478-484C-B77D-1C9F52ABB153}"/>
    <cellStyle name="Normal 17 2" xfId="343" xr:uid="{E10C269E-300C-410A-83D7-46A3FCE7458E}"/>
    <cellStyle name="Normal 17 3" xfId="344" xr:uid="{2D539ACE-42E6-47AD-B609-DE7014021637}"/>
    <cellStyle name="Normal 17 4" xfId="345" xr:uid="{F0BA866E-D08E-411A-8287-4B55CFF076A9}"/>
    <cellStyle name="Normal 17 5" xfId="346" xr:uid="{F75176CD-539C-4AD8-8DC3-F43206A11D3A}"/>
    <cellStyle name="Normal 17 6" xfId="347" xr:uid="{5B15128B-10DD-4A59-B513-71E27A281708}"/>
    <cellStyle name="Normal 18" xfId="348" xr:uid="{2BF73B06-4940-4C9C-B508-FD677A8C637B}"/>
    <cellStyle name="Normal 18 2" xfId="349" xr:uid="{2B9D4657-C6BB-47DF-8047-266CE6D4CF08}"/>
    <cellStyle name="Normal 18 3" xfId="350" xr:uid="{CBCA840C-AF49-4B5B-AA2E-713A602AA1E7}"/>
    <cellStyle name="Normal 18 4" xfId="351" xr:uid="{9B813AB9-7AB9-446B-AC46-0955775E936D}"/>
    <cellStyle name="Normal 18 5" xfId="352" xr:uid="{5FA596A5-DE04-4775-B2F8-40152BBA1059}"/>
    <cellStyle name="Normal 18 6" xfId="353" xr:uid="{803D95B1-48BF-425F-8C1C-85776C8B1E0A}"/>
    <cellStyle name="Normal 19" xfId="354" xr:uid="{62A28DC8-6480-4107-9FFD-A3E4400B766C}"/>
    <cellStyle name="Normal 19 2" xfId="355" xr:uid="{EDF58F23-936E-4B1E-92F1-96C3BDEC4DF2}"/>
    <cellStyle name="Normal 2" xfId="11" xr:uid="{C7825DCC-6461-434C-815F-597C4516618C}"/>
    <cellStyle name="Normal 2 10" xfId="35" xr:uid="{F075C78A-FD1B-41ED-8847-4189395EC769}"/>
    <cellStyle name="Normal 2 2" xfId="12" xr:uid="{15CCDA2E-CCDF-493B-AAB5-B2B4FA38EBFF}"/>
    <cellStyle name="Normal 2 2 2" xfId="13" xr:uid="{09925D2B-CAF8-4EDC-9400-DEEEEE9E4ABD}"/>
    <cellStyle name="Normal 2 2 2 2" xfId="357" xr:uid="{EDB194B9-2C8C-45A1-A5D5-94A2E7DB370D}"/>
    <cellStyle name="Normal 2 2 2 3" xfId="356" xr:uid="{5C00E2E7-A67F-436C-972C-88EFE83ED410}"/>
    <cellStyle name="Normal 2 2 3" xfId="358" xr:uid="{814F1DF6-EECB-4890-A1B1-748D647AD0E8}"/>
    <cellStyle name="Normal 2 2 4" xfId="359" xr:uid="{229709CF-ACBF-42CC-ADC8-A9C23F865067}"/>
    <cellStyle name="Normal 2 2 5" xfId="360" xr:uid="{840AEBFB-740F-4E10-997B-88EFA6F2357E}"/>
    <cellStyle name="Normal 2 2 6" xfId="361" xr:uid="{D9DAA4CF-C4A7-4149-A971-4DD6F933186F}"/>
    <cellStyle name="Normal 2 2 7" xfId="37" xr:uid="{169E592A-7778-490A-B179-5A83E1C0EBDF}"/>
    <cellStyle name="Normal 2 2_Xl0000123" xfId="362" xr:uid="{587CE1A4-664B-47E8-968C-5E66F54B7DBC}"/>
    <cellStyle name="Normal 2 3" xfId="14" xr:uid="{B5FC3979-B5A7-4FB6-A5ED-828A45739392}"/>
    <cellStyle name="Normal 2 3 2" xfId="363" xr:uid="{717DA1D4-59BE-4DBE-9F8E-243D757AA6A7}"/>
    <cellStyle name="Normal 2 4" xfId="15" xr:uid="{37944683-9607-4518-A637-FA1855713931}"/>
    <cellStyle name="Normal 2 4 2" xfId="502" xr:uid="{8F2F0CE0-A35E-4606-914A-EDB866CFC54F}"/>
    <cellStyle name="Normal 2 4 3" xfId="364" xr:uid="{EB71BC9A-A889-4CB2-BEA5-1C2F59598ABD}"/>
    <cellStyle name="Normal 2 5" xfId="365" xr:uid="{5A9F869A-AB70-4B58-849B-EBFE0769A947}"/>
    <cellStyle name="Normal 2 6" xfId="366" xr:uid="{B5666E6B-796E-4936-AFDF-8D44097620F9}"/>
    <cellStyle name="Normal 2 7" xfId="503" xr:uid="{02265063-064C-461E-AAAD-9907D5150E54}"/>
    <cellStyle name="Normal 2 8" xfId="509" xr:uid="{7CD1A5C9-E620-499C-8C92-57404490D00B}"/>
    <cellStyle name="Normal 2 9" xfId="36" xr:uid="{203F9066-AA57-457E-8D07-58F0CC6BDC0F}"/>
    <cellStyle name="Normal 2_Adjustment to Insurance Expense WSC KY 2008" xfId="367" xr:uid="{1A8C453C-8EB0-493A-8BAF-68E56F740733}"/>
    <cellStyle name="Normal 20" xfId="368" xr:uid="{BBA73E3C-589B-4C62-B693-AB2DF6127BBB}"/>
    <cellStyle name="Normal 20 2" xfId="369" xr:uid="{0FA6F5BB-B89F-47FA-8549-6E2C9FDEC521}"/>
    <cellStyle name="Normal 20 2 2" xfId="370" xr:uid="{C58A951E-888A-4B76-9BE5-4E096017EC2C}"/>
    <cellStyle name="Normal 20 3" xfId="371" xr:uid="{576437B1-E6C1-4953-8E38-0BA5AE4D61B2}"/>
    <cellStyle name="Normal 20 4" xfId="372" xr:uid="{C87F714B-7A77-4633-B1A8-1C14D3A1DE14}"/>
    <cellStyle name="Normal 20 5" xfId="373" xr:uid="{C771C9AB-9AFF-44D8-9FA6-2FFBFB63C3DD}"/>
    <cellStyle name="Normal 20 6" xfId="374" xr:uid="{C46EEA90-2A55-4658-930B-7EF1C44BA4FE}"/>
    <cellStyle name="Normal 20_Xl0000121" xfId="375" xr:uid="{1D15EC90-B6A5-41E2-A9C0-CDDCD00EE167}"/>
    <cellStyle name="Normal 21" xfId="376" xr:uid="{577719BC-8E56-4D45-AC68-9A8D24570594}"/>
    <cellStyle name="Normal 21 2" xfId="377" xr:uid="{58523621-F93B-4358-B42A-68C1A8305B2F}"/>
    <cellStyle name="Normal 22" xfId="378" xr:uid="{05BD2403-EA7A-46E8-9605-75D9F510A97C}"/>
    <cellStyle name="Normal 23" xfId="379" xr:uid="{46917432-1033-4B57-A08F-BA3A97172AFC}"/>
    <cellStyle name="Normal 24" xfId="380" xr:uid="{0B8C02BF-AD52-4ABF-AA35-3CDB46B9E626}"/>
    <cellStyle name="Normal 25" xfId="381" xr:uid="{4BD6073F-205A-45C6-81C7-9B77B27A0160}"/>
    <cellStyle name="Normal 26" xfId="382" xr:uid="{0F311BDB-0FF2-406D-BC1D-9EF53F2F4477}"/>
    <cellStyle name="Normal 26 2" xfId="383" xr:uid="{B683D88A-3DED-486D-A7ED-9CBD171DAAB6}"/>
    <cellStyle name="Normal 27" xfId="384" xr:uid="{B04596F3-A2FC-417B-8F0A-AF037DF94E89}"/>
    <cellStyle name="Normal 27 2" xfId="40" xr:uid="{21C5C8F9-996A-43A6-B571-F7A11CE4A654}"/>
    <cellStyle name="Normal 27 2 3" xfId="45" xr:uid="{F7625892-E7ED-44B3-BD9A-D8A87161E431}"/>
    <cellStyle name="Normal 27 3" xfId="46" xr:uid="{8D9AA2A8-9068-4BA9-965A-0F029DF9E451}"/>
    <cellStyle name="Normal 28" xfId="385" xr:uid="{9AF401C5-9111-4CBA-AF17-1794AA363B48}"/>
    <cellStyle name="Normal 29" xfId="386" xr:uid="{585CFF5F-96CA-46AA-A2A5-EE8B8B560B95}"/>
    <cellStyle name="Normal 3" xfId="16" xr:uid="{30B42093-35BF-4FDE-ADCD-4DE4466B1202}"/>
    <cellStyle name="Normal 3 2" xfId="17" xr:uid="{CD592F55-F74E-482A-8417-9706CE8F113C}"/>
    <cellStyle name="Normal 3 2 2" xfId="388" xr:uid="{E58EFFC6-8070-4F16-8F69-A88A59C7A214}"/>
    <cellStyle name="Normal 3 3" xfId="389" xr:uid="{8B43A918-1324-4B97-B56C-23CBFD65A4E1}"/>
    <cellStyle name="Normal 3 3 2" xfId="390" xr:uid="{97600A9A-3D93-48C0-AEC0-FF9672D8DE29}"/>
    <cellStyle name="Normal 3 3 3" xfId="391" xr:uid="{58F92982-77BB-45D0-9B7E-071EB130D949}"/>
    <cellStyle name="Normal 3 3 4" xfId="392" xr:uid="{95756417-9EBC-4E2C-BBF1-E6BCE08DA2FE}"/>
    <cellStyle name="Normal 3 3 5" xfId="393" xr:uid="{CC607F3E-EF27-4DB0-9187-F5C7A9E78566}"/>
    <cellStyle name="Normal 3 3 6" xfId="394" xr:uid="{A441EA7F-A530-4ED8-B3F6-0636D6A58A52}"/>
    <cellStyle name="Normal 3 4" xfId="395" xr:uid="{287B1DBF-8921-47D8-8D16-A68561AD8FB9}"/>
    <cellStyle name="Normal 3 5" xfId="505" xr:uid="{6EE25A62-1487-42B5-B509-EEF0055F8103}"/>
    <cellStyle name="Normal 3 6" xfId="387" xr:uid="{961A32B3-50BF-48AD-94B9-C503B3075EF0}"/>
    <cellStyle name="Normal 30" xfId="396" xr:uid="{D066468B-0991-40DD-829B-0F9338499005}"/>
    <cellStyle name="Normal 31" xfId="397" xr:uid="{746EF7D8-8B35-4F9D-9772-20E82B25DCF9}"/>
    <cellStyle name="Normal 32" xfId="398" xr:uid="{F7D4A38E-017B-4D82-B2CD-21089B66D9A5}"/>
    <cellStyle name="Normal 33" xfId="399" xr:uid="{CB0420F3-58FD-49C4-86DB-C99E25D7183C}"/>
    <cellStyle name="Normal 33 2" xfId="512" xr:uid="{95A47896-79E1-41EA-A395-923EA90C0125}"/>
    <cellStyle name="Normal 34" xfId="400" xr:uid="{43EEFF00-98C3-497B-B5A1-74537BDF74D3}"/>
    <cellStyle name="Normal 35" xfId="401" xr:uid="{20C2FF60-9A99-42D4-834B-BD892968A148}"/>
    <cellStyle name="Normal 36" xfId="402" xr:uid="{3E018B99-0E70-4C0D-8B2F-0D4E817BD23E}"/>
    <cellStyle name="Normal 37" xfId="403" xr:uid="{6914B078-9B49-4A44-9211-9D2BC5125C23}"/>
    <cellStyle name="Normal 38" xfId="504" xr:uid="{8AD08615-0223-4FF9-B428-B2D939CCCB96}"/>
    <cellStyle name="Normal 39" xfId="507" xr:uid="{CD09F5FC-F988-42F8-8880-789ADB7CB21F}"/>
    <cellStyle name="Normal 4" xfId="18" xr:uid="{BFDB5C2E-9D27-4E46-A9D0-5E17A335972A}"/>
    <cellStyle name="Normal 4 2" xfId="405" xr:uid="{F43D3125-72C3-4170-AC2A-B2703A614868}"/>
    <cellStyle name="Normal 4 2 2" xfId="406" xr:uid="{A6F33251-E112-460A-9F3D-9F97098F6F2C}"/>
    <cellStyle name="Normal 4 2 3" xfId="407" xr:uid="{13C368AE-9DF1-4011-A41E-37337C9A5238}"/>
    <cellStyle name="Normal 4 2 4" xfId="408" xr:uid="{4F8E00C6-5187-4E50-A659-05F4CF14A3A3}"/>
    <cellStyle name="Normal 4 2 5" xfId="409" xr:uid="{2EE9F36F-2AAD-40A2-951C-687DAB52DA6F}"/>
    <cellStyle name="Normal 4 2 6" xfId="410" xr:uid="{67CD60A0-F010-4421-B74E-13B50DFCFB69}"/>
    <cellStyle name="Normal 4 3" xfId="404" xr:uid="{410080C2-51EF-4AC4-81C7-2B67E7C1F527}"/>
    <cellStyle name="Normal 4 4" xfId="29" xr:uid="{3A7B0336-6C3B-4666-AB02-6ADD9694161C}"/>
    <cellStyle name="Normal 40" xfId="508" xr:uid="{03C8B806-834C-48FA-AE7B-751E02B32623}"/>
    <cellStyle name="Normal 41" xfId="579" xr:uid="{DF6F4677-8AEE-4D4F-AD4B-2BB15C62E440}"/>
    <cellStyle name="Normal 42" xfId="580" xr:uid="{EEFBEDC1-6C2B-4652-A0D1-A10716A70EE8}"/>
    <cellStyle name="Normal 43" xfId="582" xr:uid="{F9E6EEEF-98B3-4DFB-B43D-8D68190D937D}"/>
    <cellStyle name="Normal 44" xfId="583" xr:uid="{76EE75D3-D966-4CB5-ACAC-006E16A39F76}"/>
    <cellStyle name="Normal 45" xfId="3" xr:uid="{61CC0370-6FB3-4909-9A83-0E6517D8E57A}"/>
    <cellStyle name="Normal 46" xfId="584" xr:uid="{1E1818AD-CAC1-4DB8-B7EF-A47B6D3463B1}"/>
    <cellStyle name="Normal 49 2" xfId="43" xr:uid="{9C56A677-58D9-4B4A-9EFD-1DC09065C2B7}"/>
    <cellStyle name="Normal 5" xfId="19" xr:uid="{21B44886-AFF6-432E-83BA-64F8F13AC5DD}"/>
    <cellStyle name="Normal 5 2" xfId="20" xr:uid="{03E89A98-6898-48AF-B7CB-C776C2B7EB09}"/>
    <cellStyle name="Normal 5 2 2" xfId="413" xr:uid="{1FA698E0-19BA-4BA5-8F45-233601179283}"/>
    <cellStyle name="Normal 5 2 3" xfId="414" xr:uid="{2B4D4F33-9C6C-4B58-B750-1EF8481D90DF}"/>
    <cellStyle name="Normal 5 2 4" xfId="415" xr:uid="{DCEDBE2F-4660-40A7-85A5-3CE64685C739}"/>
    <cellStyle name="Normal 5 2 5" xfId="416" xr:uid="{0882A655-6693-4716-86F2-47363897A558}"/>
    <cellStyle name="Normal 5 2 6" xfId="417" xr:uid="{7EA7627B-DCFA-4D7C-8AD2-86FE39377546}"/>
    <cellStyle name="Normal 5 2 7" xfId="412" xr:uid="{32665268-601A-46A4-8A4A-271D8AB6F34E}"/>
    <cellStyle name="Normal 5 3" xfId="411" xr:uid="{72CE9EB6-F9F8-4D0B-8383-B3E325FB69D8}"/>
    <cellStyle name="Normal 6" xfId="27" xr:uid="{0902921D-4747-4946-879F-1F70ED18A123}"/>
    <cellStyle name="Normal 6 10" xfId="555" xr:uid="{CF367AB4-22E5-4467-AD68-15ADE387CDFB}"/>
    <cellStyle name="Normal 6 2" xfId="419" xr:uid="{4BB56AE2-6F21-4E90-A5F7-C6F70F486E52}"/>
    <cellStyle name="Normal 6 2 2" xfId="420" xr:uid="{BBB5A7BC-7955-44E2-8C54-5FA1A6B3DDFF}"/>
    <cellStyle name="Normal 6 2 2 2" xfId="421" xr:uid="{FAA1DB4B-5795-43F5-ABEA-4158BEEB4DA5}"/>
    <cellStyle name="Normal 6 2 2 3" xfId="422" xr:uid="{3D234D9A-3D6C-44D0-8AAE-AAC25E9DFA79}"/>
    <cellStyle name="Normal 6 2 2 4" xfId="423" xr:uid="{B9D1C644-0A62-4221-B602-F16AC7E5F946}"/>
    <cellStyle name="Normal 6 2 2 5" xfId="424" xr:uid="{CD58161E-81F6-4BF7-950E-742067B97601}"/>
    <cellStyle name="Normal 6 2 3" xfId="425" xr:uid="{5D441803-3726-42F8-B0CF-3BCBD3F6B85C}"/>
    <cellStyle name="Normal 6 2 4" xfId="426" xr:uid="{A6DE1F62-D949-41C1-B0E7-F1B73B0DF9ED}"/>
    <cellStyle name="Normal 6 2 5" xfId="427" xr:uid="{39554FAC-8631-4651-BE7C-E1D346FA13E0}"/>
    <cellStyle name="Normal 6 2 6" xfId="428" xr:uid="{19925BAC-FDA8-47C8-8822-23DA3881A758}"/>
    <cellStyle name="Normal 6 2 7" xfId="429" xr:uid="{2C0413A8-42A0-432E-96D8-A09E9C603C12}"/>
    <cellStyle name="Normal 6 2_Xl0000121" xfId="430" xr:uid="{A42147BA-0950-410B-AF8F-C815020CB7A7}"/>
    <cellStyle name="Normal 6 3" xfId="506" xr:uid="{846055B0-3048-4086-A5C7-7B8DA059E416}"/>
    <cellStyle name="Normal 6 4" xfId="418" xr:uid="{22847754-C509-4083-B80C-3714962DB003}"/>
    <cellStyle name="Normal 6 5" xfId="570" xr:uid="{8B340A8F-5060-44D2-8AB1-7BDD142C0854}"/>
    <cellStyle name="Normal 6 6" xfId="542" xr:uid="{9A3FE1AF-F5C5-4258-A09B-01A00D501169}"/>
    <cellStyle name="Normal 6 7" xfId="573" xr:uid="{2FE1FC74-2ECC-4E58-9B20-B4971BB0CFC3}"/>
    <cellStyle name="Normal 6 8" xfId="514" xr:uid="{577ACC06-594F-40D6-AEAA-2E67B2C0CF4C}"/>
    <cellStyle name="Normal 6 9" xfId="572" xr:uid="{B7351620-7186-419A-9014-2FD2CD1743F3}"/>
    <cellStyle name="Normal 6_Sheet1" xfId="431" xr:uid="{BFBF5609-3C5B-4127-BAD7-7DB6A52B0624}"/>
    <cellStyle name="Normal 7" xfId="432" xr:uid="{55D8F305-6464-4E30-8774-69B343B2E16A}"/>
    <cellStyle name="Normal 7 2" xfId="433" xr:uid="{E4BB8A74-7102-48C2-83F5-4AD6A05264CA}"/>
    <cellStyle name="Normal 7 2 2" xfId="434" xr:uid="{1A35CEFF-8B00-4680-AFEB-0DE1FC140C2F}"/>
    <cellStyle name="Normal 7 2 3" xfId="435" xr:uid="{E0B50D4F-F225-497F-BBF0-086C5B049466}"/>
    <cellStyle name="Normal 7 2 4" xfId="436" xr:uid="{A61ABA00-1068-4FF4-A7C9-348D6C037A05}"/>
    <cellStyle name="Normal 7 2 5" xfId="437" xr:uid="{0B0DA4F0-C725-4345-A621-EC3BD290491C}"/>
    <cellStyle name="Normal 7 3" xfId="438" xr:uid="{92074CD8-8D11-45A4-AD50-20EA910FA815}"/>
    <cellStyle name="Normal 7 4" xfId="439" xr:uid="{D431F153-EB5B-4722-9E35-EFFBD0CB26D5}"/>
    <cellStyle name="Normal 7 5" xfId="440" xr:uid="{B616546C-ECE2-4EA0-B36E-2475EC4FD6BB}"/>
    <cellStyle name="Normal 7 6" xfId="441" xr:uid="{8FEE89DC-35D3-4F85-9BA0-895FFC5250FC}"/>
    <cellStyle name="Normal 7 7" xfId="442" xr:uid="{E51FDB3C-E3DD-45E5-B7D4-232F9FB6E544}"/>
    <cellStyle name="Normal 7_Xl0000121" xfId="443" xr:uid="{2120E274-153E-4427-B885-CF7EE3FF4D0D}"/>
    <cellStyle name="Normal 8" xfId="444" xr:uid="{F3907170-9C0E-43D7-A5C6-83D5BD8DABED}"/>
    <cellStyle name="Normal 8 2" xfId="445" xr:uid="{479DFAA3-F71F-466B-96CE-2A8CAF74CA3D}"/>
    <cellStyle name="Normal 8 3" xfId="446" xr:uid="{CE0D7B6B-4010-482E-A921-28098B423310}"/>
    <cellStyle name="Normal 8 4" xfId="447" xr:uid="{0A7D5772-52BE-4B81-9625-F2FEF23A25A6}"/>
    <cellStyle name="Normal 8 5" xfId="448" xr:uid="{9E48F17C-C0DB-413A-8A4F-9A3CF643C6A5}"/>
    <cellStyle name="Normal 8 6" xfId="449" xr:uid="{90D26909-F72A-4E94-A5D8-3EF271D83164}"/>
    <cellStyle name="Normal 9" xfId="450" xr:uid="{BD56055D-5868-436B-BAEB-E7E7DCEC5ECE}"/>
    <cellStyle name="Normal 9 2" xfId="451" xr:uid="{A05A3B3F-7068-4B52-A58D-BA02F1AFCAC0}"/>
    <cellStyle name="Normal 9 3" xfId="452" xr:uid="{7E075B03-A6AA-43EC-96E4-0A689F0CC916}"/>
    <cellStyle name="Normal 9 4" xfId="453" xr:uid="{0636757C-FEC8-44B3-91CF-9A1ED4A9D133}"/>
    <cellStyle name="Normal 9 5" xfId="454" xr:uid="{CC075BFA-BC7A-426A-8B49-84F698419D91}"/>
    <cellStyle name="Normal 9 6" xfId="455" xr:uid="{3B511446-F131-4097-84F0-8DBE82D29E2C}"/>
    <cellStyle name="Note 2" xfId="456" xr:uid="{BC685B7D-11B2-4B4C-81DA-F2D97ABC2DA4}"/>
    <cellStyle name="Note 2 2" xfId="457" xr:uid="{568D0A8D-5CB2-4EA4-B30F-388B0D54FD67}"/>
    <cellStyle name="Note 2 2 2" xfId="530" xr:uid="{203DE29A-8EA3-4471-9203-D05F5303F3A8}"/>
    <cellStyle name="Note 2 2 3" xfId="540" xr:uid="{D1ABAFBA-5513-43DF-B132-6772E818521E}"/>
    <cellStyle name="Note 2 2 4" xfId="549" xr:uid="{6D4E6471-2EE4-4366-8B19-4F97D83910A2}"/>
    <cellStyle name="Note 2 2 5" xfId="574" xr:uid="{8AEC5910-E4DF-4F94-B9C2-3283F70EE09D}"/>
    <cellStyle name="Note 3" xfId="458" xr:uid="{CE4FD75D-A369-4FD5-968B-6872286B4606}"/>
    <cellStyle name="Note 3 2" xfId="459" xr:uid="{21EB972B-518F-4949-AE41-710CA424E00B}"/>
    <cellStyle name="Note 3 2 2" xfId="529" xr:uid="{EAED418A-381C-4B41-B696-261D3A2C6937}"/>
    <cellStyle name="Note 3 2 3" xfId="539" xr:uid="{DBF52FC1-A988-485E-AA33-E38D90A0F8E2}"/>
    <cellStyle name="Note 3 2 4" xfId="513" xr:uid="{19A5136D-D520-45F0-8A72-FD062FC0C53E}"/>
    <cellStyle name="Note 3 2 5" xfId="554" xr:uid="{D87CE65E-1B51-4CF3-B07E-5FE4FC0A3169}"/>
    <cellStyle name="Note 4" xfId="460" xr:uid="{55DB055E-50B6-4BBA-A643-D2C3FC472207}"/>
    <cellStyle name="Note 4 2" xfId="461" xr:uid="{CBA6D3DB-3865-4645-8B10-CD2E12FC3DDC}"/>
    <cellStyle name="Note 4 2 2" xfId="528" xr:uid="{51F9EF69-B47A-4FC2-93EA-F914A4958DF0}"/>
    <cellStyle name="Note 4 2 3" xfId="538" xr:uid="{48020C37-F555-4963-90A6-6ED6AF37E3CD}"/>
    <cellStyle name="Note 4 2 4" xfId="548" xr:uid="{87CF129F-26B6-429B-8F56-ED1326BC0F69}"/>
    <cellStyle name="Note 4 2 5" xfId="553" xr:uid="{01042C4A-E04D-4226-8754-F90F886CA104}"/>
    <cellStyle name="Note 5" xfId="462" xr:uid="{16F0EA68-71DD-40CF-A9C2-309C3158FD71}"/>
    <cellStyle name="Note 5 2" xfId="463" xr:uid="{386E2EF5-7693-4E65-BA5A-0FBC76787AF3}"/>
    <cellStyle name="Note 5 2 2" xfId="526" xr:uid="{FEB08B84-9B6F-46E4-B67E-BA2BE6D4ED84}"/>
    <cellStyle name="Note 5 2 3" xfId="536" xr:uid="{47227EC1-67C5-46E4-B218-BF9A48C4C890}"/>
    <cellStyle name="Note 5 2 4" xfId="575" xr:uid="{341B828C-77A4-4E9B-831A-0D59ADB1A938}"/>
    <cellStyle name="Note 5 2 5" xfId="552" xr:uid="{66CFB0FE-839C-4B25-B5A4-621AA104DE03}"/>
    <cellStyle name="Note 5 3" xfId="527" xr:uid="{F6628783-E7FB-4B1E-8A1E-B1F4DEB02788}"/>
    <cellStyle name="Note 5 4" xfId="537" xr:uid="{417B3285-E240-4F16-A1B1-E52A018AE93C}"/>
    <cellStyle name="Note 5 5" xfId="547" xr:uid="{85D9153C-5E87-4750-9CA6-4AEDC66C7B70}"/>
    <cellStyle name="Note 5 6" xfId="578" xr:uid="{11BCE6BB-7046-4C9B-A6F4-76E74C821BBF}"/>
    <cellStyle name="Note 6" xfId="464" xr:uid="{270FED44-2125-41FD-9D62-9ECAAEAC6FA4}"/>
    <cellStyle name="Note 6 2" xfId="465" xr:uid="{271C593E-C9FD-4433-9220-ABDBFEAD7D8C}"/>
    <cellStyle name="Note 6 2 2" xfId="524" xr:uid="{7A23F406-B86A-4FB4-BB26-DF0FF76B06C6}"/>
    <cellStyle name="Note 6 2 3" xfId="534" xr:uid="{DE93D548-C519-4CC0-8B66-4717C8D0568E}"/>
    <cellStyle name="Note 6 2 4" xfId="545" xr:uid="{E21D2C38-CA00-4819-B56C-F341285E9150}"/>
    <cellStyle name="Note 6 2 5" xfId="521" xr:uid="{017C9D84-2B4E-46AE-8618-146D601BC4DB}"/>
    <cellStyle name="Note 6 3" xfId="525" xr:uid="{B9FF27FE-5682-4CC4-A48D-113F45A26EAB}"/>
    <cellStyle name="Note 6 4" xfId="535" xr:uid="{F1510BB2-2B03-47E6-A2B6-81D436197F77}"/>
    <cellStyle name="Note 6 5" xfId="546" xr:uid="{E53B75B8-CAA2-435C-98A5-9A94538C53BE}"/>
    <cellStyle name="Note 6 6" xfId="551" xr:uid="{595AF20D-7419-46BB-862B-6D6C264707F9}"/>
    <cellStyle name="Output 2" xfId="466" xr:uid="{A74A6A69-264F-434E-ABD6-1239F509B5CF}"/>
    <cellStyle name="Output 2 2" xfId="467" xr:uid="{488C19A2-7813-4B9E-BE16-0A3958EAD025}"/>
    <cellStyle name="Output 2 2 2" xfId="523" xr:uid="{EF792A10-8A26-4E93-98CF-845401E21E7D}"/>
    <cellStyle name="Output 2 2 3" xfId="533" xr:uid="{09B5853A-9D94-436D-98B7-6A338782CFD0}"/>
    <cellStyle name="Output 2 2 4" xfId="544" xr:uid="{B176A599-9CE7-4356-ADF9-2A1517DCECF6}"/>
    <cellStyle name="Output 2 2 5" xfId="550" xr:uid="{D95BAEE8-AB59-4D33-95C9-63AF491AA068}"/>
    <cellStyle name="Output 3" xfId="468" xr:uid="{029B060E-AA1D-4E20-B6CC-F310ED3A90B2}"/>
    <cellStyle name="Output 3 2" xfId="469" xr:uid="{45A2907D-3D8E-4F8D-B93B-347646CE896D}"/>
    <cellStyle name="Output 3 2 2" xfId="522" xr:uid="{1E5468D9-9A65-4D19-AF46-BE3B75A2BCD4}"/>
    <cellStyle name="Output 3 2 3" xfId="531" xr:uid="{B43747EB-4FEC-483B-A610-37D3F728209D}"/>
    <cellStyle name="Output 3 2 4" xfId="541" xr:uid="{BCB0AA11-61A0-421D-BCD4-4F786B7BC56F}"/>
    <cellStyle name="Output 3 2 5" xfId="576" xr:uid="{4AA7418A-ADD3-4234-A53D-FFAE754C455E}"/>
    <cellStyle name="Output 4" xfId="470" xr:uid="{92EC8C29-EAB9-46A2-A9E5-E8644CF9F77B}"/>
    <cellStyle name="Percent" xfId="6" builtinId="5"/>
    <cellStyle name="Percent 2" xfId="39" xr:uid="{A5CF536B-BE15-4878-BDEC-61568EE090FD}"/>
    <cellStyle name="Percent 2 2" xfId="471" xr:uid="{8A951AB0-0C4C-4E32-AEF7-E446854AC331}"/>
    <cellStyle name="Percent 2 3" xfId="472" xr:uid="{2326E918-51E7-4AFB-AC00-0FECB70EA6A7}"/>
    <cellStyle name="Percent 2 4" xfId="21" xr:uid="{0679099E-A5E5-42C4-B812-FC0D80045E31}"/>
    <cellStyle name="Percent 2 4 2" xfId="473" xr:uid="{2F0EBF01-26FE-4C49-960A-211BE415403F}"/>
    <cellStyle name="Percent 2 5" xfId="474" xr:uid="{069AB076-02C1-449D-ABC6-FD5202136767}"/>
    <cellStyle name="Percent 2 6" xfId="475" xr:uid="{3D9C8F66-FDAF-4DB0-9A77-07DCC9AE7A8C}"/>
    <cellStyle name="Percent 2 7" xfId="511" xr:uid="{35567075-B8FA-42EC-A23E-2D2330B1259E}"/>
    <cellStyle name="Percent 3" xfId="476" xr:uid="{0206437A-34F1-4B0D-8DB3-798D25AEA7AF}"/>
    <cellStyle name="Percent 3 2" xfId="477" xr:uid="{93385FC0-34D6-4BBC-8064-C1BED339F8E9}"/>
    <cellStyle name="Percent 4" xfId="478" xr:uid="{60BECD5E-BF19-4C88-9F65-D74E63B78D3C}"/>
    <cellStyle name="Percent 4 2" xfId="479" xr:uid="{4A11E543-F00C-473C-8049-10163BCF28AE}"/>
    <cellStyle name="Percent 4 3" xfId="480" xr:uid="{39184217-12EE-43EC-8DF5-6468F6C7C445}"/>
    <cellStyle name="Percent 4 4" xfId="481" xr:uid="{04C04217-1C32-45F4-85C5-95C7AC3D7D79}"/>
    <cellStyle name="Percent 4 5" xfId="482" xr:uid="{FCCDB9BF-B11F-49EF-8A58-152A442B2BAF}"/>
    <cellStyle name="Percent 5" xfId="483" xr:uid="{2829ABFF-A4C3-414A-A20C-8CBD70882CA7}"/>
    <cellStyle name="Percent 6" xfId="484" xr:uid="{4C10E48E-20C1-44C9-BB71-716B0A0BDA78}"/>
    <cellStyle name="Percent 7" xfId="485" xr:uid="{3881102F-3DB5-43D4-B820-59AF87A27290}"/>
    <cellStyle name="Percent 8" xfId="486" xr:uid="{B41720F9-5717-4A80-9F46-D8B5A1C01DCD}"/>
    <cellStyle name="STYLE1" xfId="22" xr:uid="{777E4E5A-03B6-45E1-859A-1AB078304D1F}"/>
    <cellStyle name="STYLE2" xfId="23" xr:uid="{F12C66EF-3428-4793-853D-F2F8FB5389B3}"/>
    <cellStyle name="STYLE3" xfId="24" xr:uid="{B219C43C-4A8D-4792-A6DD-F81C7BC2CA25}"/>
    <cellStyle name="STYLE4" xfId="25" xr:uid="{F06BFCE4-0853-4698-AC16-05A5776AE107}"/>
    <cellStyle name="STYLE5" xfId="26" xr:uid="{02E3BECE-36C3-4D4A-9F02-41F326E53BF4}"/>
    <cellStyle name="Title 2" xfId="487" xr:uid="{BD8604A0-A46A-4AA1-90FD-5220DF6C5B67}"/>
    <cellStyle name="Title 2 2" xfId="488" xr:uid="{8F9D9A8B-EF6B-4328-8D6A-A215504AE2BC}"/>
    <cellStyle name="Title 3" xfId="489" xr:uid="{75379D12-D3E8-4C43-A19C-4E5EE31DA03C}"/>
    <cellStyle name="Title 3 2" xfId="490" xr:uid="{C0600A0E-378E-43BB-9E5D-C22492784C7A}"/>
    <cellStyle name="Title 4" xfId="491" xr:uid="{7AD64D25-F98A-46E6-A0A8-405556216301}"/>
    <cellStyle name="Total 2" xfId="492" xr:uid="{BF6EB81D-1018-45A4-A336-D4CFCEC84F9E}"/>
    <cellStyle name="Total 2 2" xfId="493" xr:uid="{85004D93-F983-41EC-830D-0DAB460F0532}"/>
    <cellStyle name="Total 2 2 2" xfId="518" xr:uid="{56DA488E-F17C-4598-BA9F-C66576D4ADFB}"/>
    <cellStyle name="Total 2 2 3" xfId="520" xr:uid="{73606197-501A-4F42-B1FC-AC338D29C4C0}"/>
    <cellStyle name="Total 2 2 4" xfId="532" xr:uid="{4726EC0E-38B5-49CA-8E2E-299DA679D432}"/>
    <cellStyle name="Total 2 2 5" xfId="571" xr:uid="{99F430DD-D122-479A-90AC-00972E5BD805}"/>
    <cellStyle name="Total 3" xfId="494" xr:uid="{94C2878F-7956-4D8C-BBA5-6A469371A143}"/>
    <cellStyle name="Total 3 2" xfId="495" xr:uid="{B5178CFA-509C-432B-9EEF-74B3A44913BE}"/>
    <cellStyle name="Total 3 2 2" xfId="517" xr:uid="{5BA55E7F-8807-4B05-BD6B-41A1001726A9}"/>
    <cellStyle name="Total 3 2 3" xfId="519" xr:uid="{B395A8DF-6DD9-4845-9EB5-E2842C9ED5F3}"/>
    <cellStyle name="Total 3 2 4" xfId="577" xr:uid="{E3F711CC-1071-4D6D-81F5-FC33D1CE1FC0}"/>
    <cellStyle name="Total 3 2 5" xfId="543" xr:uid="{2BE9D2EA-6FDB-4E08-9209-2C335CA5FC67}"/>
    <cellStyle name="Total 4" xfId="496" xr:uid="{E3CEFE46-160F-4410-AFDD-46ADB255726D}"/>
    <cellStyle name="Warning Text 2" xfId="497" xr:uid="{CB218E2F-1EA2-42FF-8931-783AA74FA06F}"/>
    <cellStyle name="Warning Text 2 2" xfId="498" xr:uid="{75B5CE79-452D-45F6-B760-46706CF13A05}"/>
    <cellStyle name="Warning Text 3" xfId="499" xr:uid="{4C5B0203-0AC6-4514-881B-C4126D087955}"/>
    <cellStyle name="Warning Text 3 2" xfId="500" xr:uid="{ED9CC4F1-B0FF-4A99-B8AF-700E7875139A}"/>
    <cellStyle name="Warning Text 4" xfId="501" xr:uid="{0A021CFC-22E7-4A23-B1D2-E1004BDE1416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UII2021RateCase/Shared%20Documents/General/4.%20MSFR/2021%20Rate%20Case/1-5-6/Copy%20of%20Do%20not%20use%20IN%20Filing%20Template%20-%20Direc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Regulatory-Kentucky/Shared%20Documents/Kentucky/WSCKY%202022%20Rate%20Case/Template/Rate%20Filing%20Template%202022%20WSCKY%20as%20Fil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chedule"/>
      <sheetName val="Linked TB"/>
      <sheetName val="Index"/>
      <sheetName val="Sch.A-B.S"/>
      <sheetName val="Sch.B-I.S"/>
      <sheetName val="Sch.B-I.S Phase II"/>
      <sheetName val="Sch.C-R.B"/>
      <sheetName val="Sch.D-2021 Revenue BY"/>
      <sheetName val="Sch.E-2022 Revenue FTY"/>
      <sheetName val="Sch.F-2023 Revenue FPFTY"/>
      <sheetName val="Sch.G-W Rate Design"/>
      <sheetName val="Sch.G-W Rate Design Phase II"/>
      <sheetName val="Sch.H-S Rate Design"/>
      <sheetName val="Sch.H-S Rate Design Phase II"/>
      <sheetName val="Sch.I-2023 Rev Prpsd"/>
      <sheetName val="wp-q-Computation of Rates"/>
      <sheetName val="Sch.I-2023 Rev Prpsd Phase II"/>
      <sheetName val="Sch.J-Rate Change Summary"/>
      <sheetName val="Sch.K-2023 Average Bills"/>
      <sheetName val="wp-a-uncoll"/>
      <sheetName val="wp-b2 Payroll &amp; Benefits 2022"/>
      <sheetName val="wp-b2 Payroll &amp; Benefits 2023"/>
      <sheetName val="wp-b-3 Calc of Benefits"/>
      <sheetName val="wp-c-captime"/>
      <sheetName val="wp-d-rc.exp"/>
      <sheetName val="wp-e-ins"/>
      <sheetName val="wp.v TOTI"/>
      <sheetName val="wp-f-1-depr"/>
      <sheetName val="wp-f-2 depr (UPIS)"/>
      <sheetName val="wp-g-inc.tx"/>
      <sheetName val="wp.h-cap.struc"/>
      <sheetName val="wp-i-wc"/>
      <sheetName val="wp-j-pf.plant"/>
      <sheetName val="wp-k-outside service"/>
      <sheetName val="wp-l-GL additions"/>
      <sheetName val="wp-p1 Allocation of Vehicles"/>
      <sheetName val="wp-p2 Allocation of Computers"/>
      <sheetName val="wp-r-Avg Bills"/>
      <sheetName val="wp-s-Deferreds"/>
      <sheetName val="Increase Comparison"/>
      <sheetName val="ADIT&gt;&gt;&gt;"/>
      <sheetName val="RB - ADIT Summary"/>
      <sheetName val="ADIT Proration"/>
      <sheetName val="756"/>
      <sheetName val="Depreciation Analysis&gt;&gt;&gt;"/>
      <sheetName val="wp-f-2 depr new rate"/>
      <sheetName val="Average Deprciation Calc"/>
      <sheetName val="MD Depreciation Schedule new"/>
      <sheetName val="Support&gt;&gt;&gt;"/>
      <sheetName val="Captime Build &gt;&gt;&gt;"/>
      <sheetName val="CUII GL Cap Time"/>
      <sheetName val="CUII GL Captime by system"/>
      <sheetName val="CUII Gantt FCST (Combo)"/>
      <sheetName val="Capital&gt;&gt;&gt;"/>
      <sheetName val="PF Plant"/>
      <sheetName val="WW Project Adjs."/>
      <sheetName val="MD Depreciation Schedule"/>
      <sheetName val="Forecasted Computer Assets"/>
      <sheetName val="WSC TYE Computer Depr."/>
      <sheetName val="OM Builds&gt;&gt;&gt;"/>
      <sheetName val="Purchased Power"/>
      <sheetName val="Chemicals"/>
      <sheetName val="Captime"/>
      <sheetName val="RegEx Forecast"/>
      <sheetName val="Transp Forecast"/>
      <sheetName val="Trasport Support"/>
      <sheetName val="Def. Maint."/>
      <sheetName val="Sludge Hauling"/>
      <sheetName val="512002 Forecast"/>
      <sheetName val="512900 Forecast"/>
      <sheetName val="512003 Forecast"/>
      <sheetName val="512008 Forecast"/>
      <sheetName val="Testing Forecast"/>
      <sheetName val="Office Forecast Support"/>
      <sheetName val="Revenue&gt;&gt;&gt;"/>
      <sheetName val="Revenue Allocation"/>
      <sheetName val="TB&amp;GL&gt;&gt;&gt;"/>
      <sheetName val="CrossfireHiddenWorksheet"/>
      <sheetName val="OfficeConnectCellHighlights"/>
      <sheetName val="Consolidated FS"/>
      <sheetName val="AWD CUII Consol FS Build"/>
      <sheetName val="CUII P&amp;L"/>
      <sheetName val="Pres ILIN P&amp;L"/>
      <sheetName val="VP Midwest P&amp;L"/>
      <sheetName val="700 P&amp;L"/>
      <sheetName val="Tier 1 Alloc for 700"/>
      <sheetName val="Linked UE TB"/>
      <sheetName val="TB Check Depr."/>
      <sheetName val="CUII UE TB"/>
      <sheetName val="TB Acct Desc. Blanks"/>
      <sheetName val="IS Pivot"/>
      <sheetName val="CUII IS TTM 09.30.21"/>
      <sheetName val="Fusion to JDE Co"/>
      <sheetName val="CAM RCL"/>
      <sheetName val="Deferred&gt;&gt;&gt;"/>
      <sheetName val="Deferred Charges Asset Details"/>
      <sheetName val="project costs"/>
      <sheetName val="gl extract"/>
      <sheetName val="Vehicle Depreciation Schedule"/>
      <sheetName val="Vehicle wp"/>
      <sheetName val="wp-n-CPI"/>
      <sheetName val="NARUC"/>
      <sheetName val="09.30.21 ERC"/>
      <sheetName val="BU Info Oracle"/>
      <sheetName val="Rate Change Summary"/>
      <sheetName val="CIAC&gt;&gt;&gt;"/>
      <sheetName val="CIAC Combo"/>
      <sheetName val="CIAC TLUI"/>
      <sheetName val="CIAC WSCI"/>
      <sheetName val="CIAC IWSI"/>
      <sheetName val="CIAC Assets"/>
      <sheetName val="PAA&gt;&gt;&gt;"/>
      <sheetName val="wp-v-PAA-ADIT"/>
      <sheetName val="PAA Assets"/>
      <sheetName val="UPIS Depr.&gt;&gt;&gt;"/>
      <sheetName val="Combo UPIS depr."/>
      <sheetName val="CUII UPIS"/>
      <sheetName val="UPIS TLUI"/>
      <sheetName val="UPIS WSCI"/>
      <sheetName val="UPIS IWSI"/>
      <sheetName val="UPIS Assets"/>
      <sheetName val="CUII Restmt of Vehicles"/>
      <sheetName val="Vehicle Depreciation Schedule "/>
      <sheetName val="CUII Restmt of Computers"/>
      <sheetName val="Computer Depreciation Schedule"/>
      <sheetName val="Greg's IS by Subaccou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put Schedules &gt;&gt;"/>
      <sheetName val="Allocation Table"/>
      <sheetName val="Fusion Chart of Accounts"/>
      <sheetName val="Index"/>
      <sheetName val="Trial Balance Schedules &gt;&gt;"/>
      <sheetName val="Fusion TB Drop"/>
      <sheetName val="Adaptive details"/>
      <sheetName val="Forecasted from Adaptive"/>
      <sheetName val="Linked TB"/>
      <sheetName val="Lead Exhibits &gt;&gt;"/>
      <sheetName val="Balance Sheet (2)"/>
      <sheetName val="Rev Deficiency"/>
      <sheetName val="Rate Base"/>
      <sheetName val="Income Statement"/>
      <sheetName val="7+5"/>
      <sheetName val="Balance Sheet"/>
      <sheetName val="BP Balance Sheet"/>
      <sheetName val="Adjustment Work Papers &gt;&gt;"/>
      <sheetName val="RB Support &gt;&gt;"/>
      <sheetName val="Plant in Service"/>
      <sheetName val="Accum Depr"/>
      <sheetName val="Cash Working Capital"/>
      <sheetName val="CIAC"/>
      <sheetName val="CTA"/>
      <sheetName val="ADIT"/>
      <sheetName val="Customer Deposits"/>
      <sheetName val="Inventory"/>
      <sheetName val="PAA"/>
      <sheetName val="Excess Book Value"/>
      <sheetName val="Cost Free Capital"/>
      <sheetName val="Average Tax Accruals"/>
      <sheetName val="Excess Deferred Taxes"/>
      <sheetName val="Oracle Fusion Asset"/>
      <sheetName val="Deferred Charges"/>
      <sheetName val="Proforma Plant"/>
      <sheetName val="Inc Stmt Support&gt;&gt;"/>
      <sheetName val="Revenue"/>
      <sheetName val="Uncollectibles"/>
      <sheetName val="Forfeited Discounts"/>
      <sheetName val="Salary &amp; Wages"/>
      <sheetName val="Salary Captime"/>
      <sheetName val="Purchase Power"/>
      <sheetName val="Purchased Water &amp; Sewer"/>
      <sheetName val="Maintenance &amp; Repair"/>
      <sheetName val="Maintenance Testing"/>
      <sheetName val="Meter Reading"/>
      <sheetName val="Chemicals"/>
      <sheetName val="Transportation Expense"/>
      <sheetName val="Outside Service"/>
      <sheetName val="Office Supplies &amp; Other Exp"/>
      <sheetName val="Regulatory Commission Exp"/>
      <sheetName val="Pension &amp; Other Benefits "/>
      <sheetName val="Rent"/>
      <sheetName val="Insurance"/>
      <sheetName val="Office Utilities"/>
      <sheetName val="Miscellaneous &amp; Travel"/>
      <sheetName val="Depreciation Expense"/>
      <sheetName val="PAA Amortization"/>
      <sheetName val="ITC Amortization"/>
      <sheetName val="CIAC Amortization"/>
      <sheetName val="TOTI"/>
      <sheetName val="Income Taxes"/>
      <sheetName val="Cap Structure-Rev Reqt &gt;&gt;"/>
      <sheetName val="Cap Structure &amp; Cost of Debt"/>
      <sheetName val="Required Return"/>
      <sheetName val="Gross Revenue Requirement"/>
      <sheetName val="Service Revenue Require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E13">
            <v>1662014.7599999995</v>
          </cell>
          <cell r="G13">
            <v>1592451.2400000005</v>
          </cell>
          <cell r="M13">
            <v>3261891</v>
          </cell>
        </row>
        <row r="14">
          <cell r="E14">
            <v>0</v>
          </cell>
          <cell r="G14">
            <v>0</v>
          </cell>
          <cell r="M14">
            <v>0</v>
          </cell>
        </row>
        <row r="15">
          <cell r="E15">
            <v>297.27</v>
          </cell>
          <cell r="G15">
            <v>0</v>
          </cell>
          <cell r="M15">
            <v>297.27</v>
          </cell>
        </row>
        <row r="16">
          <cell r="E16">
            <v>-35906.310000000012</v>
          </cell>
          <cell r="G16">
            <v>-91927.662419086759</v>
          </cell>
          <cell r="M16">
            <v>-128125.62310623843</v>
          </cell>
        </row>
        <row r="18">
          <cell r="E18">
            <v>1626405.7199999995</v>
          </cell>
          <cell r="G18">
            <v>1500523.5775809137</v>
          </cell>
          <cell r="M18">
            <v>3134062.6468937616</v>
          </cell>
        </row>
        <row r="21">
          <cell r="E21">
            <v>0</v>
          </cell>
          <cell r="G21">
            <v>0</v>
          </cell>
          <cell r="M21">
            <v>0</v>
          </cell>
        </row>
        <row r="22">
          <cell r="E22">
            <v>63790.31</v>
          </cell>
          <cell r="G22">
            <v>51075</v>
          </cell>
          <cell r="M22">
            <v>114865.31</v>
          </cell>
        </row>
        <row r="23">
          <cell r="E23">
            <v>62796.399999999994</v>
          </cell>
          <cell r="G23">
            <v>61602</v>
          </cell>
          <cell r="M23">
            <v>123204</v>
          </cell>
        </row>
        <row r="24">
          <cell r="E24">
            <v>74660.600000000006</v>
          </cell>
          <cell r="G24">
            <v>108274.53499999996</v>
          </cell>
        </row>
        <row r="25">
          <cell r="E25">
            <v>12731.75</v>
          </cell>
          <cell r="G25">
            <v>12296</v>
          </cell>
          <cell r="M25">
            <v>25027.75</v>
          </cell>
        </row>
        <row r="26">
          <cell r="E26">
            <v>0</v>
          </cell>
          <cell r="G26">
            <v>0</v>
          </cell>
          <cell r="M26">
            <v>0</v>
          </cell>
        </row>
        <row r="27">
          <cell r="E27">
            <v>39850.869999999995</v>
          </cell>
          <cell r="G27">
            <v>61006.64</v>
          </cell>
          <cell r="M27">
            <v>103884.53</v>
          </cell>
        </row>
        <row r="28">
          <cell r="E28">
            <v>21717.98</v>
          </cell>
          <cell r="G28">
            <v>21400.529999999995</v>
          </cell>
          <cell r="M28">
            <v>48835.229999999996</v>
          </cell>
        </row>
        <row r="29">
          <cell r="E29">
            <v>-11432.96</v>
          </cell>
          <cell r="G29">
            <v>-35244.04</v>
          </cell>
          <cell r="M29">
            <v>-138212</v>
          </cell>
        </row>
        <row r="30">
          <cell r="E30">
            <v>23883.82</v>
          </cell>
          <cell r="G30">
            <v>12401.43</v>
          </cell>
          <cell r="M30">
            <v>23411.25</v>
          </cell>
        </row>
        <row r="32">
          <cell r="E32">
            <v>287998.76999999996</v>
          </cell>
          <cell r="G32">
            <v>292812.09499999997</v>
          </cell>
          <cell r="M32">
            <v>477233.62681818183</v>
          </cell>
        </row>
        <row r="35">
          <cell r="E35">
            <v>497527.15</v>
          </cell>
          <cell r="G35">
            <v>383712.76</v>
          </cell>
          <cell r="M35">
            <v>936693.53876991023</v>
          </cell>
        </row>
        <row r="36">
          <cell r="E36">
            <v>29675.96</v>
          </cell>
          <cell r="G36">
            <v>23065.920000000006</v>
          </cell>
          <cell r="M36">
            <v>51491.880000000005</v>
          </cell>
        </row>
        <row r="37">
          <cell r="E37">
            <v>25658.82</v>
          </cell>
          <cell r="G37">
            <v>25658.820000000003</v>
          </cell>
        </row>
        <row r="38">
          <cell r="E38">
            <v>126050.45000000001</v>
          </cell>
          <cell r="G38">
            <v>126958.14907135401</v>
          </cell>
          <cell r="M38">
            <v>309783.20300745487</v>
          </cell>
        </row>
        <row r="39">
          <cell r="E39">
            <v>4333.34</v>
          </cell>
          <cell r="G39">
            <v>14445</v>
          </cell>
          <cell r="M39">
            <v>20025.243955174999</v>
          </cell>
        </row>
        <row r="40">
          <cell r="E40">
            <v>46340.549999999996</v>
          </cell>
          <cell r="G40">
            <v>57923.955127481859</v>
          </cell>
          <cell r="M40">
            <v>113400.91191392999</v>
          </cell>
        </row>
        <row r="41">
          <cell r="E41">
            <v>11338.63</v>
          </cell>
          <cell r="G41">
            <v>13198.989999999998</v>
          </cell>
        </row>
        <row r="42">
          <cell r="E42">
            <v>392689.5</v>
          </cell>
          <cell r="G42">
            <v>250447.00776491308</v>
          </cell>
          <cell r="M42">
            <v>667561.2216970817</v>
          </cell>
        </row>
        <row r="44">
          <cell r="E44">
            <v>1133614.3999999999</v>
          </cell>
          <cell r="G44">
            <v>895410.60196374892</v>
          </cell>
          <cell r="M44">
            <v>2280370.6626768853</v>
          </cell>
        </row>
        <row r="46">
          <cell r="E46">
            <v>173223.13999999998</v>
          </cell>
          <cell r="G46">
            <v>219132.04024978471</v>
          </cell>
        </row>
        <row r="47">
          <cell r="E47">
            <v>-1830.25</v>
          </cell>
          <cell r="G47">
            <v>-1830.24</v>
          </cell>
          <cell r="M47">
            <v>-3660.49</v>
          </cell>
        </row>
        <row r="48">
          <cell r="E48">
            <v>26817.98</v>
          </cell>
          <cell r="G48">
            <v>39478.639364639756</v>
          </cell>
          <cell r="M48">
            <v>71972.155943468853</v>
          </cell>
        </row>
        <row r="49">
          <cell r="E49">
            <v>0</v>
          </cell>
          <cell r="G49">
            <v>0</v>
          </cell>
          <cell r="M49">
            <v>0</v>
          </cell>
        </row>
        <row r="50">
          <cell r="E50">
            <v>0</v>
          </cell>
          <cell r="G50">
            <v>0</v>
          </cell>
          <cell r="M50">
            <v>0</v>
          </cell>
        </row>
        <row r="51">
          <cell r="E51">
            <v>24703.200000000001</v>
          </cell>
          <cell r="G51">
            <v>88552.43255329167</v>
          </cell>
          <cell r="M51">
            <v>116621.21461536415</v>
          </cell>
        </row>
        <row r="52">
          <cell r="E52">
            <v>0</v>
          </cell>
          <cell r="G52">
            <v>0</v>
          </cell>
          <cell r="M52">
            <v>0</v>
          </cell>
        </row>
        <row r="53">
          <cell r="E53">
            <v>114.6</v>
          </cell>
          <cell r="G53">
            <v>6508.9319999999998</v>
          </cell>
          <cell r="M53">
            <v>6638.3820000000005</v>
          </cell>
        </row>
        <row r="54">
          <cell r="E54">
            <v>67252.879999999976</v>
          </cell>
          <cell r="G54">
            <v>-67252.88</v>
          </cell>
          <cell r="M54">
            <v>0</v>
          </cell>
        </row>
        <row r="57">
          <cell r="E57">
            <v>0</v>
          </cell>
          <cell r="G57">
            <v>0</v>
          </cell>
          <cell r="M57">
            <v>0</v>
          </cell>
        </row>
        <row r="58">
          <cell r="E58">
            <v>-5153.76</v>
          </cell>
          <cell r="G58">
            <v>-5202.2532840000003</v>
          </cell>
          <cell r="M58">
            <v>-10356.013284000001</v>
          </cell>
        </row>
        <row r="60">
          <cell r="E60">
            <v>384422.79</v>
          </cell>
          <cell r="G60">
            <v>126082.26493135598</v>
          </cell>
          <cell r="M60">
            <v>540111.03033622843</v>
          </cell>
        </row>
        <row r="62">
          <cell r="E62">
            <v>1806035.96</v>
          </cell>
          <cell r="G62">
            <v>1314304.961895105</v>
          </cell>
          <cell r="M62">
            <v>3297715.3198312959</v>
          </cell>
        </row>
        <row r="64">
          <cell r="E64">
            <v>-179630.24000000046</v>
          </cell>
          <cell r="G64">
            <v>186218.61568580871</v>
          </cell>
          <cell r="M64">
            <v>-163652.67293753423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93239-C3C9-4E5A-B8BE-5498EA543359}">
  <sheetPr>
    <pageSetUpPr fitToPage="1"/>
  </sheetPr>
  <dimension ref="A1:L51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G22" sqref="G22"/>
    </sheetView>
  </sheetViews>
  <sheetFormatPr defaultColWidth="9.140625" defaultRowHeight="13.5"/>
  <cols>
    <col min="1" max="1" width="9.140625" style="96"/>
    <col min="2" max="2" width="4.85546875" style="96" customWidth="1"/>
    <col min="3" max="3" width="38.140625" style="96" bestFit="1" customWidth="1"/>
    <col min="4" max="4" width="12.5703125" style="96" customWidth="1"/>
    <col min="5" max="5" width="12.5703125" style="96" hidden="1" customWidth="1"/>
    <col min="6" max="6" width="12.28515625" style="96" customWidth="1"/>
    <col min="7" max="7" width="11.85546875" style="96" bestFit="1" customWidth="1"/>
    <col min="8" max="8" width="11.7109375" style="96" bestFit="1" customWidth="1"/>
    <col min="9" max="9" width="11.140625" style="96" hidden="1" customWidth="1"/>
    <col min="10" max="10" width="9.140625" style="96"/>
    <col min="11" max="11" width="9.140625" style="97"/>
    <col min="12" max="16384" width="9.140625" style="96"/>
  </cols>
  <sheetData>
    <row r="1" spans="1:12" ht="15">
      <c r="A1" s="76" t="s">
        <v>122</v>
      </c>
      <c r="C1" s="9"/>
      <c r="D1" s="9"/>
      <c r="E1" s="9"/>
      <c r="F1" s="9"/>
      <c r="G1" s="10"/>
      <c r="H1" s="11" t="s">
        <v>164</v>
      </c>
      <c r="K1" s="69" t="s">
        <v>168</v>
      </c>
      <c r="L1" s="13"/>
    </row>
    <row r="2" spans="1:12" ht="15">
      <c r="A2" s="8" t="s">
        <v>123</v>
      </c>
      <c r="C2" s="9"/>
      <c r="D2" s="9"/>
      <c r="E2" s="9"/>
      <c r="F2" s="9"/>
      <c r="G2" s="10"/>
      <c r="H2" s="10"/>
      <c r="I2" s="11"/>
      <c r="K2" s="120" t="s">
        <v>167</v>
      </c>
      <c r="L2" s="13"/>
    </row>
    <row r="3" spans="1:12" ht="15">
      <c r="A3" s="8" t="s">
        <v>139</v>
      </c>
      <c r="C3" s="9"/>
      <c r="D3" s="9"/>
      <c r="E3" s="9"/>
      <c r="F3" s="9"/>
      <c r="G3" s="10"/>
      <c r="H3" s="14"/>
      <c r="I3" s="10"/>
      <c r="K3" s="120"/>
      <c r="L3" s="13" t="s">
        <v>172</v>
      </c>
    </row>
    <row r="4" spans="1:12" ht="15">
      <c r="A4" s="8"/>
      <c r="C4" s="9"/>
      <c r="D4" s="9"/>
      <c r="E4" s="9"/>
      <c r="F4" s="9"/>
      <c r="G4" s="10"/>
      <c r="H4" s="14"/>
      <c r="I4" s="10"/>
    </row>
    <row r="5" spans="1:12" ht="15">
      <c r="A5" s="69" t="s">
        <v>140</v>
      </c>
      <c r="C5" s="15"/>
      <c r="D5" s="16"/>
      <c r="E5" s="16"/>
      <c r="F5" s="16"/>
      <c r="G5" s="16"/>
      <c r="H5" s="16"/>
      <c r="I5" s="16"/>
    </row>
    <row r="6" spans="1:12" ht="12.95" customHeight="1">
      <c r="F6" s="124" t="s">
        <v>162</v>
      </c>
      <c r="G6" s="124"/>
      <c r="H6" s="124"/>
    </row>
    <row r="7" spans="1:12" ht="12.95" customHeight="1">
      <c r="A7" s="107" t="s">
        <v>9</v>
      </c>
      <c r="B7" s="123" t="s">
        <v>121</v>
      </c>
      <c r="C7" s="123"/>
      <c r="D7" s="123"/>
      <c r="E7" s="108">
        <f>'Balance Sheet'!E9</f>
        <v>44834</v>
      </c>
      <c r="F7" s="30">
        <v>44926</v>
      </c>
      <c r="G7" s="30">
        <v>45291</v>
      </c>
      <c r="H7" s="30">
        <v>45657</v>
      </c>
      <c r="I7" s="108">
        <f>'Balance Sheet'!J9</f>
        <v>46022</v>
      </c>
    </row>
    <row r="8" spans="1:12" ht="15">
      <c r="A8" s="23">
        <v>1</v>
      </c>
      <c r="B8" s="66" t="s">
        <v>154</v>
      </c>
      <c r="E8" s="98"/>
      <c r="F8" s="98"/>
      <c r="G8" s="98"/>
      <c r="H8" s="98"/>
      <c r="I8" s="98"/>
    </row>
    <row r="9" spans="1:12" ht="15">
      <c r="A9" s="23">
        <v>2</v>
      </c>
      <c r="B9" s="66" t="s">
        <v>49</v>
      </c>
      <c r="E9" s="98">
        <f>IS!E58</f>
        <v>6588.3756858082488</v>
      </c>
      <c r="F9" s="98">
        <f>IS!F72</f>
        <v>-212794.16781965457</v>
      </c>
      <c r="G9" s="98">
        <f>IS!G72</f>
        <v>-240038.37469030338</v>
      </c>
      <c r="H9" s="98">
        <f>IS!H72</f>
        <v>-447809.59871013928</v>
      </c>
      <c r="I9" s="98">
        <f>IS!I72</f>
        <v>-440193.64606952656</v>
      </c>
      <c r="J9" s="99"/>
    </row>
    <row r="10" spans="1:12" ht="15">
      <c r="A10" s="23">
        <v>3</v>
      </c>
      <c r="B10" s="91" t="s">
        <v>55</v>
      </c>
      <c r="E10" s="98"/>
      <c r="F10" s="98"/>
      <c r="G10" s="98"/>
      <c r="H10" s="98"/>
      <c r="I10" s="98"/>
    </row>
    <row r="11" spans="1:12" ht="15">
      <c r="A11" s="23">
        <v>4</v>
      </c>
      <c r="B11" s="91" t="s">
        <v>56</v>
      </c>
      <c r="E11" s="98"/>
      <c r="F11" s="98"/>
      <c r="G11" s="98"/>
      <c r="H11" s="98"/>
      <c r="I11" s="98"/>
    </row>
    <row r="12" spans="1:12" ht="15">
      <c r="A12" s="23">
        <v>5</v>
      </c>
      <c r="B12" s="66"/>
      <c r="C12" s="80" t="s">
        <v>57</v>
      </c>
      <c r="D12" s="80"/>
      <c r="E12" s="84">
        <f>IS!E42+IS!E43+IS!E51+IS!E52</f>
        <v>378338.67696578475</v>
      </c>
      <c r="F12" s="84">
        <f>IS!F42+IS!F43+IS!F51+IS!F52</f>
        <v>345703.49671600002</v>
      </c>
      <c r="G12" s="84">
        <f>IS!G42+IS!G43+IS!G51+IS!G52</f>
        <v>361450.49671600002</v>
      </c>
      <c r="H12" s="84">
        <f>IS!H42+IS!H43+IS!H51+IS!H52</f>
        <v>369866.49671600002</v>
      </c>
      <c r="I12" s="84">
        <f>IS!I42+IS!I43+IS!I51+IS!I52</f>
        <v>369866.49671600002</v>
      </c>
    </row>
    <row r="13" spans="1:12" ht="15">
      <c r="A13" s="23">
        <v>6</v>
      </c>
      <c r="B13" s="66"/>
      <c r="C13" s="80" t="s">
        <v>153</v>
      </c>
      <c r="D13" s="80"/>
      <c r="E13" s="84"/>
      <c r="F13" s="84">
        <f>IS!F61</f>
        <v>0</v>
      </c>
      <c r="G13" s="84">
        <f>IS!G61</f>
        <v>-26149</v>
      </c>
      <c r="H13" s="84">
        <f>IS!H61</f>
        <v>0</v>
      </c>
      <c r="I13" s="84">
        <f>IS!I61</f>
        <v>-18358</v>
      </c>
    </row>
    <row r="14" spans="1:12" ht="15">
      <c r="A14" s="23">
        <v>7</v>
      </c>
      <c r="B14" s="66"/>
      <c r="C14" s="80" t="s">
        <v>156</v>
      </c>
      <c r="D14" s="80"/>
      <c r="E14" s="84"/>
      <c r="F14" s="84"/>
      <c r="G14" s="84"/>
      <c r="H14" s="84"/>
      <c r="I14" s="84"/>
    </row>
    <row r="15" spans="1:12" ht="15">
      <c r="A15" s="23">
        <v>8</v>
      </c>
      <c r="C15" s="65" t="s">
        <v>58</v>
      </c>
      <c r="E15" s="98"/>
      <c r="F15" s="98"/>
      <c r="G15" s="98"/>
      <c r="H15" s="98"/>
      <c r="I15" s="98"/>
    </row>
    <row r="16" spans="1:12" ht="15">
      <c r="A16" s="23">
        <v>9</v>
      </c>
      <c r="B16" s="66"/>
      <c r="C16" s="100" t="s">
        <v>59</v>
      </c>
      <c r="E16" s="98">
        <f>'Balance Sheet'!C23-'Balance Sheet'!E23</f>
        <v>234663.97070015548</v>
      </c>
      <c r="F16" s="98">
        <f>'Balance Sheet'!F23-'Balance Sheet'!G23</f>
        <v>74785.213757940102</v>
      </c>
      <c r="G16" s="98">
        <f>'Balance Sheet'!G23-'Balance Sheet'!H23</f>
        <v>-41182.808220806532</v>
      </c>
      <c r="H16" s="98">
        <f>'Balance Sheet'!H23-'Balance Sheet'!I23</f>
        <v>6413.969870255678</v>
      </c>
      <c r="I16" s="98">
        <f>'Balance Sheet'!I23-'Balance Sheet'!J23</f>
        <v>6369.8947847569361</v>
      </c>
    </row>
    <row r="17" spans="1:9" ht="15">
      <c r="A17" s="23">
        <v>10</v>
      </c>
      <c r="B17" s="65"/>
      <c r="C17" s="100" t="s">
        <v>60</v>
      </c>
      <c r="E17" s="98">
        <f>'Balance Sheet'!C24-'Balance Sheet'!E24</f>
        <v>-497031.80000000069</v>
      </c>
      <c r="F17" s="98">
        <f>'Balance Sheet'!F24-'Balance Sheet'!G24</f>
        <v>-343681.63000000082</v>
      </c>
      <c r="G17" s="98">
        <f>'Balance Sheet'!G24-'Balance Sheet'!H24</f>
        <v>0</v>
      </c>
      <c r="H17" s="98">
        <f>'Balance Sheet'!H24-'Balance Sheet'!I24</f>
        <v>0</v>
      </c>
      <c r="I17" s="98">
        <f>'Balance Sheet'!I24-'Balance Sheet'!J24</f>
        <v>0</v>
      </c>
    </row>
    <row r="18" spans="1:9" ht="15">
      <c r="A18" s="23">
        <v>11</v>
      </c>
      <c r="C18" s="65" t="s">
        <v>61</v>
      </c>
      <c r="E18" s="98"/>
      <c r="F18" s="98"/>
      <c r="G18" s="98"/>
      <c r="H18" s="98"/>
      <c r="I18" s="98"/>
    </row>
    <row r="19" spans="1:9" ht="15">
      <c r="A19" s="23">
        <v>12</v>
      </c>
      <c r="B19" s="66"/>
      <c r="C19" s="100" t="s">
        <v>62</v>
      </c>
      <c r="E19" s="98">
        <f>'Balance Sheet'!E44-'Balance Sheet'!C44</f>
        <v>-124002.16102572181</v>
      </c>
      <c r="F19" s="98">
        <f>'Balance Sheet'!G44-'Balance Sheet'!F44</f>
        <v>-3937.0484174834564</v>
      </c>
      <c r="G19" s="98">
        <f>'Balance Sheet'!H44-'Balance Sheet'!G44</f>
        <v>52417.756415456766</v>
      </c>
      <c r="H19" s="98">
        <f>'Balance Sheet'!I44-'Balance Sheet'!H44</f>
        <v>77127.540636777179</v>
      </c>
      <c r="I19" s="98">
        <f>'Balance Sheet'!J44-'Balance Sheet'!I44</f>
        <v>-2971.5941066241357</v>
      </c>
    </row>
    <row r="20" spans="1:9" ht="15">
      <c r="A20" s="23">
        <v>13</v>
      </c>
      <c r="B20" s="66"/>
      <c r="C20" s="100" t="s">
        <v>116</v>
      </c>
      <c r="E20" s="103">
        <f>('Balance Sheet'!E45+'Balance Sheet'!E46+'Balance Sheet'!E47+'Balance Sheet'!E48)-('Balance Sheet'!C45+'Balance Sheet'!C46+'Balance Sheet'!C47+'Balance Sheet'!C48)+'Balance Sheet'!E64-'Balance Sheet'!C64</f>
        <v>493216.77289398806</v>
      </c>
      <c r="F20" s="103">
        <f>SUM('Balance Sheet'!G45:G48)-SUM('Balance Sheet'!F45:F48)+SUM('Balance Sheet'!G60:G62)-SUM('Balance Sheet'!F60:F62)</f>
        <v>161439.9412987642</v>
      </c>
      <c r="G20" s="103">
        <f>SUM('Balance Sheet'!H45:H48)-SUM('Balance Sheet'!G45:G48)+SUM('Balance Sheet'!H60:H62)-SUM('Balance Sheet'!G60:G62)</f>
        <v>156472.97156342608</v>
      </c>
      <c r="H20" s="103">
        <f>SUM('Balance Sheet'!I45:I48)-SUM('Balance Sheet'!H45:H48)+SUM('Balance Sheet'!I60:I62)-SUM('Balance Sheet'!H60:H62)</f>
        <v>43968.740763590205</v>
      </c>
      <c r="I20" s="103">
        <f>SUM('Balance Sheet'!J45:J48)-SUM('Balance Sheet'!I45:I48)+SUM('Balance Sheet'!J60:J62)-SUM('Balance Sheet'!I60:I62)</f>
        <v>12622.686984286876</v>
      </c>
    </row>
    <row r="21" spans="1:9" ht="15">
      <c r="A21" s="23">
        <v>14</v>
      </c>
      <c r="B21" s="66"/>
      <c r="E21" s="98"/>
      <c r="F21" s="98"/>
      <c r="G21" s="98"/>
      <c r="H21" s="98"/>
      <c r="I21" s="98"/>
    </row>
    <row r="22" spans="1:9" ht="15">
      <c r="A22" s="23">
        <v>15</v>
      </c>
      <c r="B22" s="66" t="s">
        <v>63</v>
      </c>
      <c r="E22" s="92">
        <f>SUM(E9:E20)</f>
        <v>491773.83522001404</v>
      </c>
      <c r="F22" s="92">
        <f t="shared" ref="F22:I22" si="0">SUM(F9:F20)</f>
        <v>21515.80553556548</v>
      </c>
      <c r="G22" s="92">
        <f t="shared" si="0"/>
        <v>262971.04178377299</v>
      </c>
      <c r="H22" s="92">
        <f t="shared" si="0"/>
        <v>49567.149276483804</v>
      </c>
      <c r="I22" s="92">
        <f t="shared" si="0"/>
        <v>-72664.161691106856</v>
      </c>
    </row>
    <row r="23" spans="1:9" ht="15">
      <c r="A23" s="23">
        <v>16</v>
      </c>
      <c r="B23" s="66"/>
      <c r="E23" s="98"/>
      <c r="F23" s="98"/>
      <c r="G23" s="98"/>
      <c r="H23" s="98"/>
      <c r="I23" s="98"/>
    </row>
    <row r="24" spans="1:9" ht="15">
      <c r="A24" s="23">
        <v>17</v>
      </c>
      <c r="B24" s="66" t="s">
        <v>64</v>
      </c>
      <c r="E24" s="98"/>
      <c r="F24" s="98"/>
      <c r="G24" s="98"/>
      <c r="H24" s="98"/>
      <c r="I24" s="98"/>
    </row>
    <row r="25" spans="1:9" ht="15">
      <c r="A25" s="23">
        <v>18</v>
      </c>
      <c r="B25" s="66"/>
      <c r="C25" s="101" t="s">
        <v>65</v>
      </c>
      <c r="D25" s="80"/>
      <c r="E25" s="84">
        <f>'Balance Sheet'!C11-'Balance Sheet'!E11+'Balance Sheet'!C19-'Balance Sheet'!E19</f>
        <v>-100824.31203053475</v>
      </c>
      <c r="F25" s="84">
        <f>'Balance Sheet'!F11-'Balance Sheet'!G11-('Balance Sheet'!G19-'Balance Sheet'!F19)</f>
        <v>-175218.87804579848</v>
      </c>
      <c r="G25" s="84">
        <f>'Balance Sheet'!G11-'Balance Sheet'!H11-('Balance Sheet'!H19-'Balance Sheet'!G19)</f>
        <v>-1307583.3443497289</v>
      </c>
      <c r="H25" s="84">
        <f>'Balance Sheet'!H11-'Balance Sheet'!I11-('Balance Sheet'!I19-'Balance Sheet'!H19)</f>
        <v>-244420.70174352825</v>
      </c>
      <c r="I25" s="84">
        <f>'Balance Sheet'!I11-'Balance Sheet'!J11-('Balance Sheet'!J19-'Balance Sheet'!I19)</f>
        <v>-245641.3423999995</v>
      </c>
    </row>
    <row r="26" spans="1:9" ht="15">
      <c r="A26" s="23">
        <v>19</v>
      </c>
      <c r="B26" s="66"/>
      <c r="C26" s="101" t="s">
        <v>78</v>
      </c>
      <c r="D26" s="80"/>
      <c r="E26" s="84">
        <f>'Balance Sheet'!C30-'Balance Sheet'!E30</f>
        <v>11611.709999999992</v>
      </c>
      <c r="F26" s="84">
        <f>'Balance Sheet'!G30-'Balance Sheet'!F30</f>
        <v>-18672.379999999976</v>
      </c>
      <c r="G26" s="84">
        <f>'Balance Sheet'!H30-'Balance Sheet'!G30</f>
        <v>-12507</v>
      </c>
      <c r="H26" s="84">
        <f>'Balance Sheet'!I30-'Balance Sheet'!H30</f>
        <v>-12507</v>
      </c>
      <c r="I26" s="84">
        <f>'Balance Sheet'!J30-'Balance Sheet'!I30</f>
        <v>-12507</v>
      </c>
    </row>
    <row r="27" spans="1:9" ht="15">
      <c r="A27" s="23">
        <v>20</v>
      </c>
      <c r="B27" s="66"/>
      <c r="C27" s="80" t="s">
        <v>76</v>
      </c>
      <c r="D27" s="80"/>
      <c r="E27" s="104">
        <f>'Balance Sheet'!C29-'Balance Sheet'!E29</f>
        <v>-359124.35666666622</v>
      </c>
      <c r="F27" s="104">
        <f>'Balance Sheet'!F29-'Balance Sheet'!G29+9093</f>
        <v>-349439.96666666679</v>
      </c>
      <c r="G27" s="104">
        <f>'Balance Sheet'!G29-'Balance Sheet'!H29+1797</f>
        <v>275828.9833333334</v>
      </c>
      <c r="H27" s="104">
        <f>'Balance Sheet'!H29-'Balance Sheet'!I29+20342</f>
        <v>245834.53333333333</v>
      </c>
      <c r="I27" s="104">
        <f>'Balance Sheet'!I29-'Balance Sheet'!J29+38700</f>
        <v>259422.63333333336</v>
      </c>
    </row>
    <row r="28" spans="1:9" ht="15">
      <c r="A28" s="23">
        <v>21</v>
      </c>
      <c r="B28" s="66"/>
      <c r="C28" s="80"/>
      <c r="D28" s="80"/>
      <c r="E28" s="84"/>
      <c r="F28" s="84"/>
      <c r="G28" s="84"/>
      <c r="H28" s="84"/>
      <c r="I28" s="84"/>
    </row>
    <row r="29" spans="1:9" ht="15">
      <c r="A29" s="23">
        <v>22</v>
      </c>
      <c r="B29" s="66" t="s">
        <v>66</v>
      </c>
      <c r="C29" s="80"/>
      <c r="D29" s="80"/>
      <c r="E29" s="93">
        <f>SUM(E25:E27)</f>
        <v>-448336.95869720099</v>
      </c>
      <c r="F29" s="93">
        <f t="shared" ref="F29:I29" si="1">SUM(F25:F27)</f>
        <v>-543331.22471246519</v>
      </c>
      <c r="G29" s="93">
        <f t="shared" si="1"/>
        <v>-1044261.3610163955</v>
      </c>
      <c r="H29" s="93">
        <f t="shared" si="1"/>
        <v>-11093.168410194921</v>
      </c>
      <c r="I29" s="93">
        <f t="shared" si="1"/>
        <v>1274.2909333338612</v>
      </c>
    </row>
    <row r="30" spans="1:9" ht="15">
      <c r="A30" s="23">
        <v>23</v>
      </c>
      <c r="B30" s="66"/>
      <c r="C30" s="80"/>
      <c r="D30" s="80"/>
      <c r="E30" s="84"/>
      <c r="F30" s="84"/>
      <c r="G30" s="84"/>
      <c r="H30" s="84"/>
      <c r="I30" s="84"/>
    </row>
    <row r="31" spans="1:9" ht="15">
      <c r="A31" s="23">
        <v>24</v>
      </c>
      <c r="B31" s="66" t="s">
        <v>67</v>
      </c>
      <c r="C31" s="80"/>
      <c r="D31" s="80"/>
      <c r="E31" s="84"/>
      <c r="F31" s="84"/>
      <c r="G31" s="84"/>
      <c r="H31" s="84"/>
      <c r="I31" s="84"/>
    </row>
    <row r="32" spans="1:9" ht="15">
      <c r="A32" s="23">
        <v>25</v>
      </c>
      <c r="B32" s="66"/>
      <c r="C32" s="80" t="s">
        <v>151</v>
      </c>
      <c r="D32" s="80"/>
      <c r="E32" s="84">
        <v>0</v>
      </c>
      <c r="F32" s="84">
        <v>0</v>
      </c>
      <c r="G32" s="84">
        <v>0</v>
      </c>
      <c r="H32" s="84">
        <v>0</v>
      </c>
      <c r="I32" s="84">
        <v>0</v>
      </c>
    </row>
    <row r="33" spans="1:9" ht="15">
      <c r="A33" s="23">
        <v>26</v>
      </c>
      <c r="B33" s="66"/>
      <c r="C33" s="80" t="s">
        <v>68</v>
      </c>
      <c r="D33" s="80"/>
      <c r="E33" s="84">
        <f>-IS!E60</f>
        <v>-169049.53467276783</v>
      </c>
      <c r="F33" s="84">
        <v>0</v>
      </c>
      <c r="G33" s="84">
        <v>0</v>
      </c>
      <c r="H33" s="84">
        <v>0</v>
      </c>
      <c r="I33" s="84">
        <v>0</v>
      </c>
    </row>
    <row r="34" spans="1:9" ht="15">
      <c r="A34" s="23">
        <v>27</v>
      </c>
      <c r="B34" s="66"/>
      <c r="C34" s="80" t="s">
        <v>77</v>
      </c>
      <c r="D34" s="80"/>
      <c r="E34" s="84">
        <v>0</v>
      </c>
      <c r="F34" s="84">
        <v>0</v>
      </c>
      <c r="G34" s="84">
        <v>0</v>
      </c>
      <c r="H34" s="84">
        <v>0</v>
      </c>
      <c r="I34" s="84">
        <v>0</v>
      </c>
    </row>
    <row r="35" spans="1:9" ht="15">
      <c r="A35" s="23">
        <v>28</v>
      </c>
      <c r="B35" s="66"/>
      <c r="C35" s="80" t="s">
        <v>155</v>
      </c>
      <c r="D35" s="80"/>
      <c r="E35" s="84">
        <f>'Balance Sheet'!E49-'Balance Sheet'!C49</f>
        <v>125613</v>
      </c>
      <c r="F35" s="84">
        <f>'Balance Sheet'!G49-'Balance Sheet'!F49</f>
        <v>521815.91246089805</v>
      </c>
      <c r="G35" s="84">
        <f>'Balance Sheet'!H49-'Balance Sheet'!G49</f>
        <v>781290.31923262402</v>
      </c>
      <c r="H35" s="84">
        <f>'Balance Sheet'!I49-'Balance Sheet'!H49</f>
        <v>-38473.980866290629</v>
      </c>
      <c r="I35" s="84">
        <f>'Balance Sheet'!J49-'Balance Sheet'!I49</f>
        <v>71389.87075777445</v>
      </c>
    </row>
    <row r="36" spans="1:9" ht="15">
      <c r="A36" s="23">
        <v>29</v>
      </c>
      <c r="B36" s="66"/>
      <c r="C36" s="80" t="s">
        <v>69</v>
      </c>
      <c r="D36" s="80"/>
      <c r="E36" s="104"/>
      <c r="F36" s="104">
        <v>0</v>
      </c>
      <c r="G36" s="104">
        <v>0</v>
      </c>
      <c r="H36" s="104">
        <v>0</v>
      </c>
      <c r="I36" s="104"/>
    </row>
    <row r="37" spans="1:9" ht="15">
      <c r="A37" s="23">
        <v>30</v>
      </c>
      <c r="B37" s="66"/>
      <c r="E37" s="98"/>
      <c r="F37" s="98"/>
      <c r="G37" s="98"/>
      <c r="H37" s="98"/>
      <c r="I37" s="98"/>
    </row>
    <row r="38" spans="1:9" ht="15">
      <c r="A38" s="23">
        <v>31</v>
      </c>
      <c r="B38" s="66" t="s">
        <v>70</v>
      </c>
      <c r="E38" s="103">
        <f>SUM(E32:E36)</f>
        <v>-43436.534672767826</v>
      </c>
      <c r="F38" s="103">
        <f>SUM(F32:F36)</f>
        <v>521815.91246089805</v>
      </c>
      <c r="G38" s="103">
        <f t="shared" ref="G38:I38" si="2">SUM(G32:G36)</f>
        <v>781290.31923262402</v>
      </c>
      <c r="H38" s="103">
        <f t="shared" si="2"/>
        <v>-38473.980866290629</v>
      </c>
      <c r="I38" s="103">
        <f t="shared" si="2"/>
        <v>71389.87075777445</v>
      </c>
    </row>
    <row r="39" spans="1:9" ht="15">
      <c r="A39" s="23">
        <v>32</v>
      </c>
      <c r="B39" s="66"/>
      <c r="E39" s="98"/>
      <c r="F39" s="98"/>
      <c r="G39" s="98"/>
      <c r="H39" s="98"/>
      <c r="I39" s="98"/>
    </row>
    <row r="40" spans="1:9" ht="15.75" thickBot="1">
      <c r="A40" s="23">
        <v>33</v>
      </c>
      <c r="B40" s="66" t="s">
        <v>71</v>
      </c>
      <c r="E40" s="105">
        <f>E38+E29+E22</f>
        <v>0.34185004519531503</v>
      </c>
      <c r="F40" s="105">
        <f>F38+F29+F22</f>
        <v>0.4932839983375743</v>
      </c>
      <c r="G40" s="105">
        <f>G38+G29+G22</f>
        <v>1.5133991837501526E-9</v>
      </c>
      <c r="H40" s="105">
        <f>H38+H29+H22</f>
        <v>-1.7462298274040222E-9</v>
      </c>
      <c r="I40" s="105">
        <f>I38+I29+I22</f>
        <v>1.4551915228366852E-9</v>
      </c>
    </row>
    <row r="41" spans="1:9" ht="15.75" thickTop="1">
      <c r="A41" s="23">
        <v>34</v>
      </c>
      <c r="B41" s="66"/>
      <c r="E41" s="98"/>
      <c r="F41" s="98"/>
      <c r="G41" s="98"/>
      <c r="H41" s="98"/>
      <c r="I41" s="98"/>
    </row>
    <row r="42" spans="1:9" ht="15">
      <c r="A42" s="23">
        <v>35</v>
      </c>
      <c r="B42" s="66" t="s">
        <v>72</v>
      </c>
      <c r="E42" s="98">
        <f>'Balance Sheet'!C22</f>
        <v>44688.89000000048</v>
      </c>
      <c r="F42" s="98">
        <f>'Balance Sheet'!F22</f>
        <v>36092.389999999665</v>
      </c>
      <c r="G42" s="98">
        <f>F44</f>
        <v>36092.389999999665</v>
      </c>
      <c r="H42" s="98">
        <f>'Balance Sheet'!H22</f>
        <v>36092.389999999665</v>
      </c>
      <c r="I42" s="98">
        <f>'Balance Sheet'!I22</f>
        <v>36092.389999999665</v>
      </c>
    </row>
    <row r="43" spans="1:9" ht="15">
      <c r="A43" s="23">
        <v>36</v>
      </c>
      <c r="B43" s="66"/>
      <c r="E43" s="98"/>
      <c r="F43" s="98"/>
      <c r="G43" s="98"/>
      <c r="H43" s="98"/>
      <c r="I43" s="98"/>
    </row>
    <row r="44" spans="1:9" ht="15">
      <c r="A44" s="23">
        <v>37</v>
      </c>
      <c r="B44" s="66" t="s">
        <v>73</v>
      </c>
      <c r="E44" s="98">
        <f>'Balance Sheet'!E22</f>
        <v>44689</v>
      </c>
      <c r="F44" s="98">
        <f>'Balance Sheet'!G22</f>
        <v>36092.389999999665</v>
      </c>
      <c r="G44" s="98">
        <f>'Balance Sheet'!H22</f>
        <v>36092.389999999665</v>
      </c>
      <c r="H44" s="98">
        <f>'Balance Sheet'!I22</f>
        <v>36092.389999999665</v>
      </c>
      <c r="I44" s="98">
        <f>'Balance Sheet'!J22</f>
        <v>36092.389999999665</v>
      </c>
    </row>
    <row r="45" spans="1:9" ht="15">
      <c r="B45" s="66"/>
      <c r="F45" s="94"/>
      <c r="G45" s="94"/>
    </row>
    <row r="46" spans="1:9" ht="15">
      <c r="F46" s="95"/>
      <c r="G46" s="95"/>
    </row>
    <row r="47" spans="1:9">
      <c r="F47" s="102">
        <f>+F44-F42-F40</f>
        <v>-0.4932839983375743</v>
      </c>
      <c r="G47" s="102">
        <f t="shared" ref="G47:I47" si="3">+G44-G42-G40</f>
        <v>-1.5133991837501526E-9</v>
      </c>
      <c r="H47" s="102">
        <f t="shared" si="3"/>
        <v>1.7462298274040222E-9</v>
      </c>
      <c r="I47" s="102">
        <f t="shared" si="3"/>
        <v>-1.4551915228366852E-9</v>
      </c>
    </row>
    <row r="48" spans="1:9">
      <c r="F48" s="102"/>
      <c r="G48" s="99"/>
      <c r="H48" s="99"/>
    </row>
    <row r="49" spans="6:9">
      <c r="F49" s="102"/>
      <c r="G49" s="102"/>
      <c r="H49" s="102"/>
      <c r="I49" s="102"/>
    </row>
    <row r="50" spans="6:9">
      <c r="F50" s="102"/>
      <c r="G50" s="99"/>
      <c r="H50" s="99"/>
    </row>
    <row r="51" spans="6:9">
      <c r="F51" s="102"/>
      <c r="G51" s="99"/>
      <c r="H51" s="99"/>
    </row>
  </sheetData>
  <mergeCells count="2">
    <mergeCell ref="B7:D7"/>
    <mergeCell ref="F6:H6"/>
  </mergeCells>
  <pageMargins left="0.7" right="0.7" top="0.75" bottom="0.75" header="0.3" footer="0.3"/>
  <pageSetup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F1678-BCE6-4F39-930A-9E26F7AE0BF5}">
  <sheetPr>
    <pageSetUpPr fitToPage="1"/>
  </sheetPr>
  <dimension ref="A1:S76"/>
  <sheetViews>
    <sheetView tabSelected="1" zoomScaleNormal="100" workbookViewId="0">
      <selection activeCell="M16" sqref="M16"/>
    </sheetView>
  </sheetViews>
  <sheetFormatPr defaultColWidth="8.7109375" defaultRowHeight="13.5"/>
  <cols>
    <col min="1" max="1" width="8.7109375" style="80"/>
    <col min="2" max="2" width="41.7109375" style="80" bestFit="1" customWidth="1"/>
    <col min="3" max="3" width="12.140625" style="80" hidden="1" customWidth="1"/>
    <col min="4" max="4" width="15.5703125" style="80" hidden="1" customWidth="1"/>
    <col min="5" max="6" width="14.28515625" style="80" hidden="1" customWidth="1"/>
    <col min="7" max="9" width="14.28515625" style="80" bestFit="1" customWidth="1"/>
    <col min="10" max="10" width="14.28515625" style="80" hidden="1" customWidth="1"/>
    <col min="11" max="11" width="11.5703125" style="109" bestFit="1" customWidth="1"/>
    <col min="12" max="12" width="11.5703125" style="81" customWidth="1"/>
    <col min="13" max="13" width="11.140625" style="80" bestFit="1" customWidth="1"/>
    <col min="14" max="14" width="11.7109375" style="80" bestFit="1" customWidth="1"/>
    <col min="15" max="15" width="14" style="80" customWidth="1"/>
    <col min="16" max="18" width="8.7109375" style="80"/>
    <col min="19" max="19" width="10.28515625" style="80" bestFit="1" customWidth="1"/>
    <col min="20" max="16384" width="8.7109375" style="80"/>
  </cols>
  <sheetData>
    <row r="1" spans="1:19" ht="15">
      <c r="A1" s="76" t="s">
        <v>122</v>
      </c>
      <c r="C1" s="9"/>
      <c r="D1" s="9"/>
      <c r="E1" s="9"/>
      <c r="F1" s="9"/>
      <c r="G1" s="9"/>
      <c r="H1" s="10"/>
      <c r="I1" s="11" t="s">
        <v>163</v>
      </c>
      <c r="L1" s="69" t="s">
        <v>168</v>
      </c>
      <c r="M1" s="13"/>
    </row>
    <row r="2" spans="1:19" ht="15">
      <c r="A2" s="8" t="s">
        <v>123</v>
      </c>
      <c r="C2" s="9"/>
      <c r="D2" s="9"/>
      <c r="E2" s="9"/>
      <c r="F2" s="9"/>
      <c r="G2" s="9"/>
      <c r="H2" s="10"/>
      <c r="I2" s="10"/>
      <c r="J2" s="11"/>
      <c r="L2" s="120" t="s">
        <v>167</v>
      </c>
      <c r="M2" s="13"/>
    </row>
    <row r="3" spans="1:19" ht="15">
      <c r="A3" s="8" t="s">
        <v>139</v>
      </c>
      <c r="C3" s="9"/>
      <c r="D3" s="9"/>
      <c r="E3" s="9"/>
      <c r="F3" s="9"/>
      <c r="G3" s="9"/>
      <c r="H3" s="10"/>
      <c r="I3" s="14"/>
      <c r="J3" s="10"/>
      <c r="L3" s="120"/>
      <c r="M3" s="13" t="s">
        <v>171</v>
      </c>
    </row>
    <row r="4" spans="1:19" ht="15">
      <c r="A4" s="8"/>
      <c r="C4" s="9"/>
      <c r="D4" s="9"/>
      <c r="E4" s="9"/>
      <c r="F4" s="9"/>
      <c r="G4" s="9"/>
      <c r="H4" s="10"/>
      <c r="I4" s="14"/>
      <c r="J4" s="10"/>
      <c r="L4" s="120"/>
      <c r="M4" s="13"/>
    </row>
    <row r="5" spans="1:19" ht="15">
      <c r="A5" s="69" t="s">
        <v>126</v>
      </c>
      <c r="C5" s="15"/>
      <c r="D5" s="16"/>
      <c r="E5" s="16"/>
      <c r="F5" s="16"/>
      <c r="G5" s="16"/>
      <c r="H5" s="16"/>
      <c r="I5" s="16"/>
      <c r="J5" s="16"/>
      <c r="L5" s="69"/>
      <c r="M5" s="119"/>
    </row>
    <row r="6" spans="1:19">
      <c r="A6" s="82"/>
      <c r="C6" s="82"/>
      <c r="D6" s="82"/>
      <c r="E6" s="82"/>
      <c r="F6" s="82"/>
      <c r="G6" s="82"/>
      <c r="H6" s="82"/>
      <c r="I6" s="82"/>
      <c r="J6" s="83"/>
    </row>
    <row r="8" spans="1:19" ht="15">
      <c r="G8" s="124" t="s">
        <v>162</v>
      </c>
      <c r="H8" s="124"/>
      <c r="I8" s="124"/>
    </row>
    <row r="9" spans="1:19" ht="15">
      <c r="A9" s="107" t="s">
        <v>9</v>
      </c>
      <c r="B9" s="117" t="s">
        <v>121</v>
      </c>
      <c r="C9" s="118">
        <v>44459</v>
      </c>
      <c r="D9" s="118">
        <v>44651</v>
      </c>
      <c r="E9" s="118">
        <v>44834</v>
      </c>
      <c r="F9" s="118">
        <v>44561</v>
      </c>
      <c r="G9" s="30">
        <v>44926</v>
      </c>
      <c r="H9" s="30">
        <v>45291</v>
      </c>
      <c r="I9" s="30">
        <v>45657</v>
      </c>
      <c r="J9" s="45">
        <v>46022</v>
      </c>
      <c r="S9" s="122" t="s">
        <v>175</v>
      </c>
    </row>
    <row r="10" spans="1:19" ht="15">
      <c r="A10" s="23">
        <v>1</v>
      </c>
      <c r="B10" s="89" t="s">
        <v>79</v>
      </c>
      <c r="C10" s="40"/>
      <c r="D10" s="40"/>
      <c r="E10" s="84"/>
      <c r="F10" s="84"/>
      <c r="G10" s="84"/>
      <c r="H10" s="84"/>
      <c r="I10" s="84"/>
      <c r="J10" s="84"/>
      <c r="S10" s="80" t="s">
        <v>174</v>
      </c>
    </row>
    <row r="11" spans="1:19" ht="15">
      <c r="A11" s="23">
        <v>2</v>
      </c>
      <c r="B11" s="38" t="s">
        <v>127</v>
      </c>
      <c r="C11" s="38">
        <v>13479316.909999996</v>
      </c>
      <c r="D11" s="38">
        <v>13509726.18</v>
      </c>
      <c r="E11" s="38">
        <f>D11+'Data for balance sheet'!D5+'Data for balance sheet'!D8</f>
        <v>13682363.232030531</v>
      </c>
      <c r="F11" s="55">
        <v>13500177.600000001</v>
      </c>
      <c r="G11" s="38">
        <f>F11+'Data for balance sheet'!D3+'Data for balance sheet'!D8</f>
        <v>13777757.3380458</v>
      </c>
      <c r="H11" s="38">
        <f>G11+'Data for balance sheet'!F3+'Data for balance sheet'!F8</f>
        <v>15085340.682395529</v>
      </c>
      <c r="I11" s="38">
        <f>H11+'Data for balance sheet'!H3+'Data for balance sheet'!H8</f>
        <v>15329761.384139057</v>
      </c>
      <c r="J11" s="38">
        <f>I11+'Data for balance sheet'!J5+'Data for balance sheet'!J8</f>
        <v>15575402.726539057</v>
      </c>
      <c r="L11" s="68"/>
      <c r="S11" s="50">
        <f>+AVERAGE(G11:H11)</f>
        <v>14431549.010220665</v>
      </c>
    </row>
    <row r="12" spans="1:19" ht="15">
      <c r="A12" s="23">
        <v>3</v>
      </c>
      <c r="B12" s="38"/>
      <c r="C12" s="37"/>
      <c r="D12" s="37"/>
      <c r="E12" s="37"/>
      <c r="F12" s="61"/>
      <c r="G12" s="37"/>
      <c r="H12" s="37"/>
      <c r="I12" s="37"/>
      <c r="J12" s="37"/>
      <c r="K12" s="110"/>
      <c r="L12" s="68"/>
      <c r="M12" s="86"/>
      <c r="N12" s="84"/>
      <c r="O12" s="84"/>
      <c r="P12" s="86"/>
    </row>
    <row r="13" spans="1:19" ht="15">
      <c r="A13" s="23">
        <v>4</v>
      </c>
      <c r="B13" s="38" t="s">
        <v>128</v>
      </c>
      <c r="C13" s="38">
        <v>-6636045.2699999996</v>
      </c>
      <c r="D13" s="38">
        <v>-6806845.7300000032</v>
      </c>
      <c r="E13" s="39">
        <f>C13-IS!E42</f>
        <v>-7028400.4502497846</v>
      </c>
      <c r="F13" s="57">
        <v>-6709373.8499999978</v>
      </c>
      <c r="G13" s="39">
        <f>F13-IS!F42-'Data for balance sheet'!D8</f>
        <v>-7065006.8499999978</v>
      </c>
      <c r="H13" s="39">
        <f>G13-IS!G42-'Data for balance sheet'!F8</f>
        <v>-7391107.8499999978</v>
      </c>
      <c r="I13" s="39">
        <f>H13-IS!H42-'Data for balance sheet'!H8</f>
        <v>-7770318.8499999978</v>
      </c>
      <c r="J13" s="39">
        <f>I13-IS!I42-'Data for balance sheet'!J8</f>
        <v>-8149529.8499999978</v>
      </c>
      <c r="L13" s="68"/>
      <c r="N13" s="86"/>
      <c r="S13" s="50">
        <f>+AVERAGE(G13:H13)</f>
        <v>-7228057.3499999978</v>
      </c>
    </row>
    <row r="14" spans="1:19" ht="15">
      <c r="A14" s="23">
        <v>5</v>
      </c>
      <c r="B14" s="38"/>
      <c r="C14" s="40"/>
      <c r="D14" s="40"/>
      <c r="E14" s="40"/>
      <c r="F14" s="56"/>
      <c r="G14" s="40"/>
      <c r="H14" s="40"/>
      <c r="I14" s="40"/>
      <c r="J14" s="40"/>
      <c r="K14" s="110"/>
      <c r="L14" s="68"/>
      <c r="N14" s="86"/>
    </row>
    <row r="15" spans="1:19" ht="15">
      <c r="A15" s="23">
        <v>6</v>
      </c>
      <c r="B15" s="38" t="s">
        <v>86</v>
      </c>
      <c r="C15" s="39">
        <f t="shared" ref="C15:J15" si="0">+C11+C13</f>
        <v>6843271.6399999969</v>
      </c>
      <c r="D15" s="39">
        <f t="shared" si="0"/>
        <v>6702880.4499999965</v>
      </c>
      <c r="E15" s="39">
        <f t="shared" si="0"/>
        <v>6653962.7817807468</v>
      </c>
      <c r="F15" s="39">
        <f t="shared" si="0"/>
        <v>6790803.7500000037</v>
      </c>
      <c r="G15" s="39">
        <f t="shared" si="0"/>
        <v>6712750.4880458023</v>
      </c>
      <c r="H15" s="39">
        <f t="shared" si="0"/>
        <v>7694232.8323955312</v>
      </c>
      <c r="I15" s="39">
        <f t="shared" si="0"/>
        <v>7559442.5341390595</v>
      </c>
      <c r="J15" s="39">
        <f t="shared" si="0"/>
        <v>7425872.876539059</v>
      </c>
      <c r="K15" s="110"/>
      <c r="L15" s="68"/>
      <c r="N15" s="86"/>
    </row>
    <row r="16" spans="1:19" ht="15">
      <c r="A16" s="23">
        <v>7</v>
      </c>
      <c r="B16" s="38"/>
      <c r="C16" s="40"/>
      <c r="D16" s="40"/>
      <c r="E16" s="40"/>
      <c r="F16" s="56"/>
      <c r="G16" s="40"/>
      <c r="H16" s="40"/>
      <c r="I16" s="40"/>
      <c r="J16" s="40"/>
      <c r="K16" s="110"/>
      <c r="L16" s="68"/>
      <c r="N16" s="86"/>
    </row>
    <row r="17" spans="1:19" ht="15">
      <c r="A17" s="23">
        <v>8</v>
      </c>
      <c r="B17" s="38" t="s">
        <v>131</v>
      </c>
      <c r="C17" s="38">
        <v>-114390.53999999998</v>
      </c>
      <c r="D17" s="38">
        <v>-112560.28999999998</v>
      </c>
      <c r="E17" s="38">
        <f>D17-IS!D43</f>
        <v>-110730.04999999997</v>
      </c>
      <c r="F17" s="55">
        <v>-113475.40999999997</v>
      </c>
      <c r="G17" s="38">
        <f>F17-IS!F43</f>
        <v>-109814.91999999997</v>
      </c>
      <c r="H17" s="38">
        <f>G17-IS!G43</f>
        <v>-106154.42999999996</v>
      </c>
      <c r="I17" s="38">
        <f>H17-IS!H43</f>
        <v>-102493.93999999996</v>
      </c>
      <c r="J17" s="38">
        <f>I17-IS!I43</f>
        <v>-98833.449999999953</v>
      </c>
      <c r="K17" s="110"/>
      <c r="L17" s="68"/>
      <c r="N17" s="86"/>
      <c r="S17" s="50">
        <f>+AVERAGE(G17:H17)</f>
        <v>-107984.67499999996</v>
      </c>
    </row>
    <row r="18" spans="1:19" ht="15">
      <c r="A18" s="23">
        <v>9</v>
      </c>
      <c r="B18" s="38"/>
      <c r="C18" s="40"/>
      <c r="D18" s="40"/>
      <c r="E18" s="40"/>
      <c r="F18" s="56"/>
      <c r="G18" s="40"/>
      <c r="H18" s="40"/>
      <c r="I18" s="40"/>
      <c r="J18" s="40"/>
      <c r="K18" s="110"/>
      <c r="L18" s="68"/>
      <c r="N18" s="86"/>
    </row>
    <row r="19" spans="1:19" ht="15">
      <c r="A19" s="23">
        <v>10</v>
      </c>
      <c r="B19" s="38" t="s">
        <v>132</v>
      </c>
      <c r="C19" s="38">
        <v>102222.01000000021</v>
      </c>
      <c r="D19" s="38">
        <v>102244.68999999992</v>
      </c>
      <c r="E19" s="38">
        <v>0</v>
      </c>
      <c r="F19" s="55">
        <v>102360.86000000013</v>
      </c>
      <c r="G19" s="38">
        <v>0</v>
      </c>
      <c r="H19" s="38">
        <v>0</v>
      </c>
      <c r="I19" s="38">
        <v>0</v>
      </c>
      <c r="J19" s="38">
        <v>0</v>
      </c>
      <c r="K19" s="110"/>
      <c r="L19" s="68"/>
      <c r="N19" s="86"/>
      <c r="S19" s="50">
        <f>+AVERAGE(G19:H19)</f>
        <v>0</v>
      </c>
    </row>
    <row r="20" spans="1:19" ht="15">
      <c r="A20" s="23">
        <v>11</v>
      </c>
      <c r="B20" s="38"/>
      <c r="C20" s="40"/>
      <c r="D20" s="40"/>
      <c r="E20" s="40"/>
      <c r="F20" s="56"/>
      <c r="G20" s="40"/>
      <c r="H20" s="40"/>
      <c r="I20" s="40"/>
      <c r="J20" s="40"/>
      <c r="K20" s="110"/>
      <c r="L20" s="68"/>
      <c r="M20" s="84"/>
      <c r="N20" s="86"/>
    </row>
    <row r="21" spans="1:19" ht="15">
      <c r="A21" s="23">
        <v>12</v>
      </c>
      <c r="B21" s="38" t="s">
        <v>90</v>
      </c>
      <c r="C21" s="38"/>
      <c r="D21" s="38"/>
      <c r="E21" s="38"/>
      <c r="F21" s="87"/>
      <c r="G21" s="38"/>
      <c r="H21" s="38"/>
      <c r="I21" s="38"/>
      <c r="J21" s="38"/>
      <c r="K21" s="110"/>
      <c r="L21" s="68"/>
      <c r="M21" s="86"/>
      <c r="N21" s="86"/>
      <c r="O21" s="86"/>
    </row>
    <row r="22" spans="1:19" ht="15">
      <c r="A22" s="23">
        <v>13</v>
      </c>
      <c r="B22" s="38" t="s">
        <v>91</v>
      </c>
      <c r="C22" s="38">
        <v>44688.89000000048</v>
      </c>
      <c r="D22" s="38">
        <v>36092.389999999665</v>
      </c>
      <c r="E22" s="38">
        <v>44689</v>
      </c>
      <c r="F22" s="55">
        <f>+D22</f>
        <v>36092.389999999665</v>
      </c>
      <c r="G22" s="38">
        <f>+F22</f>
        <v>36092.389999999665</v>
      </c>
      <c r="H22" s="38">
        <f>'Cash flow'!G42</f>
        <v>36092.389999999665</v>
      </c>
      <c r="I22" s="38">
        <f>'Cash flow'!H42</f>
        <v>36092.389999999665</v>
      </c>
      <c r="J22" s="38">
        <f>'Cash flow'!I42</f>
        <v>36092.389999999665</v>
      </c>
      <c r="K22" s="110"/>
      <c r="L22" s="68"/>
      <c r="M22" s="86"/>
      <c r="N22" s="86"/>
      <c r="O22" s="80" t="s">
        <v>143</v>
      </c>
      <c r="P22" s="80" t="s">
        <v>144</v>
      </c>
      <c r="S22" s="50">
        <f>+AVERAGE(G22:H22)</f>
        <v>36092.389999999665</v>
      </c>
    </row>
    <row r="23" spans="1:19" ht="15">
      <c r="A23" s="23">
        <v>14</v>
      </c>
      <c r="B23" s="38" t="s">
        <v>92</v>
      </c>
      <c r="C23" s="38">
        <v>1087861.8499999968</v>
      </c>
      <c r="D23" s="38">
        <v>924774.48000000126</v>
      </c>
      <c r="E23" s="38">
        <f>D23/IS!C16*IS!D16</f>
        <v>853197.87929984136</v>
      </c>
      <c r="F23" s="55">
        <v>1028950.1900000006</v>
      </c>
      <c r="G23" s="38">
        <f>+$Q$23*IS!F11</f>
        <v>954164.97624206054</v>
      </c>
      <c r="H23" s="38">
        <f>+$Q$23*IS!G11</f>
        <v>995347.78446286707</v>
      </c>
      <c r="I23" s="38">
        <f>+$Q$23*IS!H11</f>
        <v>988933.81459261139</v>
      </c>
      <c r="J23" s="38">
        <f>+$Q$23*IS!I11</f>
        <v>982563.91980785446</v>
      </c>
      <c r="K23" s="110"/>
      <c r="L23" s="68"/>
      <c r="M23" s="86"/>
      <c r="N23" s="86"/>
      <c r="O23" s="80">
        <v>1039450</v>
      </c>
      <c r="P23" s="80">
        <v>3406420</v>
      </c>
      <c r="Q23" s="80">
        <f>+O23/P23</f>
        <v>0.30514440380223223</v>
      </c>
      <c r="S23" s="50">
        <f>+AVERAGE(G23:H23)</f>
        <v>974756.38035246381</v>
      </c>
    </row>
    <row r="24" spans="1:19" ht="15">
      <c r="A24" s="23">
        <v>15</v>
      </c>
      <c r="B24" s="38" t="s">
        <v>3</v>
      </c>
      <c r="C24" s="39">
        <v>-118449.85000000522</v>
      </c>
      <c r="D24" s="39">
        <v>378581.94999999547</v>
      </c>
      <c r="E24" s="39">
        <f>D24</f>
        <v>378581.94999999547</v>
      </c>
      <c r="F24" s="57">
        <v>34900.319999994637</v>
      </c>
      <c r="G24" s="39">
        <f>+D24</f>
        <v>378581.94999999547</v>
      </c>
      <c r="H24" s="39">
        <f t="shared" ref="H24:J24" si="1">G24</f>
        <v>378581.94999999547</v>
      </c>
      <c r="I24" s="39">
        <f t="shared" si="1"/>
        <v>378581.94999999547</v>
      </c>
      <c r="J24" s="39">
        <f t="shared" si="1"/>
        <v>378581.94999999547</v>
      </c>
      <c r="K24" s="110"/>
      <c r="L24" s="68"/>
      <c r="M24" s="86" t="s">
        <v>146</v>
      </c>
      <c r="N24" s="86"/>
      <c r="S24" s="50">
        <f>+AVERAGE(G24:H24)</f>
        <v>378581.94999999547</v>
      </c>
    </row>
    <row r="25" spans="1:19" ht="15">
      <c r="A25" s="23">
        <v>16</v>
      </c>
      <c r="B25" s="38"/>
      <c r="C25" s="40"/>
      <c r="D25" s="40"/>
      <c r="E25" s="40"/>
      <c r="F25" s="56"/>
      <c r="G25" s="40"/>
      <c r="H25" s="40"/>
      <c r="I25" s="40"/>
      <c r="J25" s="40"/>
      <c r="K25" s="110"/>
      <c r="L25" s="68"/>
      <c r="M25" s="86"/>
      <c r="N25" s="86"/>
    </row>
    <row r="26" spans="1:19" ht="15">
      <c r="A26" s="23">
        <v>17</v>
      </c>
      <c r="B26" s="38" t="s">
        <v>2</v>
      </c>
      <c r="C26" s="39">
        <v>1014100.8899999922</v>
      </c>
      <c r="D26" s="39">
        <v>1339448.8199999963</v>
      </c>
      <c r="E26" s="39">
        <f>SUM(E22:E24)</f>
        <v>1276468.8292998369</v>
      </c>
      <c r="F26" s="57">
        <v>1083559.179999995</v>
      </c>
      <c r="G26" s="39">
        <f t="shared" ref="G26:J26" si="2">SUM(G22:G24)</f>
        <v>1368839.3162420557</v>
      </c>
      <c r="H26" s="39">
        <f t="shared" si="2"/>
        <v>1410022.1244628623</v>
      </c>
      <c r="I26" s="39">
        <f t="shared" si="2"/>
        <v>1403608.1545926065</v>
      </c>
      <c r="J26" s="39">
        <f t="shared" si="2"/>
        <v>1397238.2598078495</v>
      </c>
      <c r="K26" s="110"/>
      <c r="L26" s="68"/>
      <c r="M26" s="86"/>
      <c r="N26" s="86"/>
    </row>
    <row r="27" spans="1:19" ht="15">
      <c r="A27" s="23">
        <v>18</v>
      </c>
      <c r="B27" s="38"/>
      <c r="C27" s="40"/>
      <c r="D27" s="40"/>
      <c r="E27" s="40"/>
      <c r="F27" s="56"/>
      <c r="G27" s="40"/>
      <c r="H27" s="40"/>
      <c r="I27" s="40"/>
      <c r="J27" s="40"/>
      <c r="K27" s="110"/>
      <c r="L27" s="68"/>
      <c r="M27" s="86"/>
      <c r="N27" s="86"/>
    </row>
    <row r="28" spans="1:19" ht="15">
      <c r="A28" s="23">
        <v>19</v>
      </c>
      <c r="B28" s="38" t="s">
        <v>95</v>
      </c>
      <c r="C28" s="40"/>
      <c r="D28" s="40"/>
      <c r="E28" s="40"/>
      <c r="F28" s="56"/>
      <c r="G28" s="40"/>
      <c r="H28" s="40"/>
      <c r="I28" s="40"/>
      <c r="J28" s="40"/>
      <c r="K28" s="110"/>
      <c r="L28" s="68"/>
      <c r="N28" s="86"/>
    </row>
    <row r="29" spans="1:19" ht="15">
      <c r="A29" s="23">
        <v>20</v>
      </c>
      <c r="B29" s="38" t="s">
        <v>97</v>
      </c>
      <c r="C29" s="38">
        <v>860187.9300000004</v>
      </c>
      <c r="D29" s="38">
        <v>802280.4600000002</v>
      </c>
      <c r="E29" s="38">
        <v>1219312.2866666666</v>
      </c>
      <c r="F29" s="55">
        <v>831186.41000000015</v>
      </c>
      <c r="G29" s="38">
        <v>1189719.3766666669</v>
      </c>
      <c r="H29" s="38">
        <v>915687.39333333354</v>
      </c>
      <c r="I29" s="38">
        <f>H29-IS!H33-64786.11</f>
        <v>690194.86000000022</v>
      </c>
      <c r="J29" s="38">
        <f>I29-IS!I33-60016.21</f>
        <v>469472.22666666686</v>
      </c>
      <c r="L29" s="68"/>
      <c r="N29" s="86"/>
      <c r="S29" s="50">
        <f>+AVERAGE(G29:H29)</f>
        <v>1052703.3850000002</v>
      </c>
    </row>
    <row r="30" spans="1:19" ht="15">
      <c r="A30" s="23">
        <v>21</v>
      </c>
      <c r="B30" s="48" t="s">
        <v>4</v>
      </c>
      <c r="C30" s="26">
        <v>180396.57</v>
      </c>
      <c r="D30" s="26">
        <v>168784.86000000002</v>
      </c>
      <c r="E30" s="26">
        <f>D30</f>
        <v>168784.86000000002</v>
      </c>
      <c r="F30" s="63">
        <v>175009.37999999998</v>
      </c>
      <c r="G30" s="26">
        <v>156337</v>
      </c>
      <c r="H30" s="26">
        <v>143830</v>
      </c>
      <c r="I30" s="26">
        <f>+H30-G30+H30</f>
        <v>131323</v>
      </c>
      <c r="J30" s="26">
        <f>+I30-H30+I30</f>
        <v>118816</v>
      </c>
      <c r="L30" s="81" t="s">
        <v>147</v>
      </c>
      <c r="N30" s="86"/>
      <c r="S30" s="50">
        <f>+AVERAGE(G30:H30)</f>
        <v>150083.5</v>
      </c>
    </row>
    <row r="31" spans="1:19" ht="15">
      <c r="A31" s="23">
        <v>22</v>
      </c>
      <c r="B31" s="48"/>
      <c r="C31" s="28"/>
      <c r="D31" s="28"/>
      <c r="E31" s="28"/>
      <c r="F31" s="54"/>
      <c r="G31" s="28"/>
      <c r="H31" s="28"/>
      <c r="I31" s="28"/>
      <c r="J31" s="28"/>
      <c r="K31" s="110"/>
      <c r="L31" s="68"/>
      <c r="N31" s="86"/>
    </row>
    <row r="32" spans="1:19" ht="15">
      <c r="A32" s="23">
        <v>23</v>
      </c>
      <c r="B32" s="38" t="s">
        <v>2</v>
      </c>
      <c r="C32" s="26">
        <v>1040584.5000000005</v>
      </c>
      <c r="D32" s="26">
        <v>971065.32000000018</v>
      </c>
      <c r="E32" s="26">
        <f>E30+E29</f>
        <v>1388097.1466666667</v>
      </c>
      <c r="F32" s="63">
        <v>1006195.7900000002</v>
      </c>
      <c r="G32" s="26">
        <f t="shared" ref="G32:J32" si="3">G30+G29</f>
        <v>1346056.3766666669</v>
      </c>
      <c r="H32" s="26">
        <f t="shared" si="3"/>
        <v>1059517.3933333335</v>
      </c>
      <c r="I32" s="26">
        <f t="shared" si="3"/>
        <v>821517.86000000022</v>
      </c>
      <c r="J32" s="26">
        <f t="shared" si="3"/>
        <v>588288.2266666668</v>
      </c>
      <c r="K32" s="110"/>
      <c r="L32" s="68"/>
      <c r="M32" s="86"/>
      <c r="N32" s="86"/>
    </row>
    <row r="33" spans="1:19" ht="15">
      <c r="A33" s="23">
        <v>24</v>
      </c>
      <c r="B33" s="38"/>
      <c r="C33" s="38"/>
      <c r="D33" s="38"/>
      <c r="E33" s="38"/>
      <c r="F33" s="87"/>
      <c r="G33" s="38"/>
      <c r="H33" s="38"/>
      <c r="I33" s="38"/>
      <c r="J33" s="38"/>
      <c r="L33" s="68"/>
      <c r="N33" s="86"/>
    </row>
    <row r="34" spans="1:19" ht="15.75" thickBot="1">
      <c r="A34" s="23">
        <v>25</v>
      </c>
      <c r="B34" s="49" t="s">
        <v>5</v>
      </c>
      <c r="C34" s="42">
        <v>8885788.4999999888</v>
      </c>
      <c r="D34" s="42">
        <v>9003078.9899999928</v>
      </c>
      <c r="E34" s="42">
        <f>E32+E26+E17+E19+E15</f>
        <v>9207798.7077472508</v>
      </c>
      <c r="F34" s="42">
        <f t="shared" ref="F34:J34" si="4">F32+F26+F17+F19+F15</f>
        <v>8869444.1699999981</v>
      </c>
      <c r="G34" s="42">
        <f t="shared" si="4"/>
        <v>9317831.2609545253</v>
      </c>
      <c r="H34" s="42">
        <f t="shared" si="4"/>
        <v>10057617.920191728</v>
      </c>
      <c r="I34" s="42">
        <f t="shared" si="4"/>
        <v>9682074.6087316666</v>
      </c>
      <c r="J34" s="42">
        <f t="shared" si="4"/>
        <v>9312565.9130135756</v>
      </c>
      <c r="L34" s="68"/>
      <c r="N34" s="86"/>
      <c r="S34" s="50">
        <f>+AVERAGE(G34:H34)</f>
        <v>9687724.5905731265</v>
      </c>
    </row>
    <row r="35" spans="1:19" ht="15.75" thickTop="1">
      <c r="A35" s="23">
        <v>26</v>
      </c>
      <c r="E35" s="84"/>
      <c r="F35" s="84"/>
      <c r="G35" s="84"/>
      <c r="H35" s="84"/>
      <c r="I35" s="84"/>
      <c r="J35" s="84"/>
      <c r="L35" s="68"/>
      <c r="N35" s="86"/>
    </row>
    <row r="36" spans="1:19" ht="15">
      <c r="A36" s="23">
        <v>27</v>
      </c>
      <c r="B36" s="89" t="s">
        <v>149</v>
      </c>
      <c r="C36" s="47"/>
      <c r="D36" s="47"/>
      <c r="E36" s="84"/>
      <c r="F36" s="84"/>
      <c r="G36" s="84"/>
      <c r="H36" s="84"/>
      <c r="I36" s="84"/>
      <c r="J36" s="84"/>
      <c r="L36" s="68"/>
      <c r="N36" s="86"/>
    </row>
    <row r="37" spans="1:19" ht="15">
      <c r="A37" s="23">
        <v>28</v>
      </c>
      <c r="B37" s="38" t="s">
        <v>80</v>
      </c>
      <c r="C37" s="38"/>
      <c r="D37" s="38"/>
      <c r="E37" s="84"/>
      <c r="F37" s="84"/>
      <c r="G37" s="84"/>
      <c r="H37" s="84"/>
      <c r="I37" s="84"/>
      <c r="J37" s="84"/>
      <c r="L37" s="68"/>
      <c r="N37" s="86"/>
    </row>
    <row r="38" spans="1:19" ht="15">
      <c r="A38" s="23">
        <v>29</v>
      </c>
      <c r="B38" s="38" t="s">
        <v>81</v>
      </c>
      <c r="C38" s="38">
        <v>1000</v>
      </c>
      <c r="D38" s="38">
        <v>1000</v>
      </c>
      <c r="E38" s="38">
        <v>1000</v>
      </c>
      <c r="F38" s="58">
        <v>1000</v>
      </c>
      <c r="G38" s="38">
        <v>1000</v>
      </c>
      <c r="H38" s="38">
        <v>1000</v>
      </c>
      <c r="I38" s="38">
        <v>1000</v>
      </c>
      <c r="J38" s="38">
        <v>1000</v>
      </c>
      <c r="K38" s="111"/>
      <c r="L38" s="68"/>
      <c r="N38" s="86"/>
    </row>
    <row r="39" spans="1:19" ht="15">
      <c r="A39" s="23">
        <v>30</v>
      </c>
      <c r="B39" s="38" t="s">
        <v>82</v>
      </c>
      <c r="C39" s="39">
        <v>3191641.3099999973</v>
      </c>
      <c r="D39" s="39">
        <v>2927601.609999998</v>
      </c>
      <c r="E39" s="39">
        <f>C39+IS!E58-IS!E60</f>
        <v>3029180.1510130377</v>
      </c>
      <c r="F39" s="60">
        <v>2943811.27</v>
      </c>
      <c r="G39" s="39">
        <f>F39+IS!F72</f>
        <v>2731017.1021803454</v>
      </c>
      <c r="H39" s="39">
        <f>G39+IS!G72</f>
        <v>2490978.7274900419</v>
      </c>
      <c r="I39" s="39">
        <f>H39+IS!H72</f>
        <v>2043169.1287799026</v>
      </c>
      <c r="J39" s="39">
        <f>I39+IS!I72</f>
        <v>1602975.4827103759</v>
      </c>
      <c r="K39" s="111"/>
      <c r="L39" s="68"/>
      <c r="N39" s="86"/>
    </row>
    <row r="40" spans="1:19" ht="15">
      <c r="A40" s="23">
        <v>31</v>
      </c>
      <c r="B40" s="38"/>
      <c r="C40" s="40"/>
      <c r="D40" s="40"/>
      <c r="E40" s="40"/>
      <c r="F40" s="59"/>
      <c r="G40" s="40"/>
      <c r="H40" s="40"/>
      <c r="I40" s="40"/>
      <c r="J40" s="40"/>
      <c r="K40" s="112"/>
      <c r="L40" s="68"/>
      <c r="N40" s="86"/>
    </row>
    <row r="41" spans="1:19" ht="15">
      <c r="A41" s="23">
        <v>32</v>
      </c>
      <c r="B41" s="38" t="s">
        <v>2</v>
      </c>
      <c r="C41" s="39">
        <v>3192641.3099999973</v>
      </c>
      <c r="D41" s="39">
        <v>2928601.609999998</v>
      </c>
      <c r="E41" s="39">
        <f t="shared" ref="E41:J41" si="5">E39+E38</f>
        <v>3030180.1510130377</v>
      </c>
      <c r="F41" s="60">
        <v>2944811.27</v>
      </c>
      <c r="G41" s="39">
        <f t="shared" si="5"/>
        <v>2732017.1021803454</v>
      </c>
      <c r="H41" s="39">
        <f t="shared" si="5"/>
        <v>2491978.7274900419</v>
      </c>
      <c r="I41" s="39">
        <f t="shared" si="5"/>
        <v>2044169.1287799026</v>
      </c>
      <c r="J41" s="39">
        <f t="shared" si="5"/>
        <v>1603975.4827103759</v>
      </c>
      <c r="K41" s="111"/>
      <c r="L41" s="68"/>
      <c r="N41" s="86"/>
    </row>
    <row r="42" spans="1:19" ht="15">
      <c r="A42" s="23">
        <v>33</v>
      </c>
      <c r="B42" s="38"/>
      <c r="C42" s="37"/>
      <c r="D42" s="37"/>
      <c r="E42" s="37"/>
      <c r="F42" s="61"/>
      <c r="G42" s="37"/>
      <c r="H42" s="37"/>
      <c r="I42" s="37"/>
      <c r="J42" s="37"/>
      <c r="K42" s="113"/>
      <c r="L42" s="68"/>
      <c r="M42" s="86"/>
      <c r="N42" s="86"/>
    </row>
    <row r="43" spans="1:19" ht="15">
      <c r="A43" s="23">
        <v>34</v>
      </c>
      <c r="B43" s="38" t="s">
        <v>83</v>
      </c>
      <c r="C43" s="38"/>
      <c r="D43" s="38"/>
      <c r="E43" s="38"/>
      <c r="F43" s="88"/>
      <c r="G43" s="38"/>
      <c r="H43" s="38"/>
      <c r="I43" s="38"/>
      <c r="J43" s="38"/>
      <c r="K43" s="111"/>
      <c r="L43" s="68"/>
      <c r="N43" s="86"/>
      <c r="O43" s="80" t="s">
        <v>143</v>
      </c>
      <c r="P43" s="80" t="s">
        <v>145</v>
      </c>
    </row>
    <row r="44" spans="1:19" ht="15">
      <c r="A44" s="23">
        <v>35</v>
      </c>
      <c r="B44" s="38" t="s">
        <v>62</v>
      </c>
      <c r="C44" s="38">
        <v>929729.45</v>
      </c>
      <c r="D44" s="38">
        <v>873321.48</v>
      </c>
      <c r="E44" s="38">
        <f>D44/D23*E23</f>
        <v>805727.28897427814</v>
      </c>
      <c r="F44" s="58">
        <v>956791.75000000023</v>
      </c>
      <c r="G44" s="38">
        <f>+$Q$44*(IS!F56-IS!F52-IS!F43-IS!F42)</f>
        <v>952854.70158251678</v>
      </c>
      <c r="H44" s="38">
        <f>+$Q$44*(IS!G56-IS!G52-IS!G43-IS!G42)</f>
        <v>1005272.4579979735</v>
      </c>
      <c r="I44" s="38">
        <f>+$Q$44*(IS!H56-IS!H52-IS!H43-IS!H42)</f>
        <v>1082399.9986347507</v>
      </c>
      <c r="J44" s="38">
        <f>+$Q$44*(IS!I56-IS!I52-IS!I43-IS!I42)</f>
        <v>1079428.4045281266</v>
      </c>
      <c r="K44" s="111"/>
      <c r="L44" s="68"/>
      <c r="N44" s="86"/>
      <c r="O44" s="80">
        <v>1034178</v>
      </c>
      <c r="P44" s="80">
        <f>2855773+164921</f>
        <v>3020694</v>
      </c>
      <c r="Q44" s="80">
        <f>+O44/P44</f>
        <v>0.34236437057179575</v>
      </c>
    </row>
    <row r="45" spans="1:19" ht="15">
      <c r="A45" s="23">
        <v>36</v>
      </c>
      <c r="B45" s="38" t="s">
        <v>1</v>
      </c>
      <c r="C45" s="38">
        <v>21172.800000000003</v>
      </c>
      <c r="D45" s="38">
        <v>5823.1699999999983</v>
      </c>
      <c r="E45" s="38">
        <f>D45/D44*E44</f>
        <v>5372.4625865567241</v>
      </c>
      <c r="F45" s="58">
        <v>24412.49</v>
      </c>
      <c r="G45" s="38">
        <f>E45/E44*G44</f>
        <v>6353.4849876980734</v>
      </c>
      <c r="H45" s="38">
        <f t="shared" ref="H45:J45" si="6">G45/G44*H44</f>
        <v>6702.9983268475871</v>
      </c>
      <c r="I45" s="38">
        <f t="shared" si="6"/>
        <v>7217.2726131159852</v>
      </c>
      <c r="J45" s="38">
        <f t="shared" si="6"/>
        <v>7197.458491913023</v>
      </c>
      <c r="K45" s="111"/>
      <c r="L45" s="68"/>
      <c r="M45" s="50"/>
      <c r="N45" s="50"/>
    </row>
    <row r="46" spans="1:19" ht="15">
      <c r="A46" s="23">
        <v>37</v>
      </c>
      <c r="B46" s="38" t="s">
        <v>84</v>
      </c>
      <c r="C46" s="38">
        <v>105883.52000000009</v>
      </c>
      <c r="D46" s="38">
        <v>189491.95000000004</v>
      </c>
      <c r="E46" s="10">
        <f>D46/SUM(IS!C44:C50)*SUM(IS!E44:E50)</f>
        <v>296738.2451563293</v>
      </c>
      <c r="F46" s="58">
        <v>166207.39999999997</v>
      </c>
      <c r="G46" s="10">
        <f>F46</f>
        <v>166207.39999999997</v>
      </c>
      <c r="H46" s="10">
        <f>E46/SUM(IS!E44:E50)*SUM(IS!G44:G50)</f>
        <v>311172.19669471227</v>
      </c>
      <c r="I46" s="10">
        <f>H46/SUM(IS!G44:G50)*SUM(IS!H44:H50)</f>
        <v>341532.02088279295</v>
      </c>
      <c r="J46" s="10">
        <f>I46/SUM(IS!H44:H50)*SUM(IS!I44:I50)</f>
        <v>341079.87969904172</v>
      </c>
      <c r="K46" s="114"/>
      <c r="L46" s="68"/>
      <c r="M46" s="50"/>
      <c r="N46" s="50"/>
    </row>
    <row r="47" spans="1:19" ht="15">
      <c r="A47" s="23">
        <v>38</v>
      </c>
      <c r="B47" s="38" t="s">
        <v>85</v>
      </c>
      <c r="C47" s="38">
        <v>58643.020000000011</v>
      </c>
      <c r="D47" s="38">
        <v>57216.82</v>
      </c>
      <c r="E47" s="38">
        <f>D47</f>
        <v>57216.82</v>
      </c>
      <c r="F47" s="58">
        <v>56325.52999999997</v>
      </c>
      <c r="G47" s="38">
        <f>E47+1797</f>
        <v>59013.82</v>
      </c>
      <c r="H47" s="38">
        <f t="shared" ref="H47:J47" si="7">G47</f>
        <v>59013.82</v>
      </c>
      <c r="I47" s="38">
        <f t="shared" si="7"/>
        <v>59013.82</v>
      </c>
      <c r="J47" s="38">
        <f t="shared" si="7"/>
        <v>59013.82</v>
      </c>
      <c r="K47" s="111"/>
      <c r="L47" s="68"/>
      <c r="M47" s="50"/>
      <c r="N47" s="50"/>
    </row>
    <row r="48" spans="1:19" ht="15">
      <c r="A48" s="23">
        <v>39</v>
      </c>
      <c r="B48" s="38" t="s">
        <v>87</v>
      </c>
      <c r="C48" s="38">
        <v>695.12999999999965</v>
      </c>
      <c r="D48" s="38">
        <v>611.34999999999991</v>
      </c>
      <c r="E48" s="38">
        <f>D48</f>
        <v>611.34999999999991</v>
      </c>
      <c r="F48" s="58">
        <v>634.2199999999998</v>
      </c>
      <c r="G48" s="38">
        <f>E48</f>
        <v>611.34999999999991</v>
      </c>
      <c r="H48" s="38">
        <f t="shared" ref="H48:J48" si="8">G48</f>
        <v>611.34999999999991</v>
      </c>
      <c r="I48" s="38">
        <f t="shared" si="8"/>
        <v>611.34999999999991</v>
      </c>
      <c r="J48" s="38">
        <f t="shared" si="8"/>
        <v>611.34999999999991</v>
      </c>
      <c r="K48" s="111"/>
      <c r="L48" s="68"/>
      <c r="M48" s="50"/>
      <c r="N48" s="50"/>
    </row>
    <row r="49" spans="1:19" ht="15">
      <c r="A49" s="23">
        <v>40</v>
      </c>
      <c r="B49" s="38" t="s">
        <v>88</v>
      </c>
      <c r="C49" s="38">
        <v>3443359.49</v>
      </c>
      <c r="D49" s="38">
        <v>3443359.49</v>
      </c>
      <c r="E49" s="38">
        <f>D49+415234-289621</f>
        <v>3568972.49</v>
      </c>
      <c r="F49" s="90">
        <v>3443359.49</v>
      </c>
      <c r="G49" s="38">
        <v>3965175.4024608983</v>
      </c>
      <c r="H49" s="38">
        <v>4746465.7216935223</v>
      </c>
      <c r="I49" s="38">
        <v>4707991.7408272317</v>
      </c>
      <c r="J49" s="38">
        <v>4779381.6115850061</v>
      </c>
      <c r="K49" s="111"/>
      <c r="L49" s="68"/>
      <c r="N49" s="86"/>
    </row>
    <row r="50" spans="1:19" ht="15">
      <c r="A50" s="23">
        <v>41</v>
      </c>
      <c r="B50" s="38" t="s">
        <v>89</v>
      </c>
      <c r="C50" s="41">
        <v>0</v>
      </c>
      <c r="D50" s="41">
        <v>0</v>
      </c>
      <c r="E50" s="41">
        <v>0</v>
      </c>
      <c r="F50" s="62">
        <v>0</v>
      </c>
      <c r="G50" s="41">
        <v>0</v>
      </c>
      <c r="H50" s="41">
        <v>0</v>
      </c>
      <c r="I50" s="41">
        <v>0</v>
      </c>
      <c r="J50" s="41">
        <v>0</v>
      </c>
      <c r="K50" s="115"/>
      <c r="L50" s="68"/>
      <c r="N50" s="86"/>
    </row>
    <row r="51" spans="1:19" ht="15">
      <c r="A51" s="23">
        <v>42</v>
      </c>
      <c r="B51" s="38"/>
      <c r="C51" s="40"/>
      <c r="D51" s="40"/>
      <c r="E51" s="40"/>
      <c r="F51" s="59"/>
      <c r="G51" s="40"/>
      <c r="H51" s="40"/>
      <c r="I51" s="40"/>
      <c r="J51" s="40"/>
      <c r="K51" s="112"/>
      <c r="L51" s="68"/>
      <c r="N51" s="86"/>
    </row>
    <row r="52" spans="1:19" ht="15">
      <c r="A52" s="23">
        <v>43</v>
      </c>
      <c r="B52" s="38" t="s">
        <v>2</v>
      </c>
      <c r="C52" s="39">
        <v>4559483.41</v>
      </c>
      <c r="D52" s="39">
        <v>4569824.2600000007</v>
      </c>
      <c r="E52" s="39">
        <f>SUM(E44:E49)</f>
        <v>4734638.6567171644</v>
      </c>
      <c r="F52" s="60">
        <v>4647730.8800000008</v>
      </c>
      <c r="G52" s="39">
        <f t="shared" ref="G52:J52" si="9">SUM(G44:G49)</f>
        <v>5150216.1590311136</v>
      </c>
      <c r="H52" s="39">
        <f>SUM(H44:H49)</f>
        <v>6129238.5447130557</v>
      </c>
      <c r="I52" s="39">
        <f t="shared" si="9"/>
        <v>6198766.2029578919</v>
      </c>
      <c r="J52" s="39">
        <f t="shared" si="9"/>
        <v>6266712.5243040873</v>
      </c>
      <c r="K52" s="111"/>
      <c r="L52" s="68"/>
      <c r="N52" s="86"/>
    </row>
    <row r="53" spans="1:19" ht="15">
      <c r="A53" s="23">
        <v>44</v>
      </c>
      <c r="B53" s="38"/>
      <c r="C53" s="40"/>
      <c r="D53" s="40"/>
      <c r="E53" s="40"/>
      <c r="F53" s="59"/>
      <c r="G53" s="40"/>
      <c r="H53" s="40"/>
      <c r="I53" s="40"/>
      <c r="J53" s="40"/>
      <c r="K53" s="112"/>
      <c r="L53" s="68"/>
      <c r="N53" s="86"/>
    </row>
    <row r="54" spans="1:19" ht="15">
      <c r="A54" s="23">
        <v>45</v>
      </c>
      <c r="B54" s="38" t="s">
        <v>129</v>
      </c>
      <c r="C54" s="38">
        <v>0</v>
      </c>
      <c r="D54" s="38">
        <v>0</v>
      </c>
      <c r="E54" s="38">
        <v>0</v>
      </c>
      <c r="F54" s="58">
        <v>0</v>
      </c>
      <c r="G54" s="38">
        <v>0</v>
      </c>
      <c r="H54" s="38">
        <v>0</v>
      </c>
      <c r="I54" s="38">
        <v>0</v>
      </c>
      <c r="J54" s="38">
        <v>0</v>
      </c>
      <c r="K54" s="111"/>
      <c r="L54" s="68"/>
      <c r="N54" s="86"/>
      <c r="O54" s="53"/>
    </row>
    <row r="55" spans="1:19" ht="15">
      <c r="A55" s="23">
        <v>46</v>
      </c>
      <c r="B55" s="38"/>
      <c r="C55" s="38"/>
      <c r="D55" s="38"/>
      <c r="E55" s="38"/>
      <c r="F55" s="88"/>
      <c r="G55" s="38"/>
      <c r="H55" s="38"/>
      <c r="I55" s="38"/>
      <c r="J55" s="38"/>
      <c r="K55" s="111"/>
      <c r="L55" s="68"/>
      <c r="N55" s="86"/>
    </row>
    <row r="56" spans="1:19" ht="15">
      <c r="A56" s="23">
        <v>47</v>
      </c>
      <c r="B56" s="38" t="s">
        <v>130</v>
      </c>
      <c r="C56" s="38">
        <v>258948.29000000007</v>
      </c>
      <c r="D56" s="38">
        <v>255955.17999999996</v>
      </c>
      <c r="E56" s="38">
        <f>C56+IS!E52</f>
        <v>248592.27671600005</v>
      </c>
      <c r="F56" s="58">
        <v>256373.47000000006</v>
      </c>
      <c r="G56" s="38">
        <f>E56+IS!F52</f>
        <v>238236.26343200007</v>
      </c>
      <c r="H56" s="38">
        <f>G56+IS!G52</f>
        <v>227880.25014800008</v>
      </c>
      <c r="I56" s="38">
        <f>H56+IS!H52</f>
        <v>217524.23686400009</v>
      </c>
      <c r="J56" s="38">
        <f>I56+IS!I52</f>
        <v>207168.22358000011</v>
      </c>
      <c r="K56" s="111"/>
      <c r="L56" s="68"/>
      <c r="N56" s="86"/>
      <c r="S56" s="50">
        <f>+AVERAGE(G56:H56)</f>
        <v>233058.25679000007</v>
      </c>
    </row>
    <row r="57" spans="1:19" ht="15">
      <c r="A57" s="23">
        <v>48</v>
      </c>
      <c r="B57" s="38"/>
      <c r="C57" s="40"/>
      <c r="D57" s="40"/>
      <c r="E57" s="40"/>
      <c r="F57" s="59"/>
      <c r="G57" s="40"/>
      <c r="H57" s="40"/>
      <c r="I57" s="40"/>
      <c r="J57" s="40"/>
      <c r="K57" s="112"/>
      <c r="L57" s="68"/>
      <c r="N57" s="86"/>
    </row>
    <row r="58" spans="1:19" ht="15">
      <c r="A58" s="23">
        <v>49</v>
      </c>
      <c r="B58" s="38" t="s">
        <v>93</v>
      </c>
      <c r="C58" s="38"/>
      <c r="D58" s="38"/>
      <c r="E58" s="38"/>
      <c r="F58" s="88"/>
      <c r="G58" s="38"/>
      <c r="H58" s="38"/>
      <c r="I58" s="38"/>
      <c r="J58" s="38"/>
      <c r="K58" s="111"/>
      <c r="L58" s="68"/>
      <c r="N58" s="86"/>
    </row>
    <row r="59" spans="1:19" ht="15">
      <c r="A59" s="23">
        <v>50</v>
      </c>
      <c r="B59" s="38" t="s">
        <v>94</v>
      </c>
      <c r="C59" s="38">
        <v>0</v>
      </c>
      <c r="D59" s="38">
        <v>0</v>
      </c>
      <c r="E59" s="38">
        <v>0</v>
      </c>
      <c r="F59" s="58">
        <v>0</v>
      </c>
      <c r="G59" s="38">
        <v>0</v>
      </c>
      <c r="H59" s="38">
        <v>0</v>
      </c>
      <c r="I59" s="38">
        <v>0</v>
      </c>
      <c r="J59" s="38">
        <v>0</v>
      </c>
      <c r="K59" s="111"/>
      <c r="L59" s="68"/>
      <c r="N59" s="86"/>
    </row>
    <row r="60" spans="1:19" ht="15">
      <c r="A60" s="23">
        <v>51</v>
      </c>
      <c r="B60" s="38" t="s">
        <v>96</v>
      </c>
      <c r="C60" s="38">
        <v>785818.53999999992</v>
      </c>
      <c r="D60" s="38">
        <v>893463.50999999989</v>
      </c>
      <c r="E60" s="38">
        <v>836130</v>
      </c>
      <c r="F60" s="58">
        <v>893457.82</v>
      </c>
      <c r="G60" s="38">
        <v>840098.62427463301</v>
      </c>
      <c r="H60" s="38">
        <v>854989.27962679404</v>
      </c>
      <c r="I60" s="38">
        <v>872463.400942537</v>
      </c>
      <c r="J60" s="38">
        <f>I60+I60-H60</f>
        <v>889937.52225827996</v>
      </c>
      <c r="K60" s="111"/>
      <c r="L60" s="81" t="s">
        <v>120</v>
      </c>
      <c r="N60" s="86"/>
      <c r="S60" s="50">
        <f>+AVERAGE(G60:H60)</f>
        <v>847543.95195071353</v>
      </c>
    </row>
    <row r="61" spans="1:19" ht="15">
      <c r="A61" s="23">
        <v>52</v>
      </c>
      <c r="B61" s="38" t="s">
        <v>98</v>
      </c>
      <c r="C61" s="38">
        <v>-67515.10000000002</v>
      </c>
      <c r="D61" s="38">
        <v>-40491.12999999999</v>
      </c>
      <c r="E61" s="38">
        <v>-37467.994848898328</v>
      </c>
      <c r="F61" s="58">
        <v>-40509.010000000009</v>
      </c>
      <c r="G61" s="38">
        <v>-38462.737963567255</v>
      </c>
      <c r="H61" s="38">
        <v>-42194.731786163982</v>
      </c>
      <c r="I61" s="38">
        <v>-46574.210812665864</v>
      </c>
      <c r="J61" s="38">
        <f>I61+I61-H61</f>
        <v>-50953.689839167746</v>
      </c>
      <c r="K61" s="111"/>
      <c r="L61" s="81" t="s">
        <v>120</v>
      </c>
      <c r="N61" s="86"/>
      <c r="O61" s="53"/>
      <c r="S61" s="50">
        <f>+AVERAGE(G61:H61)</f>
        <v>-40328.734874865622</v>
      </c>
    </row>
    <row r="62" spans="1:19" ht="15">
      <c r="A62" s="23">
        <v>53</v>
      </c>
      <c r="B62" s="48" t="s">
        <v>99</v>
      </c>
      <c r="C62" s="26">
        <v>156412.04999999987</v>
      </c>
      <c r="D62" s="26">
        <v>395725.85000000015</v>
      </c>
      <c r="E62" s="26">
        <f>D62</f>
        <v>395725.85000000015</v>
      </c>
      <c r="F62" s="63">
        <v>167579.40000000002</v>
      </c>
      <c r="G62" s="26">
        <f>E62</f>
        <v>395725.85000000015</v>
      </c>
      <c r="H62" s="26">
        <f t="shared" ref="H62:J62" si="10">G62</f>
        <v>395725.85000000015</v>
      </c>
      <c r="I62" s="26">
        <f t="shared" si="10"/>
        <v>395725.85000000015</v>
      </c>
      <c r="J62" s="26">
        <f t="shared" si="10"/>
        <v>395725.85000000015</v>
      </c>
      <c r="K62" s="114"/>
      <c r="N62" s="86"/>
      <c r="S62" s="50">
        <f>+AVERAGE(G62:H62)</f>
        <v>395725.85000000015</v>
      </c>
    </row>
    <row r="63" spans="1:19" ht="15">
      <c r="A63" s="23">
        <v>54</v>
      </c>
      <c r="B63" s="48"/>
      <c r="C63" s="10"/>
      <c r="D63" s="10"/>
      <c r="E63" s="10"/>
      <c r="F63" s="64"/>
      <c r="G63" s="10"/>
      <c r="H63" s="10"/>
      <c r="I63" s="10"/>
      <c r="J63" s="10"/>
      <c r="K63" s="114"/>
      <c r="L63" s="68"/>
      <c r="N63" s="86"/>
    </row>
    <row r="64" spans="1:19" ht="15">
      <c r="A64" s="23">
        <v>55</v>
      </c>
      <c r="B64" s="38" t="s">
        <v>2</v>
      </c>
      <c r="C64" s="39">
        <v>874715.48999999976</v>
      </c>
      <c r="D64" s="39">
        <v>1248698.23</v>
      </c>
      <c r="E64" s="39">
        <f>E62+E61+E60</f>
        <v>1194387.8551511019</v>
      </c>
      <c r="F64" s="60">
        <v>1020528.21</v>
      </c>
      <c r="G64" s="39">
        <f t="shared" ref="G64:J64" si="11">G62+G61+G60</f>
        <v>1197361.736311066</v>
      </c>
      <c r="H64" s="39">
        <f t="shared" si="11"/>
        <v>1208520.3978406303</v>
      </c>
      <c r="I64" s="39">
        <f t="shared" si="11"/>
        <v>1221615.0401298713</v>
      </c>
      <c r="J64" s="39">
        <f t="shared" si="11"/>
        <v>1234709.6824191124</v>
      </c>
      <c r="K64" s="111"/>
      <c r="L64" s="68"/>
      <c r="N64" s="86"/>
      <c r="O64" s="50"/>
    </row>
    <row r="65" spans="1:15" ht="15">
      <c r="A65" s="23">
        <v>56</v>
      </c>
      <c r="B65" s="38"/>
      <c r="C65" s="40"/>
      <c r="D65" s="40"/>
      <c r="E65" s="40"/>
      <c r="F65" s="59"/>
      <c r="G65" s="40"/>
      <c r="H65" s="40"/>
      <c r="I65" s="40"/>
      <c r="J65" s="40"/>
      <c r="K65" s="112"/>
      <c r="L65" s="68"/>
      <c r="N65" s="86"/>
    </row>
    <row r="66" spans="1:15" ht="15.75" thickBot="1">
      <c r="A66" s="23">
        <v>57</v>
      </c>
      <c r="B66" s="49" t="s">
        <v>150</v>
      </c>
      <c r="C66" s="42">
        <v>8885788.4999999963</v>
      </c>
      <c r="D66" s="42">
        <v>9003079.2799999993</v>
      </c>
      <c r="E66" s="42">
        <f>E64+E54+E56+E52+E41</f>
        <v>9207798.939597303</v>
      </c>
      <c r="F66" s="42">
        <f t="shared" ref="F66:J66" si="12">F64+F54+F56+F52+F41</f>
        <v>8869443.8300000001</v>
      </c>
      <c r="G66" s="42">
        <f t="shared" si="12"/>
        <v>9317831.2609545253</v>
      </c>
      <c r="H66" s="42">
        <f t="shared" si="12"/>
        <v>10057617.920191728</v>
      </c>
      <c r="I66" s="42">
        <f t="shared" si="12"/>
        <v>9682074.6087316666</v>
      </c>
      <c r="J66" s="42">
        <f t="shared" si="12"/>
        <v>9312565.9130135756</v>
      </c>
      <c r="K66" s="116"/>
      <c r="L66" s="68"/>
      <c r="M66" s="80">
        <v>9832393.6176380403</v>
      </c>
      <c r="N66" s="86"/>
    </row>
    <row r="67" spans="1:15" ht="15.75" thickTop="1">
      <c r="B67" s="51"/>
      <c r="C67" s="52"/>
      <c r="D67" s="52"/>
      <c r="E67" s="84"/>
      <c r="F67" s="84"/>
      <c r="G67" s="84"/>
      <c r="H67" s="84"/>
      <c r="I67" s="84"/>
      <c r="J67" s="84"/>
      <c r="K67" s="110"/>
      <c r="L67" s="68"/>
      <c r="N67" s="86"/>
    </row>
    <row r="68" spans="1:15">
      <c r="B68" s="67" t="s">
        <v>112</v>
      </c>
      <c r="C68" s="84">
        <f t="shared" ref="C68:J68" si="13">C66-C34</f>
        <v>0</v>
      </c>
      <c r="D68" s="84">
        <f t="shared" si="13"/>
        <v>0.29000000655651093</v>
      </c>
      <c r="E68" s="84">
        <f t="shared" si="13"/>
        <v>0.23185005225241184</v>
      </c>
      <c r="F68" s="84">
        <f t="shared" si="13"/>
        <v>-0.33999999798834324</v>
      </c>
      <c r="G68" s="84">
        <f t="shared" si="13"/>
        <v>0</v>
      </c>
      <c r="H68" s="84">
        <f t="shared" si="13"/>
        <v>0</v>
      </c>
      <c r="I68" s="84">
        <f t="shared" si="13"/>
        <v>0</v>
      </c>
      <c r="J68" s="84">
        <f t="shared" si="13"/>
        <v>0</v>
      </c>
      <c r="K68" s="110"/>
      <c r="L68" s="68"/>
      <c r="M68" s="86"/>
      <c r="N68" s="86"/>
      <c r="O68" s="86"/>
    </row>
    <row r="69" spans="1:15">
      <c r="B69" s="52"/>
      <c r="C69" s="52"/>
      <c r="D69" s="52"/>
      <c r="E69" s="84"/>
      <c r="F69" s="84"/>
      <c r="G69" s="84"/>
      <c r="H69" s="84"/>
      <c r="I69" s="84"/>
      <c r="J69" s="84"/>
      <c r="K69" s="110"/>
      <c r="L69" s="85"/>
      <c r="M69" s="50">
        <f>H66-M66</f>
        <v>225224.30255368724</v>
      </c>
      <c r="N69" s="86"/>
    </row>
    <row r="70" spans="1:15" ht="15">
      <c r="B70" s="51"/>
      <c r="C70" s="52"/>
      <c r="D70" s="52"/>
      <c r="E70" s="84"/>
      <c r="F70" s="84"/>
      <c r="G70" s="84">
        <f>+G49-G68</f>
        <v>3965175.4024608983</v>
      </c>
      <c r="H70" s="84">
        <f t="shared" ref="H70:J70" si="14">+H49-H68</f>
        <v>4746465.7216935223</v>
      </c>
      <c r="I70" s="84">
        <f t="shared" si="14"/>
        <v>4707991.7408272317</v>
      </c>
      <c r="J70" s="84">
        <f t="shared" si="14"/>
        <v>4779381.6115850061</v>
      </c>
      <c r="K70" s="110"/>
      <c r="L70" s="85"/>
      <c r="N70" s="86"/>
    </row>
    <row r="71" spans="1:15">
      <c r="B71" s="52"/>
      <c r="C71" s="52"/>
      <c r="D71" s="52"/>
      <c r="N71" s="86"/>
    </row>
    <row r="72" spans="1:15">
      <c r="B72" s="52"/>
      <c r="C72" s="52"/>
      <c r="D72" s="52"/>
      <c r="G72" s="50"/>
      <c r="H72" s="106"/>
      <c r="I72" s="106"/>
      <c r="J72" s="50"/>
      <c r="N72" s="86"/>
    </row>
    <row r="73" spans="1:15" ht="15">
      <c r="B73" s="51"/>
      <c r="C73" s="52"/>
      <c r="D73" s="52"/>
      <c r="E73" s="86"/>
      <c r="F73" s="86"/>
      <c r="G73" s="86"/>
      <c r="H73" s="86"/>
      <c r="I73" s="86"/>
      <c r="J73" s="86"/>
      <c r="N73" s="86"/>
    </row>
    <row r="74" spans="1:15">
      <c r="G74" s="50"/>
    </row>
    <row r="76" spans="1:15">
      <c r="E76" s="86"/>
      <c r="F76" s="86"/>
      <c r="G76" s="86"/>
      <c r="H76" s="86"/>
      <c r="I76" s="86"/>
      <c r="J76" s="86"/>
    </row>
  </sheetData>
  <mergeCells count="1">
    <mergeCell ref="G8:I8"/>
  </mergeCells>
  <pageMargins left="0.7" right="0.7" top="0.75" bottom="0.75" header="0.3" footer="0.3"/>
  <pageSetup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37E6-FFDA-4FE4-AE09-DFD7C08D50D2}">
  <sheetPr>
    <pageSetUpPr fitToPage="1"/>
  </sheetPr>
  <dimension ref="A1:M80"/>
  <sheetViews>
    <sheetView zoomScaleNormal="100" workbookViewId="0">
      <pane xSplit="2" ySplit="8" topLeftCell="C9" activePane="bottomRight" state="frozen"/>
      <selection pane="topRight" activeCell="F1" sqref="F1"/>
      <selection pane="bottomLeft" activeCell="A9" sqref="A9"/>
      <selection pane="bottomRight" activeCell="B1" sqref="B1:F1048576"/>
    </sheetView>
  </sheetViews>
  <sheetFormatPr defaultColWidth="11.85546875" defaultRowHeight="15"/>
  <cols>
    <col min="1" max="1" width="9" style="16" customWidth="1"/>
    <col min="2" max="2" width="32.140625" style="9" customWidth="1"/>
    <col min="3" max="3" width="12.85546875" style="9" hidden="1" customWidth="1"/>
    <col min="4" max="5" width="14.140625" style="9" hidden="1" customWidth="1"/>
    <col min="6" max="6" width="14.140625" style="9" customWidth="1"/>
    <col min="7" max="7" width="13.85546875" style="10" bestFit="1" customWidth="1"/>
    <col min="8" max="8" width="12.85546875" style="10" customWidth="1"/>
    <col min="9" max="9" width="13.5703125" style="10" bestFit="1" customWidth="1"/>
    <col min="10" max="10" width="10.140625" style="12" bestFit="1" customWidth="1"/>
    <col min="11" max="11" width="18.5703125" style="70" customWidth="1"/>
    <col min="12" max="16384" width="11.85546875" style="13"/>
  </cols>
  <sheetData>
    <row r="1" spans="1:12">
      <c r="A1" s="76" t="s">
        <v>122</v>
      </c>
      <c r="I1" s="11" t="s">
        <v>125</v>
      </c>
      <c r="K1" s="69" t="s">
        <v>168</v>
      </c>
    </row>
    <row r="2" spans="1:12">
      <c r="A2" s="8" t="s">
        <v>123</v>
      </c>
      <c r="I2" s="11"/>
      <c r="K2" s="120" t="s">
        <v>167</v>
      </c>
    </row>
    <row r="3" spans="1:12">
      <c r="A3" s="8" t="s">
        <v>139</v>
      </c>
      <c r="H3" s="14"/>
      <c r="K3" s="120"/>
      <c r="L3" s="13" t="s">
        <v>169</v>
      </c>
    </row>
    <row r="4" spans="1:12">
      <c r="A4" s="8"/>
      <c r="H4" s="14"/>
      <c r="K4" s="120"/>
    </row>
    <row r="5" spans="1:12" s="16" customFormat="1">
      <c r="A5" s="69" t="s">
        <v>124</v>
      </c>
      <c r="B5" s="15"/>
      <c r="J5" s="19"/>
      <c r="K5" s="69"/>
      <c r="L5" s="119" t="s">
        <v>170</v>
      </c>
    </row>
    <row r="6" spans="1:12">
      <c r="A6" s="8"/>
      <c r="C6" s="16" t="s">
        <v>111</v>
      </c>
      <c r="D6" s="15" t="s">
        <v>110</v>
      </c>
      <c r="E6" s="15" t="s">
        <v>113</v>
      </c>
      <c r="F6" s="15"/>
      <c r="G6" s="17"/>
      <c r="H6" s="18"/>
      <c r="I6" s="17"/>
      <c r="K6" s="120"/>
    </row>
    <row r="7" spans="1:12" s="16" customFormat="1" ht="12.95" customHeight="1">
      <c r="B7" s="15"/>
      <c r="C7" s="9"/>
      <c r="D7" s="9"/>
      <c r="E7" s="9"/>
      <c r="F7" s="124" t="s">
        <v>162</v>
      </c>
      <c r="G7" s="124"/>
      <c r="H7" s="124"/>
      <c r="I7" s="124"/>
      <c r="J7" s="19"/>
      <c r="K7" s="69"/>
    </row>
    <row r="8" spans="1:12" s="16" customFormat="1">
      <c r="A8" s="21" t="s">
        <v>9</v>
      </c>
      <c r="B8" s="15" t="s">
        <v>121</v>
      </c>
      <c r="C8" s="20">
        <v>44651</v>
      </c>
      <c r="D8" s="20">
        <v>44834</v>
      </c>
      <c r="E8" s="45">
        <v>44834</v>
      </c>
      <c r="F8" s="20">
        <v>44926</v>
      </c>
      <c r="G8" s="20">
        <v>45291</v>
      </c>
      <c r="H8" s="20">
        <v>45657</v>
      </c>
      <c r="I8" s="20">
        <v>46022</v>
      </c>
      <c r="J8" s="19"/>
      <c r="K8" s="69"/>
    </row>
    <row r="9" spans="1:12" s="16" customFormat="1">
      <c r="A9" s="22"/>
      <c r="B9" s="15"/>
      <c r="C9" s="15"/>
      <c r="D9" s="15"/>
      <c r="E9" s="15"/>
      <c r="F9" s="15"/>
      <c r="G9" s="22"/>
      <c r="H9" s="22"/>
      <c r="I9" s="22"/>
      <c r="J9" s="19"/>
      <c r="K9" s="71"/>
    </row>
    <row r="10" spans="1:12">
      <c r="A10" s="23">
        <v>1</v>
      </c>
      <c r="B10" s="15"/>
      <c r="C10" s="35"/>
    </row>
    <row r="11" spans="1:12">
      <c r="A11" s="23">
        <v>2</v>
      </c>
      <c r="B11" s="13" t="s">
        <v>11</v>
      </c>
      <c r="C11" s="9">
        <f>'[2]Income Statement'!E13</f>
        <v>1662014.7599999995</v>
      </c>
      <c r="D11" s="36">
        <f>'[2]Income Statement'!G13</f>
        <v>1592451.2400000005</v>
      </c>
      <c r="E11" s="36">
        <f>C11+D11</f>
        <v>3254466</v>
      </c>
      <c r="F11" s="77">
        <v>3126929.2975809132</v>
      </c>
      <c r="G11" s="77">
        <f>'[2]Income Statement'!M13</f>
        <v>3261891</v>
      </c>
      <c r="H11" s="77">
        <v>3240871.54235852</v>
      </c>
      <c r="I11" s="77">
        <v>3219996.5248081889</v>
      </c>
      <c r="J11" s="25"/>
    </row>
    <row r="12" spans="1:12">
      <c r="A12" s="23">
        <v>3</v>
      </c>
      <c r="B12" s="13" t="s">
        <v>12</v>
      </c>
      <c r="C12" s="9">
        <f>'[2]Income Statement'!E14</f>
        <v>0</v>
      </c>
      <c r="D12" s="36">
        <f>'[2]Income Statement'!G14</f>
        <v>0</v>
      </c>
      <c r="E12" s="36">
        <f t="shared" ref="E12:E58" si="0">C12+D12</f>
        <v>0</v>
      </c>
      <c r="F12" s="36">
        <v>0</v>
      </c>
      <c r="G12" s="36">
        <f>'[2]Income Statement'!M14</f>
        <v>0</v>
      </c>
      <c r="H12" s="36">
        <v>0</v>
      </c>
      <c r="I12" s="36">
        <v>0</v>
      </c>
      <c r="J12" s="25"/>
    </row>
    <row r="13" spans="1:12">
      <c r="A13" s="23">
        <v>4</v>
      </c>
      <c r="B13" s="13" t="s">
        <v>14</v>
      </c>
      <c r="C13" s="9">
        <f>'[2]Income Statement'!E15</f>
        <v>297.27</v>
      </c>
      <c r="D13" s="36">
        <f>'[2]Income Statement'!G15</f>
        <v>0</v>
      </c>
      <c r="E13" s="36">
        <f t="shared" si="0"/>
        <v>297.27</v>
      </c>
      <c r="F13" s="36">
        <v>297.27</v>
      </c>
      <c r="G13" s="36">
        <f>'[2]Income Statement'!M15</f>
        <v>297.27</v>
      </c>
      <c r="H13" s="36">
        <f>G13</f>
        <v>297.27</v>
      </c>
      <c r="I13" s="36">
        <f>H13</f>
        <v>297.27</v>
      </c>
      <c r="J13" s="25"/>
    </row>
    <row r="14" spans="1:12">
      <c r="A14" s="23">
        <v>5</v>
      </c>
      <c r="B14" s="13" t="s">
        <v>15</v>
      </c>
      <c r="C14" s="9">
        <f>'[2]Income Statement'!E16</f>
        <v>-35906.310000000012</v>
      </c>
      <c r="D14" s="36">
        <f>'[2]Income Statement'!G16</f>
        <v>-91927.662419086759</v>
      </c>
      <c r="E14" s="36">
        <f t="shared" si="0"/>
        <v>-127833.97241908677</v>
      </c>
      <c r="F14" s="72">
        <f>E14/E11*F11</f>
        <v>-122824.38765173544</v>
      </c>
      <c r="G14" s="72">
        <f>'[2]Income Statement'!M16</f>
        <v>-128125.62310623843</v>
      </c>
      <c r="H14" s="72">
        <f>G14/G11*H11</f>
        <v>-127299.98818843467</v>
      </c>
      <c r="I14" s="72">
        <f>H14/H11*I11</f>
        <v>-126480.02681296571</v>
      </c>
    </row>
    <row r="15" spans="1:12">
      <c r="A15" s="23">
        <v>6</v>
      </c>
      <c r="B15" s="13"/>
      <c r="D15" s="36"/>
      <c r="E15" s="36"/>
      <c r="F15" s="36"/>
      <c r="G15" s="36"/>
      <c r="H15" s="36"/>
      <c r="I15" s="36"/>
      <c r="J15" s="25"/>
    </row>
    <row r="16" spans="1:12">
      <c r="A16" s="23">
        <v>7</v>
      </c>
      <c r="B16" s="9" t="s">
        <v>16</v>
      </c>
      <c r="C16" s="9">
        <f>'[2]Income Statement'!E18</f>
        <v>1626405.7199999995</v>
      </c>
      <c r="D16" s="36">
        <f>'[2]Income Statement'!G18</f>
        <v>1500523.5775809137</v>
      </c>
      <c r="E16" s="72">
        <f>C16+D16</f>
        <v>3126929.2975809132</v>
      </c>
      <c r="F16" s="26">
        <f>F14+F13+F11</f>
        <v>3004402.1799291777</v>
      </c>
      <c r="G16" s="72">
        <f>'[2]Income Statement'!M18</f>
        <v>3134062.6468937616</v>
      </c>
      <c r="H16" s="26">
        <f>H14+H13+H11</f>
        <v>3113868.8241700851</v>
      </c>
      <c r="I16" s="26">
        <f>I14+I13+I11</f>
        <v>3093813.7679952234</v>
      </c>
    </row>
    <row r="17" spans="1:11">
      <c r="A17" s="23">
        <v>8</v>
      </c>
      <c r="D17" s="36"/>
      <c r="E17" s="36"/>
      <c r="F17" s="36"/>
      <c r="G17" s="36"/>
      <c r="H17" s="36"/>
      <c r="I17" s="36"/>
    </row>
    <row r="18" spans="1:11">
      <c r="A18" s="23">
        <v>9</v>
      </c>
      <c r="B18" s="35" t="s">
        <v>18</v>
      </c>
      <c r="C18" s="9">
        <f>'[2]Income Statement'!E21</f>
        <v>0</v>
      </c>
      <c r="D18" s="36">
        <f>'[2]Income Statement'!G21</f>
        <v>0</v>
      </c>
      <c r="E18" s="36">
        <f t="shared" si="0"/>
        <v>0</v>
      </c>
      <c r="F18" s="36"/>
      <c r="G18" s="36">
        <f>'[2]Income Statement'!M21</f>
        <v>0</v>
      </c>
      <c r="H18" s="36">
        <v>0</v>
      </c>
      <c r="I18" s="36">
        <v>0</v>
      </c>
    </row>
    <row r="19" spans="1:11">
      <c r="A19" s="23">
        <v>10</v>
      </c>
      <c r="B19" s="9" t="s">
        <v>20</v>
      </c>
      <c r="C19" s="9">
        <f>'[2]Income Statement'!E22</f>
        <v>63790.31</v>
      </c>
      <c r="D19" s="36">
        <f>'[2]Income Statement'!G22</f>
        <v>51075</v>
      </c>
      <c r="E19" s="36">
        <f t="shared" si="0"/>
        <v>114865.31</v>
      </c>
      <c r="F19" s="36">
        <f>E19</f>
        <v>114865.31</v>
      </c>
      <c r="G19" s="36">
        <f>'[2]Income Statement'!M22</f>
        <v>114865.31</v>
      </c>
      <c r="H19" s="10">
        <f>+G19*1.03</f>
        <v>118311.2693</v>
      </c>
      <c r="I19" s="10">
        <f>+H19*1.03</f>
        <v>121860.60737900001</v>
      </c>
    </row>
    <row r="20" spans="1:11">
      <c r="A20" s="23">
        <v>11</v>
      </c>
      <c r="B20" s="9" t="s">
        <v>100</v>
      </c>
      <c r="C20" s="9">
        <f>'[2]Income Statement'!E23</f>
        <v>62796.399999999994</v>
      </c>
      <c r="D20" s="36">
        <f>'[2]Income Statement'!G23</f>
        <v>61602</v>
      </c>
      <c r="E20" s="36">
        <f t="shared" si="0"/>
        <v>124398.39999999999</v>
      </c>
      <c r="F20" s="36">
        <f>E20</f>
        <v>124398.39999999999</v>
      </c>
      <c r="G20" s="36">
        <f>'[2]Income Statement'!M23</f>
        <v>123204</v>
      </c>
      <c r="H20" s="10">
        <f>+G20*1.03</f>
        <v>126900.12000000001</v>
      </c>
      <c r="I20" s="10">
        <f>+H20*1.03</f>
        <v>130707.12360000002</v>
      </c>
    </row>
    <row r="21" spans="1:11">
      <c r="A21" s="23">
        <v>12</v>
      </c>
      <c r="B21" s="9" t="s">
        <v>21</v>
      </c>
      <c r="C21" s="9">
        <f>'[2]Income Statement'!E24</f>
        <v>74660.600000000006</v>
      </c>
      <c r="D21" s="36">
        <f>'[2]Income Statement'!G24</f>
        <v>108274.53499999996</v>
      </c>
      <c r="E21" s="36">
        <f t="shared" si="0"/>
        <v>182935.13499999995</v>
      </c>
      <c r="F21" s="10">
        <f>+E21+-67394.56+66158.84</f>
        <v>181699.41499999995</v>
      </c>
      <c r="G21" s="36">
        <f>+E21-67394.56+66284.22</f>
        <v>181824.79499999995</v>
      </c>
      <c r="H21" s="10">
        <f>+E21*1.03-67394.56+64786.11</f>
        <v>185814.73904999997</v>
      </c>
      <c r="I21" s="10">
        <f>+E21*1.03*1.03-67394.56+60016.21</f>
        <v>186697.53472149995</v>
      </c>
      <c r="K21" s="70" t="s">
        <v>135</v>
      </c>
    </row>
    <row r="22" spans="1:11">
      <c r="A22" s="23">
        <v>13</v>
      </c>
      <c r="B22" s="9" t="s">
        <v>22</v>
      </c>
      <c r="C22" s="9">
        <f>'[2]Income Statement'!E25</f>
        <v>12731.75</v>
      </c>
      <c r="D22" s="36">
        <f>'[2]Income Statement'!G25</f>
        <v>12296</v>
      </c>
      <c r="E22" s="36">
        <f t="shared" si="0"/>
        <v>25027.75</v>
      </c>
      <c r="F22" s="10">
        <f>D22*2</f>
        <v>24592</v>
      </c>
      <c r="G22" s="36">
        <f>'[2]Income Statement'!M25</f>
        <v>25027.75</v>
      </c>
      <c r="H22" s="10">
        <f>+G22*1.03</f>
        <v>25778.5825</v>
      </c>
      <c r="I22" s="10">
        <f>+H22*1.03</f>
        <v>26551.939975000001</v>
      </c>
    </row>
    <row r="23" spans="1:11">
      <c r="A23" s="23">
        <v>14</v>
      </c>
      <c r="B23" s="9" t="s">
        <v>23</v>
      </c>
      <c r="C23" s="9">
        <f>'[2]Income Statement'!E26</f>
        <v>0</v>
      </c>
      <c r="D23" s="36">
        <f>'[2]Income Statement'!G26</f>
        <v>0</v>
      </c>
      <c r="E23" s="36">
        <f t="shared" si="0"/>
        <v>0</v>
      </c>
      <c r="F23" s="36">
        <f>E23/4</f>
        <v>0</v>
      </c>
      <c r="G23" s="36">
        <f>'[2]Income Statement'!M26</f>
        <v>0</v>
      </c>
      <c r="H23" s="10">
        <f t="shared" ref="H23:I23" si="1">G23</f>
        <v>0</v>
      </c>
      <c r="I23" s="10">
        <f t="shared" si="1"/>
        <v>0</v>
      </c>
    </row>
    <row r="24" spans="1:11">
      <c r="A24" s="23">
        <v>15</v>
      </c>
      <c r="B24" s="9" t="s">
        <v>24</v>
      </c>
      <c r="C24" s="9">
        <f>'[2]Income Statement'!E27</f>
        <v>39850.869999999995</v>
      </c>
      <c r="D24" s="36">
        <f>'[2]Income Statement'!G27</f>
        <v>61006.64</v>
      </c>
      <c r="E24" s="36">
        <f t="shared" si="0"/>
        <v>100857.51</v>
      </c>
      <c r="F24" s="36">
        <f>E24</f>
        <v>100857.51</v>
      </c>
      <c r="G24" s="10">
        <f>'[2]Income Statement'!M27</f>
        <v>103884.53</v>
      </c>
      <c r="H24" s="10">
        <f>+G24*1.03</f>
        <v>107001.0659</v>
      </c>
      <c r="I24" s="10">
        <f>+H24*1.03</f>
        <v>110211.09787700001</v>
      </c>
    </row>
    <row r="25" spans="1:11">
      <c r="A25" s="23">
        <v>16</v>
      </c>
      <c r="B25" s="9" t="s">
        <v>25</v>
      </c>
      <c r="C25" s="9">
        <f>'[2]Income Statement'!E28</f>
        <v>21717.98</v>
      </c>
      <c r="D25" s="36">
        <f>'[2]Income Statement'!G28</f>
        <v>21400.529999999995</v>
      </c>
      <c r="E25" s="36">
        <f t="shared" si="0"/>
        <v>43118.509999999995</v>
      </c>
      <c r="F25" s="36">
        <f>D25*2</f>
        <v>42801.05999999999</v>
      </c>
      <c r="G25" s="10">
        <f>'[2]Income Statement'!M28</f>
        <v>48835.229999999996</v>
      </c>
      <c r="H25" s="10">
        <f>+G25*1.03</f>
        <v>50300.286899999999</v>
      </c>
      <c r="I25" s="10">
        <f>+H25*1.03</f>
        <v>51809.295507000003</v>
      </c>
    </row>
    <row r="26" spans="1:11">
      <c r="A26" s="23">
        <v>17</v>
      </c>
      <c r="B26" s="9" t="s">
        <v>26</v>
      </c>
      <c r="C26" s="9">
        <f>'[2]Income Statement'!E29</f>
        <v>-11432.96</v>
      </c>
      <c r="D26" s="36">
        <f>'[2]Income Statement'!G29</f>
        <v>-35244.04</v>
      </c>
      <c r="E26" s="36">
        <f t="shared" si="0"/>
        <v>-46677</v>
      </c>
      <c r="F26" s="36">
        <f>E26</f>
        <v>-46677</v>
      </c>
      <c r="G26" s="10">
        <f>'[2]Income Statement'!M29</f>
        <v>-138212</v>
      </c>
      <c r="H26" s="10">
        <v>-48201</v>
      </c>
      <c r="I26" s="10">
        <f>+H26*1.03-97211</f>
        <v>-146858.03</v>
      </c>
      <c r="K26" s="70" t="s">
        <v>136</v>
      </c>
    </row>
    <row r="27" spans="1:11">
      <c r="A27" s="23">
        <v>18</v>
      </c>
      <c r="B27" s="9" t="s">
        <v>27</v>
      </c>
      <c r="C27" s="24">
        <f>'[2]Income Statement'!E30</f>
        <v>23883.82</v>
      </c>
      <c r="D27" s="72">
        <f>'[2]Income Statement'!G30</f>
        <v>12401.43</v>
      </c>
      <c r="E27" s="72">
        <f t="shared" si="0"/>
        <v>36285.25</v>
      </c>
      <c r="F27" s="72">
        <f>D27*2</f>
        <v>24802.86</v>
      </c>
      <c r="G27" s="26">
        <f>'[2]Income Statement'!M30</f>
        <v>23411.25</v>
      </c>
      <c r="H27" s="26">
        <f>+G27*1.03</f>
        <v>24113.587500000001</v>
      </c>
      <c r="I27" s="26">
        <f>+H27*1.03</f>
        <v>24836.995125000001</v>
      </c>
    </row>
    <row r="28" spans="1:11">
      <c r="A28" s="23">
        <v>19</v>
      </c>
      <c r="D28" s="36"/>
      <c r="E28" s="36"/>
      <c r="F28" s="10"/>
    </row>
    <row r="29" spans="1:11">
      <c r="A29" s="23">
        <v>20</v>
      </c>
      <c r="B29" s="9" t="s">
        <v>161</v>
      </c>
      <c r="C29" s="9">
        <f>'[2]Income Statement'!E32</f>
        <v>287998.76999999996</v>
      </c>
      <c r="D29" s="36">
        <f>'[2]Income Statement'!G32</f>
        <v>292812.09499999997</v>
      </c>
      <c r="E29" s="72">
        <f t="shared" si="0"/>
        <v>580810.86499999999</v>
      </c>
      <c r="F29" s="72">
        <f>SUM(F19:F27)</f>
        <v>567339.55499999982</v>
      </c>
      <c r="G29" s="26">
        <f>'[2]Income Statement'!M32</f>
        <v>477233.62681818183</v>
      </c>
      <c r="H29" s="26">
        <f>SUM(H19:H27)</f>
        <v>590018.65115000005</v>
      </c>
      <c r="I29" s="26">
        <f>SUM(I19:I27)</f>
        <v>505816.56418450002</v>
      </c>
    </row>
    <row r="30" spans="1:11">
      <c r="A30" s="23">
        <v>21</v>
      </c>
      <c r="D30" s="36"/>
      <c r="E30" s="36"/>
      <c r="F30" s="10"/>
      <c r="H30" s="28"/>
      <c r="I30" s="28"/>
    </row>
    <row r="31" spans="1:11">
      <c r="A31" s="23">
        <v>22</v>
      </c>
      <c r="B31" s="35" t="s">
        <v>18</v>
      </c>
      <c r="C31" s="9">
        <f>'[2]Income Statement'!E35</f>
        <v>497527.15</v>
      </c>
      <c r="D31" s="36">
        <f>'[2]Income Statement'!G35</f>
        <v>383712.76</v>
      </c>
      <c r="E31" s="36">
        <f t="shared" si="0"/>
        <v>881239.91</v>
      </c>
      <c r="F31" s="28">
        <f>E31</f>
        <v>881239.91</v>
      </c>
      <c r="G31" s="10">
        <f>'[2]Income Statement'!M35</f>
        <v>936693.53876991023</v>
      </c>
      <c r="H31" s="73">
        <v>964769.26073300757</v>
      </c>
      <c r="I31" s="73">
        <v>993687.25435499765</v>
      </c>
    </row>
    <row r="32" spans="1:11">
      <c r="A32" s="23">
        <v>23</v>
      </c>
      <c r="B32" s="9" t="s">
        <v>30</v>
      </c>
      <c r="C32" s="9">
        <f>'[2]Income Statement'!E36</f>
        <v>29675.96</v>
      </c>
      <c r="D32" s="36">
        <f>'[2]Income Statement'!G36</f>
        <v>23065.920000000006</v>
      </c>
      <c r="E32" s="36">
        <f t="shared" si="0"/>
        <v>52741.880000000005</v>
      </c>
      <c r="F32" s="28">
        <f>D32*2</f>
        <v>46131.840000000011</v>
      </c>
      <c r="G32" s="10">
        <f>'[2]Income Statement'!M36</f>
        <v>51491.880000000005</v>
      </c>
      <c r="H32" s="28">
        <f>+G32*1.03</f>
        <v>53036.636400000003</v>
      </c>
      <c r="I32" s="28">
        <f>+H32*1.03</f>
        <v>54627.735492000007</v>
      </c>
    </row>
    <row r="33" spans="1:13">
      <c r="A33" s="23">
        <v>24</v>
      </c>
      <c r="B33" s="9" t="s">
        <v>101</v>
      </c>
      <c r="C33" s="9">
        <f>'[2]Income Statement'!E37</f>
        <v>25658.82</v>
      </c>
      <c r="D33" s="36">
        <f>'[2]Income Statement'!G37</f>
        <v>25658.820000000003</v>
      </c>
      <c r="E33" s="36">
        <f t="shared" si="0"/>
        <v>51317.64</v>
      </c>
      <c r="F33" s="28">
        <f t="shared" ref="F33:F34" si="2">D33*2</f>
        <v>51317.640000000007</v>
      </c>
      <c r="G33" s="10">
        <v>207747.76</v>
      </c>
      <c r="H33" s="28">
        <v>160706.42333333334</v>
      </c>
      <c r="I33" s="28">
        <v>160706.42333333334</v>
      </c>
      <c r="K33" s="70" t="s">
        <v>137</v>
      </c>
    </row>
    <row r="34" spans="1:13">
      <c r="A34" s="23">
        <v>25</v>
      </c>
      <c r="B34" s="9" t="s">
        <v>31</v>
      </c>
      <c r="C34" s="9">
        <f>'[2]Income Statement'!E38</f>
        <v>126050.45000000001</v>
      </c>
      <c r="D34" s="36">
        <f>'[2]Income Statement'!G38</f>
        <v>126958.14907135401</v>
      </c>
      <c r="E34" s="36">
        <f t="shared" si="0"/>
        <v>253008.59907135402</v>
      </c>
      <c r="F34" s="28">
        <f t="shared" si="2"/>
        <v>253916.29814270802</v>
      </c>
      <c r="G34" s="10">
        <f>'[2]Income Statement'!M38</f>
        <v>309783.20300745487</v>
      </c>
      <c r="H34" s="73">
        <f>313230.440538796+10109</f>
        <v>323339.44053879601</v>
      </c>
      <c r="I34" s="73">
        <f>+H34/G34*H34</f>
        <v>337488.90447564283</v>
      </c>
    </row>
    <row r="35" spans="1:13">
      <c r="A35" s="23">
        <v>26</v>
      </c>
      <c r="B35" s="9" t="s">
        <v>32</v>
      </c>
      <c r="C35" s="9">
        <f>'[2]Income Statement'!E39</f>
        <v>4333.34</v>
      </c>
      <c r="D35" s="36">
        <f>'[2]Income Statement'!G39</f>
        <v>14445</v>
      </c>
      <c r="E35" s="36">
        <f t="shared" si="0"/>
        <v>18778.34</v>
      </c>
      <c r="F35" s="28">
        <f>E35</f>
        <v>18778.34</v>
      </c>
      <c r="G35" s="10">
        <f>'[2]Income Statement'!M39</f>
        <v>20025.243955174999</v>
      </c>
      <c r="H35" s="28">
        <f>G35*1.03</f>
        <v>20626.00127383025</v>
      </c>
      <c r="I35" s="28">
        <f>H35*1.03</f>
        <v>21244.781312045157</v>
      </c>
    </row>
    <row r="36" spans="1:13">
      <c r="A36" s="23">
        <v>27</v>
      </c>
      <c r="B36" s="9" t="s">
        <v>33</v>
      </c>
      <c r="C36" s="9">
        <f>'[2]Income Statement'!E40</f>
        <v>46340.549999999996</v>
      </c>
      <c r="D36" s="36">
        <f>'[2]Income Statement'!G40</f>
        <v>57923.955127481859</v>
      </c>
      <c r="E36" s="36">
        <f t="shared" si="0"/>
        <v>104264.50512748185</v>
      </c>
      <c r="F36" s="28">
        <v>110051.604210256</v>
      </c>
      <c r="G36" s="10">
        <f>'[2]Income Statement'!M40</f>
        <v>113400.91191392999</v>
      </c>
      <c r="H36" s="28">
        <f>+G36*1.075</f>
        <v>121905.98030747473</v>
      </c>
      <c r="I36" s="28">
        <f>+H36*1.075</f>
        <v>131048.92883053533</v>
      </c>
      <c r="K36" s="70" t="s">
        <v>138</v>
      </c>
    </row>
    <row r="37" spans="1:13">
      <c r="A37" s="23">
        <v>28</v>
      </c>
      <c r="B37" s="9" t="s">
        <v>34</v>
      </c>
      <c r="C37" s="9">
        <f>'[2]Income Statement'!E41</f>
        <v>11338.63</v>
      </c>
      <c r="D37" s="36">
        <f>'[2]Income Statement'!G41</f>
        <v>13198.989999999998</v>
      </c>
      <c r="E37" s="36">
        <f t="shared" si="0"/>
        <v>24537.619999999995</v>
      </c>
      <c r="F37" s="28">
        <f>+E37</f>
        <v>24537.619999999995</v>
      </c>
      <c r="G37" s="10">
        <f>+F37</f>
        <v>24537.619999999995</v>
      </c>
      <c r="H37" s="28">
        <f>+G37*1.03</f>
        <v>25273.748599999995</v>
      </c>
      <c r="I37" s="28">
        <f>+H37*1.03</f>
        <v>26031.961057999997</v>
      </c>
    </row>
    <row r="38" spans="1:13">
      <c r="A38" s="23">
        <v>29</v>
      </c>
      <c r="B38" s="9" t="s">
        <v>35</v>
      </c>
      <c r="C38" s="24">
        <f>'[2]Income Statement'!E42</f>
        <v>392689.5</v>
      </c>
      <c r="D38" s="72">
        <f>'[2]Income Statement'!G42</f>
        <v>250447.00776491308</v>
      </c>
      <c r="E38" s="72">
        <f t="shared" si="0"/>
        <v>643136.50776491314</v>
      </c>
      <c r="F38" s="26">
        <f>E38</f>
        <v>643136.50776491314</v>
      </c>
      <c r="G38" s="26">
        <f>'[2]Income Statement'!M42</f>
        <v>667561.2216970817</v>
      </c>
      <c r="H38" s="26">
        <f>G38*1.03</f>
        <v>687588.05834799411</v>
      </c>
      <c r="I38" s="26">
        <f>H38*1.03</f>
        <v>708215.700098434</v>
      </c>
    </row>
    <row r="39" spans="1:13">
      <c r="A39" s="23">
        <v>30</v>
      </c>
      <c r="D39" s="36"/>
      <c r="E39" s="36"/>
      <c r="F39" s="10"/>
      <c r="M39" s="43"/>
    </row>
    <row r="40" spans="1:13">
      <c r="A40" s="23">
        <v>31</v>
      </c>
      <c r="B40" s="9" t="s">
        <v>160</v>
      </c>
      <c r="C40" s="9">
        <f>'[2]Income Statement'!E44</f>
        <v>1133614.3999999999</v>
      </c>
      <c r="D40" s="36">
        <f>'[2]Income Statement'!G44</f>
        <v>895410.60196374892</v>
      </c>
      <c r="E40" s="72">
        <f t="shared" si="0"/>
        <v>2029025.0019637488</v>
      </c>
      <c r="F40" s="26">
        <f>SUM(F31:F38)</f>
        <v>2029109.7601178773</v>
      </c>
      <c r="G40" s="26">
        <f>'[2]Income Statement'!M44</f>
        <v>2280370.6626768853</v>
      </c>
      <c r="H40" s="26">
        <f>SUM(H31:H38)</f>
        <v>2357245.5495344363</v>
      </c>
      <c r="I40" s="26">
        <f>SUM(I31:I38)</f>
        <v>2433051.6889549885</v>
      </c>
    </row>
    <row r="41" spans="1:13">
      <c r="A41" s="23">
        <v>32</v>
      </c>
      <c r="D41" s="36"/>
      <c r="E41" s="36"/>
      <c r="F41" s="10"/>
    </row>
    <row r="42" spans="1:13">
      <c r="A42" s="23">
        <v>33</v>
      </c>
      <c r="B42" s="9" t="s">
        <v>37</v>
      </c>
      <c r="C42" s="9">
        <f>'[2]Income Statement'!E46</f>
        <v>173223.13999999998</v>
      </c>
      <c r="D42" s="36">
        <f>'[2]Income Statement'!G46</f>
        <v>219132.04024978471</v>
      </c>
      <c r="E42" s="36">
        <f t="shared" si="0"/>
        <v>392355.18024978472</v>
      </c>
      <c r="F42" s="36">
        <v>359720</v>
      </c>
      <c r="G42" s="10">
        <v>375467</v>
      </c>
      <c r="H42" s="28">
        <v>383883</v>
      </c>
      <c r="I42" s="28">
        <f>H42</f>
        <v>383883</v>
      </c>
      <c r="K42" s="70" t="s">
        <v>120</v>
      </c>
    </row>
    <row r="43" spans="1:13">
      <c r="A43" s="23">
        <v>34</v>
      </c>
      <c r="B43" s="9" t="s">
        <v>38</v>
      </c>
      <c r="C43" s="9">
        <f>'[2]Income Statement'!E47</f>
        <v>-1830.25</v>
      </c>
      <c r="D43" s="36">
        <f>'[2]Income Statement'!G47</f>
        <v>-1830.24</v>
      </c>
      <c r="E43" s="36">
        <f t="shared" si="0"/>
        <v>-3660.49</v>
      </c>
      <c r="F43" s="36">
        <f>E43</f>
        <v>-3660.49</v>
      </c>
      <c r="G43" s="10">
        <f>'[2]Income Statement'!M47</f>
        <v>-3660.49</v>
      </c>
      <c r="H43" s="28">
        <v>-3660.49</v>
      </c>
      <c r="I43" s="28">
        <v>-3660.49</v>
      </c>
    </row>
    <row r="44" spans="1:13">
      <c r="A44" s="23">
        <v>35</v>
      </c>
      <c r="B44" s="9" t="s">
        <v>102</v>
      </c>
      <c r="C44" s="9">
        <f>'[2]Income Statement'!E48</f>
        <v>26817.98</v>
      </c>
      <c r="D44" s="36">
        <f>'[2]Income Statement'!G48</f>
        <v>39478.639364639756</v>
      </c>
      <c r="E44" s="36">
        <f t="shared" si="0"/>
        <v>66296.619364639759</v>
      </c>
      <c r="F44" s="36">
        <f>E44</f>
        <v>66296.619364639759</v>
      </c>
      <c r="G44" s="10">
        <f>'[2]Income Statement'!M48</f>
        <v>71972.155943468853</v>
      </c>
      <c r="H44" s="73">
        <v>74010.793999694128</v>
      </c>
      <c r="I44" s="73">
        <v>76110.591197606205</v>
      </c>
    </row>
    <row r="45" spans="1:13">
      <c r="A45" s="23">
        <v>36</v>
      </c>
      <c r="B45" s="9" t="s">
        <v>103</v>
      </c>
      <c r="C45" s="9">
        <f>'[2]Income Statement'!E49</f>
        <v>0</v>
      </c>
      <c r="D45" s="36">
        <f>'[2]Income Statement'!G49</f>
        <v>0</v>
      </c>
      <c r="E45" s="36">
        <f t="shared" si="0"/>
        <v>0</v>
      </c>
      <c r="F45" s="10">
        <v>0</v>
      </c>
      <c r="G45" s="10">
        <f>'[2]Income Statement'!M49</f>
        <v>0</v>
      </c>
      <c r="H45" s="28">
        <v>0</v>
      </c>
      <c r="I45" s="28">
        <v>0</v>
      </c>
    </row>
    <row r="46" spans="1:13">
      <c r="A46" s="23">
        <v>37</v>
      </c>
      <c r="B46" s="9" t="s">
        <v>104</v>
      </c>
      <c r="C46" s="9">
        <f>'[2]Income Statement'!E50</f>
        <v>0</v>
      </c>
      <c r="D46" s="36">
        <f>'[2]Income Statement'!G50</f>
        <v>0</v>
      </c>
      <c r="E46" s="36">
        <f t="shared" si="0"/>
        <v>0</v>
      </c>
      <c r="F46" s="10">
        <v>0</v>
      </c>
      <c r="G46" s="10">
        <f>'[2]Income Statement'!M50</f>
        <v>0</v>
      </c>
      <c r="H46" s="28">
        <v>0</v>
      </c>
      <c r="I46" s="28">
        <v>0</v>
      </c>
    </row>
    <row r="47" spans="1:13">
      <c r="A47" s="23">
        <v>38</v>
      </c>
      <c r="B47" s="9" t="s">
        <v>105</v>
      </c>
      <c r="C47" s="9">
        <f>'[2]Income Statement'!E51</f>
        <v>24703.200000000001</v>
      </c>
      <c r="D47" s="36">
        <f>'[2]Income Statement'!G51</f>
        <v>88552.43255329167</v>
      </c>
      <c r="E47" s="36">
        <f t="shared" si="0"/>
        <v>113255.63255329167</v>
      </c>
      <c r="F47" s="74">
        <f>E47/'Balance Sheet'!$E$11*'Balance Sheet'!$G$11</f>
        <v>114045.25636574265</v>
      </c>
      <c r="G47" s="10">
        <f>'[2]Income Statement'!M51</f>
        <v>116621.21461536415</v>
      </c>
      <c r="H47" s="10">
        <f>G47/'Balance Sheet'!G15*'Balance Sheet'!H15</f>
        <v>133672.59516726102</v>
      </c>
      <c r="I47" s="10">
        <f>H47/'Balance Sheet'!H15*'Balance Sheet'!I15</f>
        <v>131330.8712600444</v>
      </c>
    </row>
    <row r="48" spans="1:13">
      <c r="A48" s="23">
        <v>39</v>
      </c>
      <c r="B48" s="9" t="s">
        <v>106</v>
      </c>
      <c r="C48" s="9">
        <f>'[2]Income Statement'!E52</f>
        <v>0</v>
      </c>
      <c r="D48" s="36">
        <f>'[2]Income Statement'!G52</f>
        <v>0</v>
      </c>
      <c r="E48" s="36">
        <f t="shared" si="0"/>
        <v>0</v>
      </c>
      <c r="F48" s="36">
        <f>E48/4</f>
        <v>0</v>
      </c>
      <c r="G48" s="10">
        <f>'[2]Income Statement'!M52</f>
        <v>0</v>
      </c>
      <c r="H48" s="10">
        <v>0</v>
      </c>
      <c r="I48" s="10">
        <v>0</v>
      </c>
    </row>
    <row r="49" spans="1:11">
      <c r="A49" s="23">
        <v>40</v>
      </c>
      <c r="B49" s="9" t="s">
        <v>107</v>
      </c>
      <c r="C49" s="9">
        <f>'[2]Income Statement'!E53</f>
        <v>114.6</v>
      </c>
      <c r="D49" s="36">
        <f>'[2]Income Statement'!G53</f>
        <v>6508.9319999999998</v>
      </c>
      <c r="E49" s="36">
        <f t="shared" si="0"/>
        <v>6623.5320000000002</v>
      </c>
      <c r="F49" s="10">
        <f>0.002*F11+114.6</f>
        <v>6368.4585951618265</v>
      </c>
      <c r="G49" s="10">
        <f>'[2]Income Statement'!M53</f>
        <v>6638.3820000000005</v>
      </c>
      <c r="H49" s="10">
        <f>0.002*H11+114.6</f>
        <v>6596.3430847170403</v>
      </c>
      <c r="I49" s="10">
        <f>0.002*I11+114.6</f>
        <v>6554.5930496163783</v>
      </c>
    </row>
    <row r="50" spans="1:11">
      <c r="A50" s="23">
        <v>41</v>
      </c>
      <c r="B50" s="9" t="s">
        <v>108</v>
      </c>
      <c r="C50" s="9">
        <f>'[2]Income Statement'!E54</f>
        <v>67252.879999999976</v>
      </c>
      <c r="D50" s="36">
        <f>'[2]Income Statement'!G54</f>
        <v>-67252.88</v>
      </c>
      <c r="E50" s="36">
        <f t="shared" si="0"/>
        <v>0</v>
      </c>
      <c r="F50" s="36">
        <f>E50/4</f>
        <v>0</v>
      </c>
      <c r="G50" s="10">
        <f>'[2]Income Statement'!M54</f>
        <v>0</v>
      </c>
      <c r="H50" s="10">
        <v>0</v>
      </c>
      <c r="I50" s="10">
        <v>0</v>
      </c>
    </row>
    <row r="51" spans="1:11">
      <c r="A51" s="23">
        <v>42</v>
      </c>
      <c r="B51" s="9" t="s">
        <v>109</v>
      </c>
      <c r="C51" s="9">
        <f>'[2]Income Statement'!E57</f>
        <v>0</v>
      </c>
      <c r="D51" s="36">
        <f>'[2]Income Statement'!G57</f>
        <v>0</v>
      </c>
      <c r="E51" s="36">
        <f t="shared" si="0"/>
        <v>0</v>
      </c>
      <c r="F51" s="36">
        <f>E51/4</f>
        <v>0</v>
      </c>
      <c r="G51" s="10">
        <f>'[2]Income Statement'!M57</f>
        <v>0</v>
      </c>
      <c r="H51" s="10">
        <v>0</v>
      </c>
      <c r="I51" s="10">
        <v>0</v>
      </c>
      <c r="J51" s="27"/>
    </row>
    <row r="52" spans="1:11">
      <c r="A52" s="23">
        <v>43</v>
      </c>
      <c r="B52" s="9" t="s">
        <v>43</v>
      </c>
      <c r="C52" s="24">
        <f>'[2]Income Statement'!E58</f>
        <v>-5153.76</v>
      </c>
      <c r="D52" s="72">
        <f>'[2]Income Statement'!G58</f>
        <v>-5202.2532840000003</v>
      </c>
      <c r="E52" s="72">
        <f t="shared" si="0"/>
        <v>-10356.013284000001</v>
      </c>
      <c r="F52" s="72">
        <f>E52</f>
        <v>-10356.013284000001</v>
      </c>
      <c r="G52" s="72">
        <f>'[2]Income Statement'!M58</f>
        <v>-10356.013284000001</v>
      </c>
      <c r="H52" s="72">
        <f>G52</f>
        <v>-10356.013284000001</v>
      </c>
      <c r="I52" s="72">
        <f>H52</f>
        <v>-10356.013284000001</v>
      </c>
    </row>
    <row r="53" spans="1:11">
      <c r="A53" s="23">
        <v>44</v>
      </c>
      <c r="D53" s="36"/>
      <c r="E53" s="36"/>
      <c r="F53" s="36"/>
      <c r="G53" s="36"/>
      <c r="H53" s="36"/>
      <c r="I53" s="36"/>
    </row>
    <row r="54" spans="1:11">
      <c r="A54" s="23">
        <v>45</v>
      </c>
      <c r="B54" s="9" t="s">
        <v>159</v>
      </c>
      <c r="C54" s="9">
        <f>'[2]Income Statement'!E60</f>
        <v>384422.79</v>
      </c>
      <c r="D54" s="36">
        <f>'[2]Income Statement'!G60</f>
        <v>126082.26493135598</v>
      </c>
      <c r="E54" s="72">
        <f t="shared" si="0"/>
        <v>510505.05493135599</v>
      </c>
      <c r="F54" s="72">
        <f>SUM(F42:F52)</f>
        <v>532413.83104154421</v>
      </c>
      <c r="G54" s="72">
        <f>'[2]Income Statement'!M60</f>
        <v>540111.03033622843</v>
      </c>
      <c r="H54" s="72">
        <f>SUM(H42:H52)</f>
        <v>584146.22896767221</v>
      </c>
      <c r="I54" s="72">
        <f>SUM(I42:I52)</f>
        <v>583862.55222326692</v>
      </c>
    </row>
    <row r="55" spans="1:11">
      <c r="A55" s="23">
        <v>46</v>
      </c>
      <c r="B55" s="35"/>
      <c r="D55" s="36"/>
      <c r="E55" s="36"/>
      <c r="F55" s="36"/>
      <c r="G55" s="36"/>
      <c r="H55" s="36"/>
      <c r="I55" s="36"/>
    </row>
    <row r="56" spans="1:11">
      <c r="A56" s="23">
        <v>47</v>
      </c>
      <c r="B56" s="9" t="s">
        <v>44</v>
      </c>
      <c r="C56" s="9">
        <f>'[2]Income Statement'!E62</f>
        <v>1806035.96</v>
      </c>
      <c r="D56" s="36">
        <f>'[2]Income Statement'!G62</f>
        <v>1314304.961895105</v>
      </c>
      <c r="E56" s="72">
        <f t="shared" si="0"/>
        <v>3120340.9218951049</v>
      </c>
      <c r="F56" s="72">
        <f>F54+F40+F29</f>
        <v>3128863.1461594212</v>
      </c>
      <c r="G56" s="72">
        <f>'[2]Income Statement'!M62</f>
        <v>3297715.3198312959</v>
      </c>
      <c r="H56" s="72">
        <f>H54+H40+H29</f>
        <v>3531410.4296521088</v>
      </c>
      <c r="I56" s="72">
        <f>I54+I40+I29</f>
        <v>3522730.8053627554</v>
      </c>
    </row>
    <row r="57" spans="1:11">
      <c r="A57" s="23">
        <v>48</v>
      </c>
      <c r="D57" s="36"/>
      <c r="E57" s="36"/>
      <c r="F57" s="36"/>
      <c r="G57" s="36"/>
      <c r="H57" s="36"/>
      <c r="I57" s="36"/>
    </row>
    <row r="58" spans="1:11">
      <c r="A58" s="23">
        <v>49</v>
      </c>
      <c r="B58" s="9" t="s">
        <v>45</v>
      </c>
      <c r="C58" s="9">
        <f>'[2]Income Statement'!E64</f>
        <v>-179630.24000000046</v>
      </c>
      <c r="D58" s="36">
        <f>'[2]Income Statement'!G64</f>
        <v>186218.61568580871</v>
      </c>
      <c r="E58" s="36">
        <f t="shared" si="0"/>
        <v>6588.3756858082488</v>
      </c>
      <c r="F58" s="36">
        <f>F16-F56</f>
        <v>-124460.96623024344</v>
      </c>
      <c r="G58" s="36">
        <f>'[2]Income Statement'!M64</f>
        <v>-163652.67293753423</v>
      </c>
      <c r="H58" s="36">
        <f>H16-H56</f>
        <v>-417541.60548202367</v>
      </c>
      <c r="I58" s="36">
        <f>I16-I56</f>
        <v>-428917.03736753203</v>
      </c>
    </row>
    <row r="59" spans="1:11">
      <c r="A59" s="23">
        <v>50</v>
      </c>
      <c r="E59" s="36"/>
      <c r="F59" s="36"/>
    </row>
    <row r="60" spans="1:11">
      <c r="A60" s="23">
        <v>51</v>
      </c>
      <c r="B60" s="9" t="s">
        <v>117</v>
      </c>
      <c r="E60" s="36">
        <v>169049.53467276783</v>
      </c>
      <c r="F60" s="10">
        <f>'Balance Sheet'!$G$15*0.0236975241059169</f>
        <v>159075.56650747085</v>
      </c>
      <c r="G60" s="10">
        <f>'Balance Sheet'!H15*0.0236975241059169</f>
        <v>182334.26802223039</v>
      </c>
      <c r="H60" s="10">
        <f>'Balance Sheet'!I15*0.0236975241059169</f>
        <v>179140.07168005392</v>
      </c>
      <c r="I60" s="10">
        <f>'Balance Sheet'!J15*0.0236975241059169</f>
        <v>175974.80149925884</v>
      </c>
      <c r="K60" s="70" t="s">
        <v>152</v>
      </c>
    </row>
    <row r="61" spans="1:11">
      <c r="A61" s="23">
        <v>52</v>
      </c>
      <c r="B61" s="9" t="s">
        <v>118</v>
      </c>
      <c r="C61" s="24"/>
      <c r="D61" s="24"/>
      <c r="E61" s="72"/>
      <c r="F61" s="72">
        <v>0</v>
      </c>
      <c r="G61" s="26">
        <v>-26149</v>
      </c>
      <c r="H61" s="26">
        <v>0</v>
      </c>
      <c r="I61" s="26">
        <v>-18358</v>
      </c>
      <c r="K61" s="70" t="s">
        <v>148</v>
      </c>
    </row>
    <row r="62" spans="1:11">
      <c r="A62" s="23">
        <v>53</v>
      </c>
      <c r="E62" s="36"/>
      <c r="F62" s="36"/>
    </row>
    <row r="63" spans="1:11">
      <c r="A63" s="23">
        <v>54</v>
      </c>
      <c r="B63" s="9" t="s">
        <v>157</v>
      </c>
      <c r="E63" s="72">
        <f>+E60+E61</f>
        <v>169049.53467276783</v>
      </c>
      <c r="F63" s="72">
        <f t="shared" ref="F63:I63" si="3">+F60+F61</f>
        <v>159075.56650747085</v>
      </c>
      <c r="G63" s="72">
        <f t="shared" si="3"/>
        <v>156185.26802223039</v>
      </c>
      <c r="H63" s="72">
        <f t="shared" si="3"/>
        <v>179140.07168005392</v>
      </c>
      <c r="I63" s="72">
        <f t="shared" si="3"/>
        <v>157616.80149925884</v>
      </c>
    </row>
    <row r="64" spans="1:11">
      <c r="A64" s="23">
        <v>55</v>
      </c>
      <c r="B64" s="13"/>
      <c r="E64" s="36"/>
      <c r="F64" s="36"/>
    </row>
    <row r="65" spans="1:11">
      <c r="A65" s="23">
        <v>56</v>
      </c>
      <c r="B65" s="13" t="s">
        <v>158</v>
      </c>
      <c r="E65" s="36">
        <f>+E58-E63</f>
        <v>-162461.15898695958</v>
      </c>
      <c r="F65" s="36">
        <f t="shared" ref="F65:I65" si="4">+F58-F63</f>
        <v>-283536.5327377143</v>
      </c>
      <c r="G65" s="36">
        <f t="shared" si="4"/>
        <v>-319837.94095976464</v>
      </c>
      <c r="H65" s="36">
        <f t="shared" si="4"/>
        <v>-596681.67716207763</v>
      </c>
      <c r="I65" s="36">
        <f t="shared" si="4"/>
        <v>-586533.83886679087</v>
      </c>
    </row>
    <row r="66" spans="1:11">
      <c r="A66" s="23">
        <v>57</v>
      </c>
      <c r="B66" s="13"/>
      <c r="E66" s="36"/>
      <c r="F66" s="36"/>
      <c r="G66" s="36"/>
      <c r="H66" s="36"/>
      <c r="I66" s="36"/>
    </row>
    <row r="67" spans="1:11">
      <c r="A67" s="23">
        <v>58</v>
      </c>
      <c r="B67" s="9" t="s">
        <v>41</v>
      </c>
      <c r="E67" s="36">
        <f>E65*0.05</f>
        <v>-8123.057949347979</v>
      </c>
      <c r="F67" s="36">
        <f t="shared" ref="F67:I67" si="5">F65*0.05</f>
        <v>-14176.826636885715</v>
      </c>
      <c r="G67" s="36">
        <f t="shared" si="5"/>
        <v>-15991.897047988234</v>
      </c>
      <c r="H67" s="36">
        <f t="shared" si="5"/>
        <v>-29834.083858103884</v>
      </c>
      <c r="I67" s="36">
        <f t="shared" si="5"/>
        <v>-29326.691943339545</v>
      </c>
    </row>
    <row r="68" spans="1:11">
      <c r="A68" s="23">
        <v>59</v>
      </c>
      <c r="B68" s="9" t="s">
        <v>40</v>
      </c>
      <c r="C68" s="24"/>
      <c r="D68" s="24"/>
      <c r="E68" s="72">
        <f>+(E65-E67)*0.21</f>
        <v>-32411.001217898436</v>
      </c>
      <c r="F68" s="72">
        <f t="shared" ref="F68:I68" si="6">+(F65-F67)*0.21</f>
        <v>-56565.538281174006</v>
      </c>
      <c r="G68" s="72">
        <f t="shared" si="6"/>
        <v>-63807.669221473043</v>
      </c>
      <c r="H68" s="72">
        <f t="shared" si="6"/>
        <v>-119037.99459383449</v>
      </c>
      <c r="I68" s="72">
        <f t="shared" si="6"/>
        <v>-117013.50085392478</v>
      </c>
    </row>
    <row r="69" spans="1:11">
      <c r="A69" s="23">
        <v>60</v>
      </c>
      <c r="E69" s="36"/>
      <c r="F69" s="36"/>
      <c r="G69" s="36"/>
      <c r="H69" s="36"/>
      <c r="I69" s="36"/>
    </row>
    <row r="70" spans="1:11">
      <c r="A70" s="23">
        <v>61</v>
      </c>
      <c r="B70" s="9" t="s">
        <v>119</v>
      </c>
      <c r="C70" s="24"/>
      <c r="D70" s="24"/>
      <c r="E70" s="72">
        <f>+E67+E68</f>
        <v>-40534.059167246414</v>
      </c>
      <c r="F70" s="72">
        <f t="shared" ref="F70:I70" si="7">+F67+F68</f>
        <v>-70742.364918059728</v>
      </c>
      <c r="G70" s="72">
        <f t="shared" si="7"/>
        <v>-79799.566269461269</v>
      </c>
      <c r="H70" s="72">
        <f t="shared" si="7"/>
        <v>-148872.07845193837</v>
      </c>
      <c r="I70" s="72">
        <f t="shared" si="7"/>
        <v>-146340.19279726432</v>
      </c>
    </row>
    <row r="71" spans="1:11">
      <c r="A71" s="23">
        <v>62</v>
      </c>
      <c r="E71" s="36"/>
      <c r="F71" s="36"/>
      <c r="G71" s="36"/>
      <c r="H71" s="36"/>
      <c r="I71" s="36"/>
    </row>
    <row r="72" spans="1:11" ht="15.75" thickBot="1">
      <c r="A72" s="23">
        <v>63</v>
      </c>
      <c r="B72" s="9" t="s">
        <v>49</v>
      </c>
      <c r="E72" s="75">
        <f>+E65-E70</f>
        <v>-121927.09981971316</v>
      </c>
      <c r="F72" s="78">
        <f t="shared" ref="F72:I72" si="8">+F65-F70</f>
        <v>-212794.16781965457</v>
      </c>
      <c r="G72" s="78">
        <f t="shared" si="8"/>
        <v>-240038.37469030338</v>
      </c>
      <c r="H72" s="78">
        <f t="shared" si="8"/>
        <v>-447809.59871013928</v>
      </c>
      <c r="I72" s="78">
        <f t="shared" si="8"/>
        <v>-440193.64606952656</v>
      </c>
    </row>
    <row r="73" spans="1:11" ht="15.75" thickTop="1">
      <c r="A73" s="23">
        <v>64</v>
      </c>
    </row>
    <row r="74" spans="1:11">
      <c r="E74" s="13"/>
      <c r="F74" s="13"/>
      <c r="G74" s="13"/>
      <c r="H74" s="13"/>
      <c r="I74" s="13"/>
      <c r="J74" s="13"/>
      <c r="K74" s="13"/>
    </row>
    <row r="75" spans="1:11">
      <c r="A75" s="16" t="s">
        <v>165</v>
      </c>
      <c r="B75" s="125" t="s">
        <v>166</v>
      </c>
      <c r="C75" s="125"/>
      <c r="D75" s="125"/>
      <c r="E75" s="125"/>
      <c r="F75" s="125"/>
      <c r="G75" s="125"/>
      <c r="H75" s="125"/>
      <c r="I75" s="125"/>
    </row>
    <row r="76" spans="1:11">
      <c r="B76" s="125"/>
      <c r="C76" s="125"/>
      <c r="D76" s="125"/>
      <c r="E76" s="125"/>
      <c r="F76" s="125"/>
      <c r="G76" s="125"/>
      <c r="H76" s="125"/>
      <c r="I76" s="125"/>
    </row>
    <row r="80" spans="1:11" ht="30">
      <c r="B80" s="121" t="s">
        <v>173</v>
      </c>
      <c r="F80" s="9">
        <f>+(F40+F29+F44+F45+F46+F47+F48+F49+F50)/8</f>
        <v>347894.95618042763</v>
      </c>
      <c r="G80" s="9">
        <f>+(G40+G29+G44+G45+G46+G47+G48+G49+G50)/8</f>
        <v>369104.50525673752</v>
      </c>
      <c r="H80" s="9">
        <f>+(H40+H29+H44+H45+H46+H47+H48+H49+H50)/8</f>
        <v>395192.99161701364</v>
      </c>
      <c r="I80" s="9">
        <f>+(I40+I29+I44+I45+I46+I47+I48+I49+I50)/8</f>
        <v>394108.03858084441</v>
      </c>
    </row>
  </sheetData>
  <mergeCells count="2">
    <mergeCell ref="F7:I7"/>
    <mergeCell ref="B75:I76"/>
  </mergeCells>
  <pageMargins left="0.7" right="0.7" top="0.75" bottom="0.75" header="0.3" footer="0.3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35E6D-4447-49F6-BB35-DD3723B5B05A}">
  <dimension ref="A1:F198"/>
  <sheetViews>
    <sheetView topLeftCell="A2" workbookViewId="0">
      <selection activeCell="H11" sqref="H11"/>
    </sheetView>
  </sheetViews>
  <sheetFormatPr defaultRowHeight="15"/>
  <sheetData>
    <row r="1" spans="1:6" ht="15.75">
      <c r="A1" s="1" t="s">
        <v>0</v>
      </c>
      <c r="B1" s="126"/>
      <c r="C1" s="126"/>
      <c r="D1" s="3"/>
      <c r="E1" s="3"/>
      <c r="F1" s="3"/>
    </row>
    <row r="2" spans="1:6" ht="15.75">
      <c r="A2" s="1" t="s">
        <v>74</v>
      </c>
      <c r="B2" s="126"/>
      <c r="C2" s="126"/>
      <c r="D2" s="3"/>
      <c r="E2" s="3"/>
      <c r="F2" s="3"/>
    </row>
    <row r="3" spans="1:6" ht="15.75">
      <c r="A3" s="1" t="s">
        <v>75</v>
      </c>
      <c r="B3" s="126"/>
      <c r="C3" s="126"/>
      <c r="D3" s="3"/>
      <c r="E3" s="3"/>
      <c r="F3" s="3"/>
    </row>
    <row r="4" spans="1:6" ht="15.75">
      <c r="A4" s="1"/>
      <c r="B4" s="126"/>
      <c r="C4" s="126"/>
      <c r="D4" s="3"/>
      <c r="E4" s="3"/>
      <c r="F4" s="3"/>
    </row>
    <row r="5" spans="1:6" ht="15.75">
      <c r="A5" s="2"/>
      <c r="B5" s="2"/>
      <c r="C5" s="2" t="s">
        <v>7</v>
      </c>
      <c r="D5" s="2"/>
      <c r="E5" s="2" t="s">
        <v>8</v>
      </c>
      <c r="F5" s="2"/>
    </row>
    <row r="6" spans="1:6" ht="15.75">
      <c r="A6" s="1"/>
      <c r="B6" s="126"/>
      <c r="C6" s="126"/>
      <c r="D6" s="3"/>
      <c r="E6" s="3"/>
      <c r="F6" s="3"/>
    </row>
    <row r="7" spans="1:6" ht="15.75">
      <c r="A7" s="2"/>
      <c r="B7" s="2"/>
      <c r="C7" s="2"/>
      <c r="D7" s="2"/>
      <c r="E7" s="2"/>
      <c r="F7" s="2"/>
    </row>
    <row r="8" spans="1:6" ht="15.75">
      <c r="A8" s="29" t="s">
        <v>9</v>
      </c>
      <c r="B8" s="2"/>
      <c r="C8" s="2"/>
      <c r="D8" s="2"/>
      <c r="E8" s="30">
        <v>44104</v>
      </c>
      <c r="F8" s="2"/>
    </row>
    <row r="9" spans="1:6" ht="15.75">
      <c r="A9" s="2"/>
      <c r="B9" s="2"/>
      <c r="C9" s="2"/>
      <c r="D9" s="2"/>
      <c r="E9" s="2"/>
      <c r="F9" s="2"/>
    </row>
    <row r="10" spans="1:6" ht="15.75">
      <c r="A10" s="2">
        <v>1</v>
      </c>
      <c r="B10" s="127" t="s">
        <v>10</v>
      </c>
      <c r="C10" s="127"/>
      <c r="D10" s="31"/>
      <c r="E10" s="3"/>
      <c r="F10" s="3"/>
    </row>
    <row r="11" spans="1:6" ht="15.75">
      <c r="A11" s="2">
        <v>2</v>
      </c>
      <c r="B11" s="3"/>
      <c r="C11" s="3" t="s">
        <v>11</v>
      </c>
      <c r="D11" s="3"/>
      <c r="E11" s="5">
        <v>2551885</v>
      </c>
      <c r="F11" s="4"/>
    </row>
    <row r="12" spans="1:6" ht="15.75">
      <c r="A12" s="2">
        <v>3</v>
      </c>
      <c r="B12" s="3"/>
      <c r="C12" s="3" t="s">
        <v>12</v>
      </c>
      <c r="D12" s="3"/>
      <c r="E12" s="5">
        <v>2393870</v>
      </c>
      <c r="F12" s="4"/>
    </row>
    <row r="13" spans="1:6" ht="15.75">
      <c r="A13" s="2">
        <v>4</v>
      </c>
      <c r="B13" s="3"/>
      <c r="C13" s="3" t="s">
        <v>13</v>
      </c>
      <c r="D13" s="3"/>
      <c r="E13" s="3" t="s">
        <v>6</v>
      </c>
      <c r="F13" s="4"/>
    </row>
    <row r="14" spans="1:6" ht="15.75">
      <c r="A14" s="2">
        <v>5</v>
      </c>
      <c r="B14" s="3"/>
      <c r="C14" s="3" t="s">
        <v>14</v>
      </c>
      <c r="D14" s="3"/>
      <c r="E14" s="5">
        <v>62928</v>
      </c>
      <c r="F14" s="3"/>
    </row>
    <row r="15" spans="1:6" ht="15.75">
      <c r="A15" s="2">
        <v>6</v>
      </c>
      <c r="B15" s="3"/>
      <c r="C15" s="3" t="s">
        <v>15</v>
      </c>
      <c r="D15" s="3"/>
      <c r="E15" s="5">
        <v>-21935</v>
      </c>
      <c r="F15" s="3"/>
    </row>
    <row r="16" spans="1:6" ht="15.75">
      <c r="A16" s="2">
        <v>7</v>
      </c>
      <c r="B16" s="126"/>
      <c r="C16" s="126"/>
      <c r="D16" s="3"/>
      <c r="E16" s="7"/>
      <c r="F16" s="3"/>
    </row>
    <row r="17" spans="1:6" ht="15.75">
      <c r="A17" s="2">
        <v>8</v>
      </c>
      <c r="B17" s="126" t="s">
        <v>16</v>
      </c>
      <c r="C17" s="126"/>
      <c r="D17" s="3"/>
      <c r="E17" s="6">
        <v>4986747</v>
      </c>
      <c r="F17" s="4"/>
    </row>
    <row r="18" spans="1:6" ht="15.75">
      <c r="A18" s="2">
        <v>9</v>
      </c>
      <c r="B18" s="126"/>
      <c r="C18" s="126"/>
      <c r="D18" s="3"/>
      <c r="E18" s="3"/>
      <c r="F18" s="3"/>
    </row>
    <row r="19" spans="1:6" ht="15.75">
      <c r="A19" s="2">
        <v>10</v>
      </c>
      <c r="B19" s="127" t="s">
        <v>17</v>
      </c>
      <c r="C19" s="127"/>
      <c r="D19" s="31"/>
      <c r="E19" s="3"/>
      <c r="F19" s="3"/>
    </row>
    <row r="20" spans="1:6" ht="15.75">
      <c r="A20" s="2">
        <v>11</v>
      </c>
      <c r="B20" s="3"/>
      <c r="C20" s="3" t="s">
        <v>18</v>
      </c>
      <c r="D20" s="3"/>
      <c r="E20" s="5">
        <v>693705</v>
      </c>
      <c r="F20" s="3"/>
    </row>
    <row r="21" spans="1:6" ht="15.75">
      <c r="A21" s="2">
        <v>12</v>
      </c>
      <c r="B21" s="3"/>
      <c r="C21" s="3" t="s">
        <v>19</v>
      </c>
      <c r="D21" s="3"/>
      <c r="E21" s="5">
        <v>283519</v>
      </c>
      <c r="F21" s="3"/>
    </row>
    <row r="22" spans="1:6" ht="15.75">
      <c r="A22" s="2">
        <v>13</v>
      </c>
      <c r="B22" s="3"/>
      <c r="C22" s="3" t="s">
        <v>20</v>
      </c>
      <c r="D22" s="3"/>
      <c r="E22" s="5">
        <v>367032</v>
      </c>
      <c r="F22" s="3"/>
    </row>
    <row r="23" spans="1:6" ht="15.75">
      <c r="A23" s="2">
        <v>14</v>
      </c>
      <c r="B23" s="3"/>
      <c r="C23" s="3" t="s">
        <v>21</v>
      </c>
      <c r="D23" s="3"/>
      <c r="E23" s="5">
        <v>323883</v>
      </c>
      <c r="F23" s="3"/>
    </row>
    <row r="24" spans="1:6" ht="15.75">
      <c r="A24" s="2">
        <v>15</v>
      </c>
      <c r="B24" s="3"/>
      <c r="C24" s="3" t="s">
        <v>22</v>
      </c>
      <c r="D24" s="3"/>
      <c r="E24" s="5">
        <v>37025</v>
      </c>
      <c r="F24" s="3"/>
    </row>
    <row r="25" spans="1:6" ht="15.75">
      <c r="A25" s="2">
        <v>16</v>
      </c>
      <c r="B25" s="3"/>
      <c r="C25" s="3" t="s">
        <v>23</v>
      </c>
      <c r="D25" s="3"/>
      <c r="E25" s="3" t="s">
        <v>6</v>
      </c>
      <c r="F25" s="3"/>
    </row>
    <row r="26" spans="1:6" ht="15.75">
      <c r="A26" s="2">
        <v>17</v>
      </c>
      <c r="B26" s="3"/>
      <c r="C26" s="3" t="s">
        <v>24</v>
      </c>
      <c r="D26" s="3"/>
      <c r="E26" s="5">
        <v>94829</v>
      </c>
      <c r="F26" s="3"/>
    </row>
    <row r="27" spans="1:6" ht="15.75">
      <c r="A27" s="2">
        <v>18</v>
      </c>
      <c r="B27" s="3"/>
      <c r="C27" s="3" t="s">
        <v>25</v>
      </c>
      <c r="D27" s="3"/>
      <c r="E27" s="5">
        <v>36289</v>
      </c>
      <c r="F27" s="3"/>
    </row>
    <row r="28" spans="1:6" ht="15.75">
      <c r="A28" s="2">
        <v>19</v>
      </c>
      <c r="B28" s="3"/>
      <c r="C28" s="3" t="s">
        <v>26</v>
      </c>
      <c r="D28" s="3"/>
      <c r="E28" s="5">
        <v>-85211</v>
      </c>
      <c r="F28" s="3"/>
    </row>
    <row r="29" spans="1:6" ht="15.75">
      <c r="A29" s="2">
        <v>20</v>
      </c>
      <c r="B29" s="3"/>
      <c r="C29" s="3" t="s">
        <v>27</v>
      </c>
      <c r="D29" s="3"/>
      <c r="E29" s="5">
        <v>118421</v>
      </c>
      <c r="F29" s="3"/>
    </row>
    <row r="30" spans="1:6" ht="15.75">
      <c r="A30" s="2">
        <v>21</v>
      </c>
      <c r="B30" s="126"/>
      <c r="C30" s="126"/>
      <c r="D30" s="3"/>
      <c r="E30" s="7"/>
      <c r="F30" s="3"/>
    </row>
    <row r="31" spans="1:6" ht="15.75">
      <c r="A31" s="2">
        <v>22</v>
      </c>
      <c r="B31" s="3"/>
      <c r="C31" s="3" t="s">
        <v>28</v>
      </c>
      <c r="D31" s="3"/>
      <c r="E31" s="6">
        <v>1869491</v>
      </c>
      <c r="F31" s="4"/>
    </row>
    <row r="32" spans="1:6" ht="15.75">
      <c r="A32" s="2">
        <v>23</v>
      </c>
      <c r="B32" s="126"/>
      <c r="C32" s="126"/>
      <c r="D32" s="3"/>
      <c r="E32" s="32"/>
      <c r="F32" s="3"/>
    </row>
    <row r="33" spans="1:6" ht="15.75">
      <c r="A33" s="2">
        <v>24</v>
      </c>
      <c r="B33" s="127" t="s">
        <v>29</v>
      </c>
      <c r="C33" s="127"/>
      <c r="D33" s="31"/>
      <c r="E33" s="3"/>
      <c r="F33" s="3"/>
    </row>
    <row r="34" spans="1:6" ht="15.75">
      <c r="A34" s="2">
        <v>25</v>
      </c>
      <c r="B34" s="3"/>
      <c r="C34" s="3" t="s">
        <v>18</v>
      </c>
      <c r="D34" s="3"/>
      <c r="E34" s="5">
        <v>206606</v>
      </c>
      <c r="F34" s="4"/>
    </row>
    <row r="35" spans="1:6" ht="15.75">
      <c r="A35" s="2">
        <v>26</v>
      </c>
      <c r="B35" s="3"/>
      <c r="C35" s="3" t="s">
        <v>30</v>
      </c>
      <c r="D35" s="3"/>
      <c r="E35" s="5">
        <v>107478</v>
      </c>
      <c r="F35" s="3"/>
    </row>
    <row r="36" spans="1:6" ht="15.75">
      <c r="A36" s="2">
        <v>27</v>
      </c>
      <c r="B36" s="3"/>
      <c r="C36" s="3" t="s">
        <v>51</v>
      </c>
      <c r="D36" s="3"/>
      <c r="E36" s="5">
        <v>100886</v>
      </c>
      <c r="F36" s="3"/>
    </row>
    <row r="37" spans="1:6" ht="15.75">
      <c r="A37" s="2">
        <v>28</v>
      </c>
      <c r="B37" s="3"/>
      <c r="C37" s="3" t="s">
        <v>52</v>
      </c>
      <c r="D37" s="3"/>
      <c r="E37" s="5">
        <v>231466</v>
      </c>
      <c r="F37" s="3"/>
    </row>
    <row r="38" spans="1:6" ht="15.75">
      <c r="A38" s="2">
        <v>29</v>
      </c>
      <c r="B38" s="3"/>
      <c r="C38" s="3" t="s">
        <v>31</v>
      </c>
      <c r="D38" s="3"/>
      <c r="E38" s="5">
        <v>24994</v>
      </c>
      <c r="F38" s="3"/>
    </row>
    <row r="39" spans="1:6" ht="15.75">
      <c r="A39" s="2">
        <v>30</v>
      </c>
      <c r="B39" s="3"/>
      <c r="C39" s="3" t="s">
        <v>32</v>
      </c>
      <c r="D39" s="3"/>
      <c r="E39" s="5">
        <v>94615</v>
      </c>
      <c r="F39" s="3"/>
    </row>
    <row r="40" spans="1:6" ht="15.75">
      <c r="A40" s="2">
        <v>31</v>
      </c>
      <c r="B40" s="3"/>
      <c r="C40" s="3" t="s">
        <v>33</v>
      </c>
      <c r="D40" s="3"/>
      <c r="E40" s="5">
        <v>70631</v>
      </c>
      <c r="F40" s="3"/>
    </row>
    <row r="41" spans="1:6" ht="15.75">
      <c r="A41" s="2">
        <v>32</v>
      </c>
      <c r="B41" s="3"/>
      <c r="C41" s="3" t="s">
        <v>34</v>
      </c>
      <c r="D41" s="3"/>
      <c r="E41" s="5">
        <v>47784</v>
      </c>
      <c r="F41" s="3"/>
    </row>
    <row r="42" spans="1:6" ht="15.75">
      <c r="A42" s="2">
        <v>33</v>
      </c>
      <c r="B42" s="3"/>
      <c r="C42" s="3" t="s">
        <v>35</v>
      </c>
      <c r="D42" s="3"/>
      <c r="E42" s="3" t="s">
        <v>6</v>
      </c>
      <c r="F42" s="3"/>
    </row>
    <row r="43" spans="1:6" ht="15.75">
      <c r="A43" s="2">
        <v>34</v>
      </c>
      <c r="B43" s="3"/>
      <c r="C43" s="3" t="s">
        <v>36</v>
      </c>
      <c r="D43" s="3"/>
      <c r="E43" s="3" t="s">
        <v>6</v>
      </c>
      <c r="F43" s="3"/>
    </row>
    <row r="44" spans="1:6" ht="15.75">
      <c r="A44" s="2">
        <v>35</v>
      </c>
      <c r="B44" s="126"/>
      <c r="C44" s="126"/>
      <c r="D44" s="3"/>
      <c r="E44" s="7"/>
      <c r="F44" s="3"/>
    </row>
    <row r="45" spans="1:6" ht="15.75">
      <c r="A45" s="2">
        <v>36</v>
      </c>
      <c r="B45" s="3"/>
      <c r="C45" s="3" t="s">
        <v>28</v>
      </c>
      <c r="D45" s="3"/>
      <c r="E45" s="6">
        <v>884459</v>
      </c>
      <c r="F45" s="4"/>
    </row>
    <row r="46" spans="1:6" ht="15.75">
      <c r="A46" s="2">
        <v>37</v>
      </c>
      <c r="B46" s="126"/>
      <c r="C46" s="126"/>
      <c r="D46" s="3"/>
      <c r="E46" s="32"/>
      <c r="F46" s="3"/>
    </row>
    <row r="47" spans="1:6" ht="15.75">
      <c r="A47" s="2">
        <v>38</v>
      </c>
      <c r="B47" s="126" t="s">
        <v>37</v>
      </c>
      <c r="C47" s="126"/>
      <c r="D47" s="3"/>
      <c r="E47" s="5">
        <v>1512709</v>
      </c>
      <c r="F47" s="3"/>
    </row>
    <row r="48" spans="1:6" ht="15.75">
      <c r="A48" s="2">
        <v>39</v>
      </c>
      <c r="B48" s="126" t="s">
        <v>38</v>
      </c>
      <c r="C48" s="126"/>
      <c r="D48" s="3"/>
      <c r="E48" s="5">
        <v>-8121</v>
      </c>
      <c r="F48" s="3"/>
    </row>
    <row r="49" spans="1:6" ht="15.75">
      <c r="A49" s="2">
        <v>40</v>
      </c>
      <c r="B49" s="126" t="s">
        <v>39</v>
      </c>
      <c r="C49" s="126"/>
      <c r="D49" s="3"/>
      <c r="E49" s="5">
        <v>1129040</v>
      </c>
      <c r="F49" s="3"/>
    </row>
    <row r="50" spans="1:6" ht="15.75">
      <c r="A50" s="2">
        <v>41</v>
      </c>
      <c r="B50" s="126" t="s">
        <v>40</v>
      </c>
      <c r="C50" s="126"/>
      <c r="D50" s="3"/>
      <c r="E50" s="5">
        <v>-45602</v>
      </c>
      <c r="F50" s="3"/>
    </row>
    <row r="51" spans="1:6" ht="15.75">
      <c r="A51" s="2">
        <v>42</v>
      </c>
      <c r="B51" s="126" t="s">
        <v>41</v>
      </c>
      <c r="C51" s="126"/>
      <c r="D51" s="3"/>
      <c r="E51" s="5">
        <v>28005</v>
      </c>
      <c r="F51" s="3"/>
    </row>
    <row r="52" spans="1:6" ht="15.75">
      <c r="A52" s="2">
        <v>43</v>
      </c>
      <c r="B52" s="126" t="s">
        <v>42</v>
      </c>
      <c r="C52" s="126"/>
      <c r="D52" s="3"/>
      <c r="E52" s="5">
        <v>-3274</v>
      </c>
      <c r="F52" s="3"/>
    </row>
    <row r="53" spans="1:6" ht="15.75">
      <c r="A53" s="2">
        <v>44</v>
      </c>
      <c r="B53" s="126" t="s">
        <v>43</v>
      </c>
      <c r="C53" s="126"/>
      <c r="D53" s="3"/>
      <c r="E53" s="5">
        <v>-236665</v>
      </c>
      <c r="F53" s="3"/>
    </row>
    <row r="54" spans="1:6" ht="15.75">
      <c r="A54" s="2">
        <v>45</v>
      </c>
      <c r="B54" s="126"/>
      <c r="C54" s="126"/>
      <c r="D54" s="3"/>
      <c r="E54" s="7"/>
      <c r="F54" s="3"/>
    </row>
    <row r="55" spans="1:6" ht="15.75">
      <c r="A55" s="2">
        <v>46</v>
      </c>
      <c r="B55" s="3"/>
      <c r="C55" s="3" t="s">
        <v>2</v>
      </c>
      <c r="D55" s="3"/>
      <c r="E55" s="6">
        <v>2376092</v>
      </c>
      <c r="F55" s="4"/>
    </row>
    <row r="56" spans="1:6" ht="15.75">
      <c r="A56" s="2">
        <v>47</v>
      </c>
      <c r="B56" s="126"/>
      <c r="C56" s="126"/>
      <c r="D56" s="3"/>
      <c r="E56" s="32"/>
      <c r="F56" s="3"/>
    </row>
    <row r="57" spans="1:6" ht="15.75">
      <c r="A57" s="2">
        <v>48</v>
      </c>
      <c r="B57" s="126" t="s">
        <v>44</v>
      </c>
      <c r="C57" s="126"/>
      <c r="D57" s="3"/>
      <c r="E57" s="6">
        <v>5130042</v>
      </c>
      <c r="F57" s="4"/>
    </row>
    <row r="58" spans="1:6" ht="15.75">
      <c r="A58" s="2">
        <v>49</v>
      </c>
      <c r="B58" s="126"/>
      <c r="C58" s="126"/>
      <c r="D58" s="3"/>
      <c r="E58" s="32"/>
      <c r="F58" s="3"/>
    </row>
    <row r="59" spans="1:6" ht="15.75">
      <c r="A59" s="2">
        <v>50</v>
      </c>
      <c r="B59" s="127" t="s">
        <v>45</v>
      </c>
      <c r="C59" s="127"/>
      <c r="D59" s="31"/>
      <c r="E59" s="6">
        <v>-143295</v>
      </c>
      <c r="F59" s="4"/>
    </row>
    <row r="60" spans="1:6" ht="15.75">
      <c r="A60" s="2">
        <v>51</v>
      </c>
      <c r="B60" s="128"/>
      <c r="C60" s="128"/>
      <c r="D60" s="3"/>
      <c r="E60" s="32"/>
      <c r="F60" s="3"/>
    </row>
    <row r="61" spans="1:6" ht="15.75">
      <c r="A61" s="2">
        <v>52</v>
      </c>
      <c r="B61" s="126" t="s">
        <v>46</v>
      </c>
      <c r="C61" s="126"/>
      <c r="D61" s="3"/>
      <c r="E61" s="5">
        <v>-192235</v>
      </c>
      <c r="F61" s="3"/>
    </row>
    <row r="62" spans="1:6" ht="15.75">
      <c r="A62" s="2">
        <v>53</v>
      </c>
      <c r="B62" s="126" t="s">
        <v>47</v>
      </c>
      <c r="C62" s="126"/>
      <c r="D62" s="3"/>
      <c r="E62" s="5">
        <v>899438</v>
      </c>
      <c r="F62" s="3"/>
    </row>
    <row r="63" spans="1:6" ht="15.75">
      <c r="A63" s="2">
        <v>54</v>
      </c>
      <c r="B63" s="126" t="s">
        <v>48</v>
      </c>
      <c r="C63" s="126"/>
      <c r="D63" s="3"/>
      <c r="E63" s="5">
        <v>-22423</v>
      </c>
      <c r="F63" s="3"/>
    </row>
    <row r="64" spans="1:6" ht="15.75">
      <c r="A64" s="2">
        <v>55</v>
      </c>
      <c r="B64" s="126"/>
      <c r="C64" s="126"/>
      <c r="D64" s="3"/>
      <c r="E64" s="7"/>
      <c r="F64" s="3"/>
    </row>
    <row r="65" spans="1:6" ht="16.5" thickBot="1">
      <c r="A65" s="2">
        <v>56</v>
      </c>
      <c r="B65" s="126" t="s">
        <v>49</v>
      </c>
      <c r="C65" s="126"/>
      <c r="D65" s="3"/>
      <c r="E65" s="33">
        <v>-828076</v>
      </c>
      <c r="F65" s="4"/>
    </row>
    <row r="66" spans="1:6" ht="16.5" thickTop="1">
      <c r="A66" s="2"/>
      <c r="B66" s="126"/>
      <c r="C66" s="126"/>
      <c r="D66" s="3"/>
      <c r="E66" s="3"/>
      <c r="F66" s="4"/>
    </row>
    <row r="67" spans="1:6" ht="15.75">
      <c r="A67" s="1" t="s">
        <v>0</v>
      </c>
      <c r="B67" s="126"/>
      <c r="C67" s="126"/>
      <c r="D67" s="3"/>
      <c r="E67" s="3"/>
      <c r="F67" s="3"/>
    </row>
    <row r="68" spans="1:6" ht="15.75">
      <c r="A68" s="1" t="s">
        <v>50</v>
      </c>
      <c r="B68" s="129"/>
      <c r="C68" s="129"/>
      <c r="D68" s="1"/>
      <c r="E68" s="1"/>
      <c r="F68" s="1"/>
    </row>
    <row r="69" spans="1:6" ht="15.75">
      <c r="A69" s="1" t="s">
        <v>75</v>
      </c>
      <c r="B69" s="129"/>
      <c r="C69" s="129"/>
      <c r="D69" s="1"/>
      <c r="E69" s="1"/>
      <c r="F69" s="1"/>
    </row>
    <row r="70" spans="1:6">
      <c r="A70" s="3"/>
      <c r="B70" s="126"/>
      <c r="C70" s="126"/>
      <c r="D70" s="3"/>
      <c r="E70" s="3"/>
      <c r="F70" s="3"/>
    </row>
    <row r="71" spans="1:6" ht="15.75">
      <c r="A71" s="2"/>
      <c r="B71" s="2"/>
      <c r="C71" s="2" t="s">
        <v>7</v>
      </c>
      <c r="D71" s="2"/>
      <c r="E71" s="2"/>
      <c r="F71" s="2"/>
    </row>
    <row r="72" spans="1:6" ht="15.75">
      <c r="A72" s="1"/>
      <c r="B72" s="126"/>
      <c r="C72" s="126"/>
      <c r="D72" s="3"/>
      <c r="E72" s="3"/>
      <c r="F72" s="3"/>
    </row>
    <row r="73" spans="1:6" ht="15.75">
      <c r="A73" s="2"/>
      <c r="B73" s="34"/>
      <c r="C73" s="34"/>
      <c r="D73" s="34"/>
      <c r="E73" s="2"/>
      <c r="F73" s="34"/>
    </row>
    <row r="74" spans="1:6" ht="15.75">
      <c r="A74" s="29" t="s">
        <v>9</v>
      </c>
      <c r="B74" s="34"/>
      <c r="C74" s="34"/>
      <c r="D74" s="34"/>
      <c r="E74" s="29"/>
      <c r="F74" s="34"/>
    </row>
    <row r="75" spans="1:6" ht="15.75">
      <c r="A75" s="2"/>
      <c r="B75" s="34"/>
      <c r="C75" s="34"/>
      <c r="D75" s="34"/>
      <c r="E75" s="34"/>
      <c r="F75" s="34"/>
    </row>
    <row r="76" spans="1:6" ht="15.75">
      <c r="A76" s="2">
        <v>1</v>
      </c>
      <c r="B76" s="127" t="s">
        <v>10</v>
      </c>
      <c r="C76" s="127"/>
      <c r="D76" s="31"/>
      <c r="E76" s="3"/>
      <c r="F76" s="3"/>
    </row>
    <row r="77" spans="1:6" ht="15.75">
      <c r="A77" s="2">
        <v>2</v>
      </c>
      <c r="B77" s="3"/>
      <c r="C77" s="3" t="s">
        <v>11</v>
      </c>
      <c r="D77" s="3"/>
      <c r="E77" s="5">
        <v>2551885</v>
      </c>
      <c r="F77" s="4"/>
    </row>
    <row r="78" spans="1:6" ht="15.75">
      <c r="A78" s="2">
        <v>3</v>
      </c>
      <c r="B78" s="3"/>
      <c r="C78" s="3" t="s">
        <v>12</v>
      </c>
      <c r="D78" s="3"/>
      <c r="E78" s="3"/>
      <c r="F78" s="4"/>
    </row>
    <row r="79" spans="1:6" ht="15.75">
      <c r="A79" s="2">
        <v>4</v>
      </c>
      <c r="B79" s="3"/>
      <c r="C79" s="3" t="s">
        <v>13</v>
      </c>
      <c r="D79" s="3"/>
      <c r="E79" s="3"/>
      <c r="F79" s="4"/>
    </row>
    <row r="80" spans="1:6" ht="15.75">
      <c r="A80" s="2">
        <v>5</v>
      </c>
      <c r="B80" s="3"/>
      <c r="C80" s="3" t="s">
        <v>14</v>
      </c>
      <c r="D80" s="3"/>
      <c r="E80" s="5">
        <v>32466</v>
      </c>
      <c r="F80" s="3"/>
    </row>
    <row r="81" spans="1:6" ht="15.75">
      <c r="A81" s="2">
        <v>6</v>
      </c>
      <c r="B81" s="3"/>
      <c r="C81" s="3" t="s">
        <v>15</v>
      </c>
      <c r="D81" s="3"/>
      <c r="E81" s="5">
        <v>-11317</v>
      </c>
      <c r="F81" s="3"/>
    </row>
    <row r="82" spans="1:6" ht="15.75">
      <c r="A82" s="2">
        <v>7</v>
      </c>
      <c r="B82" s="126"/>
      <c r="C82" s="126"/>
      <c r="D82" s="3"/>
      <c r="E82" s="7"/>
      <c r="F82" s="3"/>
    </row>
    <row r="83" spans="1:6" ht="15.75">
      <c r="A83" s="2">
        <v>8</v>
      </c>
      <c r="B83" s="126" t="s">
        <v>16</v>
      </c>
      <c r="C83" s="126"/>
      <c r="D83" s="3"/>
      <c r="E83" s="6">
        <v>2573034</v>
      </c>
      <c r="F83" s="4"/>
    </row>
    <row r="84" spans="1:6" ht="15.75">
      <c r="A84" s="2">
        <v>9</v>
      </c>
      <c r="B84" s="126"/>
      <c r="C84" s="126"/>
      <c r="D84" s="3"/>
      <c r="E84" s="3"/>
      <c r="F84" s="3"/>
    </row>
    <row r="85" spans="1:6" ht="15.75">
      <c r="A85" s="2">
        <v>10</v>
      </c>
      <c r="B85" s="127" t="s">
        <v>17</v>
      </c>
      <c r="C85" s="127"/>
      <c r="D85" s="31"/>
      <c r="E85" s="3"/>
      <c r="F85" s="3"/>
    </row>
    <row r="86" spans="1:6" ht="15.75">
      <c r="A86" s="2">
        <v>11</v>
      </c>
      <c r="B86" s="3"/>
      <c r="C86" s="3" t="s">
        <v>18</v>
      </c>
      <c r="D86" s="3"/>
      <c r="E86" s="5">
        <v>417997</v>
      </c>
      <c r="F86" s="3"/>
    </row>
    <row r="87" spans="1:6" ht="15.75">
      <c r="A87" s="2">
        <v>12</v>
      </c>
      <c r="B87" s="3"/>
      <c r="C87" s="3" t="s">
        <v>19</v>
      </c>
      <c r="D87" s="3"/>
      <c r="E87" s="5">
        <v>283519</v>
      </c>
      <c r="F87" s="3"/>
    </row>
    <row r="88" spans="1:6" ht="15.75">
      <c r="A88" s="2">
        <v>13</v>
      </c>
      <c r="B88" s="3"/>
      <c r="C88" s="3" t="s">
        <v>20</v>
      </c>
      <c r="D88" s="3"/>
      <c r="E88" s="5">
        <v>221158</v>
      </c>
      <c r="F88" s="3"/>
    </row>
    <row r="89" spans="1:6" ht="15.75">
      <c r="A89" s="2">
        <v>14</v>
      </c>
      <c r="B89" s="3"/>
      <c r="C89" s="3" t="s">
        <v>21</v>
      </c>
      <c r="D89" s="3"/>
      <c r="E89" s="5">
        <v>184091</v>
      </c>
      <c r="F89" s="3"/>
    </row>
    <row r="90" spans="1:6" ht="15.75">
      <c r="A90" s="2">
        <v>15</v>
      </c>
      <c r="B90" s="3"/>
      <c r="C90" s="3" t="s">
        <v>22</v>
      </c>
      <c r="D90" s="3"/>
      <c r="E90" s="5">
        <v>22558</v>
      </c>
      <c r="F90" s="3"/>
    </row>
    <row r="91" spans="1:6" ht="15.75">
      <c r="A91" s="2">
        <v>16</v>
      </c>
      <c r="B91" s="3"/>
      <c r="C91" s="3" t="s">
        <v>23</v>
      </c>
      <c r="D91" s="3"/>
      <c r="E91" s="3" t="s">
        <v>6</v>
      </c>
      <c r="F91" s="3"/>
    </row>
    <row r="92" spans="1:6" ht="15.75">
      <c r="A92" s="2">
        <v>17</v>
      </c>
      <c r="B92" s="3"/>
      <c r="C92" s="3" t="s">
        <v>24</v>
      </c>
      <c r="D92" s="3"/>
      <c r="E92" s="5">
        <v>57140</v>
      </c>
      <c r="F92" s="3"/>
    </row>
    <row r="93" spans="1:6" ht="15.75">
      <c r="A93" s="2">
        <v>18</v>
      </c>
      <c r="B93" s="3"/>
      <c r="C93" s="3" t="s">
        <v>25</v>
      </c>
      <c r="D93" s="3"/>
      <c r="E93" s="5">
        <v>21866</v>
      </c>
      <c r="F93" s="3"/>
    </row>
    <row r="94" spans="1:6" ht="15.75">
      <c r="A94" s="2">
        <v>19</v>
      </c>
      <c r="B94" s="3"/>
      <c r="C94" s="3" t="s">
        <v>26</v>
      </c>
      <c r="D94" s="3"/>
      <c r="E94" s="5">
        <v>-51345</v>
      </c>
      <c r="F94" s="3"/>
    </row>
    <row r="95" spans="1:6" ht="15.75">
      <c r="A95" s="2">
        <v>20</v>
      </c>
      <c r="B95" s="3"/>
      <c r="C95" s="3" t="s">
        <v>27</v>
      </c>
      <c r="D95" s="3"/>
      <c r="E95" s="6">
        <v>71355</v>
      </c>
      <c r="F95" s="3"/>
    </row>
    <row r="96" spans="1:6" ht="15.75">
      <c r="A96" s="2">
        <v>21</v>
      </c>
      <c r="B96" s="126"/>
      <c r="C96" s="126"/>
      <c r="D96" s="3"/>
      <c r="E96" s="3"/>
      <c r="F96" s="3"/>
    </row>
    <row r="97" spans="1:6" ht="15.75">
      <c r="A97" s="2">
        <v>22</v>
      </c>
      <c r="B97" s="3"/>
      <c r="C97" s="3" t="s">
        <v>28</v>
      </c>
      <c r="D97" s="3"/>
      <c r="E97" s="6">
        <v>1228340</v>
      </c>
      <c r="F97" s="4"/>
    </row>
    <row r="98" spans="1:6" ht="15.75">
      <c r="A98" s="2">
        <v>23</v>
      </c>
      <c r="B98" s="126"/>
      <c r="C98" s="126"/>
      <c r="D98" s="3"/>
      <c r="E98" s="32"/>
      <c r="F98" s="3"/>
    </row>
    <row r="99" spans="1:6" ht="15.75">
      <c r="A99" s="2">
        <v>24</v>
      </c>
      <c r="B99" s="127" t="s">
        <v>29</v>
      </c>
      <c r="C99" s="127"/>
      <c r="D99" s="31"/>
      <c r="E99" s="3"/>
      <c r="F99" s="3"/>
    </row>
    <row r="100" spans="1:6" ht="15.75">
      <c r="A100" s="2">
        <v>25</v>
      </c>
      <c r="B100" s="3"/>
      <c r="C100" s="3" t="s">
        <v>18</v>
      </c>
      <c r="D100" s="3"/>
      <c r="E100" s="5">
        <v>124492</v>
      </c>
      <c r="F100" s="4"/>
    </row>
    <row r="101" spans="1:6" ht="15.75">
      <c r="A101" s="2">
        <v>26</v>
      </c>
      <c r="B101" s="3"/>
      <c r="C101" s="3" t="s">
        <v>30</v>
      </c>
      <c r="D101" s="3"/>
      <c r="E101" s="5">
        <v>64762</v>
      </c>
      <c r="F101" s="3"/>
    </row>
    <row r="102" spans="1:6" ht="15.75">
      <c r="A102" s="2">
        <v>27</v>
      </c>
      <c r="B102" s="3"/>
      <c r="C102" s="3" t="s">
        <v>51</v>
      </c>
      <c r="D102" s="3"/>
      <c r="E102" s="5">
        <v>60532</v>
      </c>
      <c r="F102" s="3"/>
    </row>
    <row r="103" spans="1:6" ht="15.75">
      <c r="A103" s="2">
        <v>28</v>
      </c>
      <c r="B103" s="3"/>
      <c r="C103" s="3" t="s">
        <v>52</v>
      </c>
      <c r="D103" s="3"/>
      <c r="E103" s="5">
        <v>139471</v>
      </c>
      <c r="F103" s="3"/>
    </row>
    <row r="104" spans="1:6" ht="15.75">
      <c r="A104" s="2">
        <v>29</v>
      </c>
      <c r="B104" s="3"/>
      <c r="C104" s="3" t="s">
        <v>31</v>
      </c>
      <c r="D104" s="3"/>
      <c r="E104" s="5">
        <v>15060</v>
      </c>
      <c r="F104" s="3"/>
    </row>
    <row r="105" spans="1:6" ht="15.75">
      <c r="A105" s="2">
        <v>30</v>
      </c>
      <c r="B105" s="3"/>
      <c r="C105" s="3" t="s">
        <v>32</v>
      </c>
      <c r="D105" s="3"/>
      <c r="E105" s="5">
        <v>57011</v>
      </c>
      <c r="F105" s="3"/>
    </row>
    <row r="106" spans="1:6" ht="15.75">
      <c r="A106" s="2">
        <v>31</v>
      </c>
      <c r="B106" s="3"/>
      <c r="C106" s="3" t="s">
        <v>33</v>
      </c>
      <c r="D106" s="3"/>
      <c r="E106" s="5">
        <v>42559</v>
      </c>
      <c r="F106" s="3"/>
    </row>
    <row r="107" spans="1:6" ht="15.75">
      <c r="A107" s="2">
        <v>32</v>
      </c>
      <c r="B107" s="3"/>
      <c r="C107" s="3" t="s">
        <v>34</v>
      </c>
      <c r="D107" s="3"/>
      <c r="E107" s="5">
        <v>28793</v>
      </c>
      <c r="F107" s="3"/>
    </row>
    <row r="108" spans="1:6" ht="15.75">
      <c r="A108" s="2">
        <v>33</v>
      </c>
      <c r="B108" s="3"/>
      <c r="C108" s="3" t="s">
        <v>35</v>
      </c>
      <c r="D108" s="3"/>
      <c r="E108" s="3" t="s">
        <v>6</v>
      </c>
      <c r="F108" s="3"/>
    </row>
    <row r="109" spans="1:6" ht="15.75">
      <c r="A109" s="2">
        <v>34</v>
      </c>
      <c r="B109" s="3"/>
      <c r="C109" s="3" t="s">
        <v>36</v>
      </c>
      <c r="D109" s="3"/>
      <c r="E109" s="3" t="s">
        <v>6</v>
      </c>
      <c r="F109" s="3"/>
    </row>
    <row r="110" spans="1:6" ht="15.75">
      <c r="A110" s="2">
        <v>35</v>
      </c>
      <c r="B110" s="126"/>
      <c r="C110" s="126"/>
      <c r="D110" s="3"/>
      <c r="E110" s="7"/>
      <c r="F110" s="3"/>
    </row>
    <row r="111" spans="1:6" ht="15.75">
      <c r="A111" s="2">
        <v>36</v>
      </c>
      <c r="B111" s="3"/>
      <c r="C111" s="3" t="s">
        <v>28</v>
      </c>
      <c r="D111" s="3"/>
      <c r="E111" s="6">
        <v>532680</v>
      </c>
      <c r="F111" s="4"/>
    </row>
    <row r="112" spans="1:6" ht="15.75">
      <c r="A112" s="2">
        <v>37</v>
      </c>
      <c r="B112" s="126"/>
      <c r="C112" s="126"/>
      <c r="D112" s="3"/>
      <c r="E112" s="32"/>
      <c r="F112" s="3"/>
    </row>
    <row r="113" spans="1:6" ht="15.75">
      <c r="A113" s="2">
        <v>38</v>
      </c>
      <c r="B113" s="126" t="s">
        <v>37</v>
      </c>
      <c r="C113" s="126"/>
      <c r="D113" s="3"/>
      <c r="E113" s="5">
        <v>587501</v>
      </c>
      <c r="F113" s="3"/>
    </row>
    <row r="114" spans="1:6" ht="15.75">
      <c r="A114" s="2">
        <v>39</v>
      </c>
      <c r="B114" s="126" t="s">
        <v>38</v>
      </c>
      <c r="C114" s="126"/>
      <c r="D114" s="3"/>
      <c r="E114" s="5">
        <v>-4893</v>
      </c>
      <c r="F114" s="3"/>
    </row>
    <row r="115" spans="1:6" ht="15.75">
      <c r="A115" s="2">
        <v>40</v>
      </c>
      <c r="B115" s="126" t="s">
        <v>39</v>
      </c>
      <c r="C115" s="126"/>
      <c r="D115" s="3"/>
      <c r="E115" s="5">
        <v>680312</v>
      </c>
      <c r="F115" s="3"/>
    </row>
    <row r="116" spans="1:6" ht="15.75">
      <c r="A116" s="2">
        <v>41</v>
      </c>
      <c r="B116" s="126" t="s">
        <v>40</v>
      </c>
      <c r="C116" s="126"/>
      <c r="D116" s="3"/>
      <c r="E116" s="5">
        <v>-19345</v>
      </c>
      <c r="F116" s="3"/>
    </row>
    <row r="117" spans="1:6" ht="15.75">
      <c r="A117" s="2">
        <v>42</v>
      </c>
      <c r="B117" s="126" t="s">
        <v>41</v>
      </c>
      <c r="C117" s="126"/>
      <c r="D117" s="3"/>
      <c r="E117" s="5">
        <v>11493</v>
      </c>
      <c r="F117" s="3"/>
    </row>
    <row r="118" spans="1:6" ht="15.75">
      <c r="A118" s="2">
        <v>43</v>
      </c>
      <c r="B118" s="126" t="s">
        <v>42</v>
      </c>
      <c r="C118" s="126"/>
      <c r="D118" s="3"/>
      <c r="E118" s="5">
        <v>-1973</v>
      </c>
      <c r="F118" s="3"/>
    </row>
    <row r="119" spans="1:6" ht="15.75">
      <c r="A119" s="2">
        <v>44</v>
      </c>
      <c r="B119" s="126" t="s">
        <v>53</v>
      </c>
      <c r="C119" s="126"/>
      <c r="D119" s="3"/>
      <c r="E119" s="5">
        <v>-193761</v>
      </c>
      <c r="F119" s="3"/>
    </row>
    <row r="120" spans="1:6" ht="15.75">
      <c r="A120" s="2">
        <v>45</v>
      </c>
      <c r="B120" s="126"/>
      <c r="C120" s="126"/>
      <c r="D120" s="3"/>
      <c r="E120" s="7"/>
      <c r="F120" s="3"/>
    </row>
    <row r="121" spans="1:6" ht="15.75">
      <c r="A121" s="2">
        <v>46</v>
      </c>
      <c r="B121" s="3"/>
      <c r="C121" s="3" t="s">
        <v>2</v>
      </c>
      <c r="D121" s="3"/>
      <c r="E121" s="6">
        <v>1059333</v>
      </c>
      <c r="F121" s="4"/>
    </row>
    <row r="122" spans="1:6" ht="15.75">
      <c r="A122" s="2">
        <v>47</v>
      </c>
      <c r="B122" s="126"/>
      <c r="C122" s="126"/>
      <c r="D122" s="3"/>
      <c r="E122" s="32"/>
      <c r="F122" s="3"/>
    </row>
    <row r="123" spans="1:6" ht="15.75">
      <c r="A123" s="2">
        <v>48</v>
      </c>
      <c r="B123" s="126" t="s">
        <v>44</v>
      </c>
      <c r="C123" s="126"/>
      <c r="D123" s="3"/>
      <c r="E123" s="6">
        <v>2820352</v>
      </c>
      <c r="F123" s="4"/>
    </row>
    <row r="124" spans="1:6" ht="15.75">
      <c r="A124" s="2">
        <v>49</v>
      </c>
      <c r="B124" s="126"/>
      <c r="C124" s="126"/>
      <c r="D124" s="3"/>
      <c r="E124" s="32"/>
      <c r="F124" s="3"/>
    </row>
    <row r="125" spans="1:6" ht="15.75">
      <c r="A125" s="2">
        <v>50</v>
      </c>
      <c r="B125" s="127" t="s">
        <v>45</v>
      </c>
      <c r="C125" s="127"/>
      <c r="D125" s="31"/>
      <c r="E125" s="6">
        <v>-247319</v>
      </c>
      <c r="F125" s="4"/>
    </row>
    <row r="126" spans="1:6" ht="15.75">
      <c r="A126" s="2">
        <v>51</v>
      </c>
      <c r="B126" s="128"/>
      <c r="C126" s="128"/>
      <c r="D126" s="3"/>
      <c r="E126" s="32"/>
      <c r="F126" s="3"/>
    </row>
    <row r="127" spans="1:6" ht="15.75">
      <c r="A127" s="2">
        <v>52</v>
      </c>
      <c r="B127" s="126" t="s">
        <v>46</v>
      </c>
      <c r="C127" s="126"/>
      <c r="D127" s="3"/>
      <c r="E127" s="5">
        <v>-115833</v>
      </c>
      <c r="F127" s="3"/>
    </row>
    <row r="128" spans="1:6" ht="15.75">
      <c r="A128" s="2">
        <v>53</v>
      </c>
      <c r="B128" s="126" t="s">
        <v>47</v>
      </c>
      <c r="C128" s="126"/>
      <c r="D128" s="3"/>
      <c r="E128" s="5">
        <v>541964</v>
      </c>
      <c r="F128" s="3"/>
    </row>
    <row r="129" spans="1:6" ht="15.75">
      <c r="A129" s="2">
        <v>54</v>
      </c>
      <c r="B129" s="126" t="s">
        <v>48</v>
      </c>
      <c r="C129" s="126"/>
      <c r="D129" s="3"/>
      <c r="E129" s="5">
        <v>-13511</v>
      </c>
      <c r="F129" s="3"/>
    </row>
    <row r="130" spans="1:6" ht="15.75">
      <c r="A130" s="2">
        <v>55</v>
      </c>
      <c r="B130" s="126"/>
      <c r="C130" s="126"/>
      <c r="D130" s="3"/>
      <c r="E130" s="7"/>
      <c r="F130" s="3"/>
    </row>
    <row r="131" spans="1:6" ht="16.5" thickBot="1">
      <c r="A131" s="2">
        <v>56</v>
      </c>
      <c r="B131" s="126" t="s">
        <v>49</v>
      </c>
      <c r="C131" s="126"/>
      <c r="D131" s="3"/>
      <c r="E131" s="33">
        <v>-659939</v>
      </c>
      <c r="F131" s="4"/>
    </row>
    <row r="132" spans="1:6" ht="16.5" thickTop="1">
      <c r="A132" s="2"/>
      <c r="B132" s="126"/>
      <c r="C132" s="126"/>
      <c r="D132" s="3"/>
      <c r="E132" s="4"/>
      <c r="F132" s="3"/>
    </row>
    <row r="133" spans="1:6" ht="15.75">
      <c r="A133" s="1" t="s">
        <v>0</v>
      </c>
      <c r="B133" s="126"/>
      <c r="C133" s="126"/>
      <c r="D133" s="3"/>
      <c r="E133" s="3"/>
      <c r="F133" s="3"/>
    </row>
    <row r="134" spans="1:6" ht="15.75">
      <c r="A134" s="1" t="s">
        <v>54</v>
      </c>
      <c r="B134" s="129"/>
      <c r="C134" s="129"/>
      <c r="D134" s="1"/>
      <c r="E134" s="1"/>
      <c r="F134" s="1"/>
    </row>
    <row r="135" spans="1:6" ht="15.75">
      <c r="A135" s="1" t="s">
        <v>75</v>
      </c>
      <c r="B135" s="129"/>
      <c r="C135" s="129"/>
      <c r="D135" s="1"/>
      <c r="E135" s="1"/>
      <c r="F135" s="1"/>
    </row>
    <row r="136" spans="1:6" ht="15.75">
      <c r="A136" s="1"/>
      <c r="B136" s="129"/>
      <c r="C136" s="129"/>
      <c r="D136" s="1"/>
      <c r="E136" s="1"/>
      <c r="F136" s="1"/>
    </row>
    <row r="137" spans="1:6" ht="15.75">
      <c r="A137" s="2"/>
      <c r="B137" s="2"/>
      <c r="C137" s="2" t="s">
        <v>7</v>
      </c>
      <c r="D137" s="2"/>
      <c r="E137" s="2"/>
      <c r="F137" s="2"/>
    </row>
    <row r="138" spans="1:6" ht="15.75">
      <c r="A138" s="1"/>
      <c r="B138" s="129"/>
      <c r="C138" s="129"/>
      <c r="D138" s="1"/>
      <c r="E138" s="1"/>
      <c r="F138" s="1"/>
    </row>
    <row r="139" spans="1:6" ht="15.75">
      <c r="A139" s="2"/>
      <c r="B139" s="34"/>
      <c r="C139" s="34"/>
      <c r="D139" s="34"/>
      <c r="E139" s="2"/>
      <c r="F139" s="34"/>
    </row>
    <row r="140" spans="1:6" ht="15.75">
      <c r="A140" s="29" t="s">
        <v>9</v>
      </c>
      <c r="B140" s="34"/>
      <c r="C140" s="34"/>
      <c r="D140" s="34"/>
      <c r="E140" s="29"/>
      <c r="F140" s="34"/>
    </row>
    <row r="141" spans="1:6" ht="15.75">
      <c r="A141" s="2"/>
      <c r="B141" s="34"/>
      <c r="C141" s="34"/>
      <c r="D141" s="34"/>
      <c r="E141" s="34"/>
      <c r="F141" s="34"/>
    </row>
    <row r="142" spans="1:6" ht="15.75">
      <c r="A142" s="2">
        <v>1</v>
      </c>
      <c r="B142" s="127" t="s">
        <v>10</v>
      </c>
      <c r="C142" s="127"/>
      <c r="D142" s="31"/>
      <c r="E142" s="3"/>
      <c r="F142" s="3"/>
    </row>
    <row r="143" spans="1:6" ht="15.75">
      <c r="A143" s="2">
        <v>2</v>
      </c>
      <c r="B143" s="3"/>
      <c r="C143" s="3" t="s">
        <v>11</v>
      </c>
      <c r="D143" s="3"/>
      <c r="E143" s="3"/>
      <c r="F143" s="4"/>
    </row>
    <row r="144" spans="1:6" ht="15.75">
      <c r="A144" s="2">
        <v>3</v>
      </c>
      <c r="B144" s="3"/>
      <c r="C144" s="3" t="s">
        <v>12</v>
      </c>
      <c r="D144" s="3"/>
      <c r="E144" s="5">
        <v>2393870</v>
      </c>
      <c r="F144" s="4"/>
    </row>
    <row r="145" spans="1:6" ht="15.75">
      <c r="A145" s="2">
        <v>4</v>
      </c>
      <c r="B145" s="3"/>
      <c r="C145" s="3" t="s">
        <v>13</v>
      </c>
      <c r="D145" s="3"/>
      <c r="E145" s="3"/>
      <c r="F145" s="4"/>
    </row>
    <row r="146" spans="1:6" ht="15.75">
      <c r="A146" s="2">
        <v>5</v>
      </c>
      <c r="B146" s="3"/>
      <c r="C146" s="3" t="s">
        <v>14</v>
      </c>
      <c r="D146" s="3"/>
      <c r="E146" s="5">
        <v>30462</v>
      </c>
      <c r="F146" s="3"/>
    </row>
    <row r="147" spans="1:6" ht="15.75">
      <c r="A147" s="2">
        <v>6</v>
      </c>
      <c r="B147" s="3"/>
      <c r="C147" s="3" t="s">
        <v>15</v>
      </c>
      <c r="D147" s="3"/>
      <c r="E147" s="5">
        <v>-10618</v>
      </c>
      <c r="F147" s="3"/>
    </row>
    <row r="148" spans="1:6" ht="15.75">
      <c r="A148" s="2">
        <v>7</v>
      </c>
      <c r="B148" s="126"/>
      <c r="C148" s="126"/>
      <c r="D148" s="3"/>
      <c r="E148" s="7"/>
      <c r="F148" s="3"/>
    </row>
    <row r="149" spans="1:6" ht="15.75">
      <c r="A149" s="2">
        <v>8</v>
      </c>
      <c r="B149" s="126" t="s">
        <v>16</v>
      </c>
      <c r="C149" s="126"/>
      <c r="D149" s="3"/>
      <c r="E149" s="6">
        <v>2413713</v>
      </c>
      <c r="F149" s="4"/>
    </row>
    <row r="150" spans="1:6" ht="15.75">
      <c r="A150" s="2">
        <v>9</v>
      </c>
      <c r="B150" s="126"/>
      <c r="C150" s="126"/>
      <c r="D150" s="3"/>
      <c r="E150" s="3"/>
      <c r="F150" s="3"/>
    </row>
    <row r="151" spans="1:6" ht="15.75">
      <c r="A151" s="2">
        <v>10</v>
      </c>
      <c r="B151" s="127" t="s">
        <v>17</v>
      </c>
      <c r="C151" s="127"/>
      <c r="D151" s="31"/>
      <c r="E151" s="3"/>
      <c r="F151" s="3"/>
    </row>
    <row r="152" spans="1:6" ht="15.75">
      <c r="A152" s="2">
        <v>11</v>
      </c>
      <c r="B152" s="3"/>
      <c r="C152" s="3" t="s">
        <v>18</v>
      </c>
      <c r="D152" s="3"/>
      <c r="E152" s="5">
        <v>275707</v>
      </c>
      <c r="F152" s="3"/>
    </row>
    <row r="153" spans="1:6" ht="15.75">
      <c r="A153" s="2">
        <v>12</v>
      </c>
      <c r="B153" s="3"/>
      <c r="C153" s="3" t="s">
        <v>19</v>
      </c>
      <c r="D153" s="3"/>
      <c r="E153" s="3" t="s">
        <v>6</v>
      </c>
      <c r="F153" s="3"/>
    </row>
    <row r="154" spans="1:6" ht="15.75">
      <c r="A154" s="2">
        <v>13</v>
      </c>
      <c r="B154" s="3"/>
      <c r="C154" s="3" t="s">
        <v>20</v>
      </c>
      <c r="D154" s="3"/>
      <c r="E154" s="5">
        <v>145874</v>
      </c>
      <c r="F154" s="3"/>
    </row>
    <row r="155" spans="1:6" ht="15.75">
      <c r="A155" s="2">
        <v>14</v>
      </c>
      <c r="B155" s="3"/>
      <c r="C155" s="3" t="s">
        <v>21</v>
      </c>
      <c r="D155" s="3"/>
      <c r="E155" s="5">
        <v>139792</v>
      </c>
      <c r="F155" s="3"/>
    </row>
    <row r="156" spans="1:6" ht="15.75">
      <c r="A156" s="2">
        <v>15</v>
      </c>
      <c r="B156" s="3"/>
      <c r="C156" s="3" t="s">
        <v>22</v>
      </c>
      <c r="D156" s="3"/>
      <c r="E156" s="5">
        <v>14467</v>
      </c>
      <c r="F156" s="3"/>
    </row>
    <row r="157" spans="1:6" ht="15.75">
      <c r="A157" s="2">
        <v>16</v>
      </c>
      <c r="B157" s="3"/>
      <c r="C157" s="3" t="s">
        <v>23</v>
      </c>
      <c r="D157" s="3"/>
      <c r="E157" s="3" t="s">
        <v>6</v>
      </c>
      <c r="F157" s="3"/>
    </row>
    <row r="158" spans="1:6" ht="15.75">
      <c r="A158" s="2">
        <v>17</v>
      </c>
      <c r="B158" s="3"/>
      <c r="C158" s="3" t="s">
        <v>24</v>
      </c>
      <c r="D158" s="3"/>
      <c r="E158" s="5">
        <v>37689</v>
      </c>
      <c r="F158" s="3"/>
    </row>
    <row r="159" spans="1:6" ht="15.75">
      <c r="A159" s="2">
        <v>18</v>
      </c>
      <c r="B159" s="3"/>
      <c r="C159" s="3" t="s">
        <v>25</v>
      </c>
      <c r="D159" s="3"/>
      <c r="E159" s="5">
        <v>14423</v>
      </c>
      <c r="F159" s="3"/>
    </row>
    <row r="160" spans="1:6" ht="15.75">
      <c r="A160" s="2">
        <v>19</v>
      </c>
      <c r="B160" s="3"/>
      <c r="C160" s="3" t="s">
        <v>26</v>
      </c>
      <c r="D160" s="3"/>
      <c r="E160" s="5">
        <v>-33867</v>
      </c>
      <c r="F160" s="3"/>
    </row>
    <row r="161" spans="1:6" ht="15.75">
      <c r="A161" s="2">
        <v>20</v>
      </c>
      <c r="B161" s="3"/>
      <c r="C161" s="3" t="s">
        <v>27</v>
      </c>
      <c r="D161" s="3"/>
      <c r="E161" s="5">
        <v>47065</v>
      </c>
      <c r="F161" s="3"/>
    </row>
    <row r="162" spans="1:6" ht="15.75">
      <c r="A162" s="2">
        <v>21</v>
      </c>
      <c r="B162" s="126"/>
      <c r="C162" s="126"/>
      <c r="D162" s="3"/>
      <c r="E162" s="7"/>
      <c r="F162" s="3"/>
    </row>
    <row r="163" spans="1:6" ht="15.75">
      <c r="A163" s="2">
        <v>22</v>
      </c>
      <c r="B163" s="3"/>
      <c r="C163" s="3" t="s">
        <v>28</v>
      </c>
      <c r="D163" s="3"/>
      <c r="E163" s="6">
        <v>641151</v>
      </c>
      <c r="F163" s="4"/>
    </row>
    <row r="164" spans="1:6" ht="15.75">
      <c r="A164" s="2">
        <v>23</v>
      </c>
      <c r="B164" s="126"/>
      <c r="C164" s="126"/>
      <c r="D164" s="3"/>
      <c r="E164" s="32"/>
      <c r="F164" s="3"/>
    </row>
    <row r="165" spans="1:6" ht="15.75">
      <c r="A165" s="2">
        <v>24</v>
      </c>
      <c r="B165" s="127" t="s">
        <v>29</v>
      </c>
      <c r="C165" s="127"/>
      <c r="D165" s="31"/>
      <c r="E165" s="3"/>
      <c r="F165" s="3"/>
    </row>
    <row r="166" spans="1:6" ht="15.75">
      <c r="A166" s="2">
        <v>25</v>
      </c>
      <c r="B166" s="3"/>
      <c r="C166" s="3" t="s">
        <v>18</v>
      </c>
      <c r="D166" s="3"/>
      <c r="E166" s="5">
        <v>82114</v>
      </c>
      <c r="F166" s="4"/>
    </row>
    <row r="167" spans="1:6" ht="15.75">
      <c r="A167" s="2">
        <v>26</v>
      </c>
      <c r="B167" s="3"/>
      <c r="C167" s="3" t="s">
        <v>30</v>
      </c>
      <c r="D167" s="3"/>
      <c r="E167" s="5">
        <v>42716</v>
      </c>
      <c r="F167" s="3"/>
    </row>
    <row r="168" spans="1:6" ht="15.75">
      <c r="A168" s="2">
        <v>27</v>
      </c>
      <c r="B168" s="3"/>
      <c r="C168" s="3" t="s">
        <v>51</v>
      </c>
      <c r="D168" s="3"/>
      <c r="E168" s="5">
        <v>40355</v>
      </c>
      <c r="F168" s="3"/>
    </row>
    <row r="169" spans="1:6" ht="15.75">
      <c r="A169" s="2">
        <v>28</v>
      </c>
      <c r="B169" s="3"/>
      <c r="C169" s="3" t="s">
        <v>52</v>
      </c>
      <c r="D169" s="3"/>
      <c r="E169" s="5">
        <v>91994</v>
      </c>
      <c r="F169" s="3"/>
    </row>
    <row r="170" spans="1:6" ht="15.75">
      <c r="A170" s="2">
        <v>29</v>
      </c>
      <c r="B170" s="3"/>
      <c r="C170" s="3" t="s">
        <v>31</v>
      </c>
      <c r="D170" s="3"/>
      <c r="E170" s="5">
        <v>9934</v>
      </c>
      <c r="F170" s="3"/>
    </row>
    <row r="171" spans="1:6" ht="15.75">
      <c r="A171" s="2">
        <v>30</v>
      </c>
      <c r="B171" s="3"/>
      <c r="C171" s="3" t="s">
        <v>32</v>
      </c>
      <c r="D171" s="3"/>
      <c r="E171" s="5">
        <v>37604</v>
      </c>
      <c r="F171" s="3"/>
    </row>
    <row r="172" spans="1:6" ht="15.75">
      <c r="A172" s="2">
        <v>31</v>
      </c>
      <c r="B172" s="3"/>
      <c r="C172" s="3" t="s">
        <v>33</v>
      </c>
      <c r="D172" s="3"/>
      <c r="E172" s="5">
        <v>28072</v>
      </c>
      <c r="F172" s="3"/>
    </row>
    <row r="173" spans="1:6" ht="15.75">
      <c r="A173" s="2">
        <v>32</v>
      </c>
      <c r="B173" s="3"/>
      <c r="C173" s="3" t="s">
        <v>34</v>
      </c>
      <c r="D173" s="3"/>
      <c r="E173" s="5">
        <v>18992</v>
      </c>
      <c r="F173" s="3"/>
    </row>
    <row r="174" spans="1:6" ht="15.75">
      <c r="A174" s="2">
        <v>33</v>
      </c>
      <c r="B174" s="3"/>
      <c r="C174" s="3" t="s">
        <v>35</v>
      </c>
      <c r="D174" s="3"/>
      <c r="E174" s="3" t="s">
        <v>6</v>
      </c>
      <c r="F174" s="3"/>
    </row>
    <row r="175" spans="1:6" ht="15.75">
      <c r="A175" s="2">
        <v>34</v>
      </c>
      <c r="B175" s="3"/>
      <c r="C175" s="3" t="s">
        <v>36</v>
      </c>
      <c r="D175" s="3"/>
      <c r="E175" s="3" t="s">
        <v>6</v>
      </c>
      <c r="F175" s="3"/>
    </row>
    <row r="176" spans="1:6" ht="15.75">
      <c r="A176" s="2">
        <v>35</v>
      </c>
      <c r="B176" s="126"/>
      <c r="C176" s="126"/>
      <c r="D176" s="3"/>
      <c r="E176" s="7"/>
      <c r="F176" s="3"/>
    </row>
    <row r="177" spans="1:6" ht="15.75">
      <c r="A177" s="2">
        <v>36</v>
      </c>
      <c r="B177" s="3"/>
      <c r="C177" s="3" t="s">
        <v>28</v>
      </c>
      <c r="D177" s="3"/>
      <c r="E177" s="6">
        <v>351779</v>
      </c>
      <c r="F177" s="4"/>
    </row>
    <row r="178" spans="1:6" ht="15.75">
      <c r="A178" s="2">
        <v>37</v>
      </c>
      <c r="B178" s="126"/>
      <c r="C178" s="126"/>
      <c r="D178" s="3"/>
      <c r="E178" s="32"/>
      <c r="F178" s="3"/>
    </row>
    <row r="179" spans="1:6" ht="15.75">
      <c r="A179" s="2">
        <v>38</v>
      </c>
      <c r="B179" s="126" t="s">
        <v>37</v>
      </c>
      <c r="C179" s="126"/>
      <c r="D179" s="3"/>
      <c r="E179" s="5">
        <v>925208</v>
      </c>
      <c r="F179" s="3"/>
    </row>
    <row r="180" spans="1:6" ht="15.75">
      <c r="A180" s="2">
        <v>39</v>
      </c>
      <c r="B180" s="126" t="s">
        <v>38</v>
      </c>
      <c r="C180" s="126"/>
      <c r="D180" s="3"/>
      <c r="E180" s="5">
        <v>-3228</v>
      </c>
      <c r="F180" s="3"/>
    </row>
    <row r="181" spans="1:6" ht="15.75">
      <c r="A181" s="2">
        <v>40</v>
      </c>
      <c r="B181" s="126" t="s">
        <v>39</v>
      </c>
      <c r="C181" s="126"/>
      <c r="D181" s="3"/>
      <c r="E181" s="5">
        <v>448728</v>
      </c>
      <c r="F181" s="3"/>
    </row>
    <row r="182" spans="1:6" ht="15.75">
      <c r="A182" s="2">
        <v>41</v>
      </c>
      <c r="B182" s="126" t="s">
        <v>40</v>
      </c>
      <c r="C182" s="126"/>
      <c r="D182" s="3"/>
      <c r="E182" s="5">
        <v>-26256</v>
      </c>
      <c r="F182" s="3"/>
    </row>
    <row r="183" spans="1:6" ht="15.75">
      <c r="A183" s="2">
        <v>42</v>
      </c>
      <c r="B183" s="126" t="s">
        <v>41</v>
      </c>
      <c r="C183" s="126"/>
      <c r="D183" s="3"/>
      <c r="E183" s="5">
        <v>16512</v>
      </c>
      <c r="F183" s="3"/>
    </row>
    <row r="184" spans="1:6" ht="15.75">
      <c r="A184" s="2">
        <v>43</v>
      </c>
      <c r="B184" s="126" t="s">
        <v>42</v>
      </c>
      <c r="C184" s="126"/>
      <c r="D184" s="3"/>
      <c r="E184" s="5">
        <v>-1301</v>
      </c>
      <c r="F184" s="3"/>
    </row>
    <row r="185" spans="1:6" ht="15.75">
      <c r="A185" s="2">
        <v>44</v>
      </c>
      <c r="B185" s="126" t="s">
        <v>53</v>
      </c>
      <c r="C185" s="126"/>
      <c r="D185" s="3"/>
      <c r="E185" s="5">
        <v>-42903</v>
      </c>
      <c r="F185" s="3"/>
    </row>
    <row r="186" spans="1:6" ht="15.75">
      <c r="A186" s="2">
        <v>45</v>
      </c>
      <c r="B186" s="126"/>
      <c r="C186" s="126"/>
      <c r="D186" s="3"/>
      <c r="E186" s="7"/>
      <c r="F186" s="3"/>
    </row>
    <row r="187" spans="1:6" ht="15.75">
      <c r="A187" s="2">
        <v>46</v>
      </c>
      <c r="B187" s="3"/>
      <c r="C187" s="3" t="s">
        <v>2</v>
      </c>
      <c r="D187" s="3"/>
      <c r="E187" s="6">
        <v>1316759</v>
      </c>
      <c r="F187" s="4"/>
    </row>
    <row r="188" spans="1:6" ht="15.75">
      <c r="A188" s="2">
        <v>47</v>
      </c>
      <c r="B188" s="126"/>
      <c r="C188" s="126"/>
      <c r="D188" s="3"/>
      <c r="E188" s="32"/>
      <c r="F188" s="3"/>
    </row>
    <row r="189" spans="1:6" ht="15.75">
      <c r="A189" s="2">
        <v>48</v>
      </c>
      <c r="B189" s="126" t="s">
        <v>44</v>
      </c>
      <c r="C189" s="126"/>
      <c r="D189" s="3"/>
      <c r="E189" s="6">
        <v>2309690</v>
      </c>
      <c r="F189" s="4"/>
    </row>
    <row r="190" spans="1:6" ht="15.75">
      <c r="A190" s="2">
        <v>49</v>
      </c>
      <c r="B190" s="126"/>
      <c r="C190" s="126"/>
      <c r="D190" s="3"/>
      <c r="E190" s="32"/>
      <c r="F190" s="3"/>
    </row>
    <row r="191" spans="1:6" ht="15.75">
      <c r="A191" s="2">
        <v>50</v>
      </c>
      <c r="B191" s="127" t="s">
        <v>45</v>
      </c>
      <c r="C191" s="127"/>
      <c r="D191" s="31"/>
      <c r="E191" s="31"/>
      <c r="F191" s="4"/>
    </row>
    <row r="192" spans="1:6" ht="15.75">
      <c r="A192" s="2">
        <v>51</v>
      </c>
      <c r="B192" s="128"/>
      <c r="C192" s="128"/>
      <c r="D192" s="3"/>
      <c r="E192" s="32"/>
      <c r="F192" s="3"/>
    </row>
    <row r="193" spans="1:6" ht="15.75">
      <c r="A193" s="2">
        <v>52</v>
      </c>
      <c r="B193" s="126" t="s">
        <v>46</v>
      </c>
      <c r="C193" s="126"/>
      <c r="D193" s="3"/>
      <c r="E193" s="5">
        <v>-76402</v>
      </c>
      <c r="F193" s="3"/>
    </row>
    <row r="194" spans="1:6" ht="15.75">
      <c r="A194" s="2">
        <v>53</v>
      </c>
      <c r="B194" s="126" t="s">
        <v>47</v>
      </c>
      <c r="C194" s="126"/>
      <c r="D194" s="3"/>
      <c r="E194" s="5">
        <v>357475</v>
      </c>
      <c r="F194" s="3"/>
    </row>
    <row r="195" spans="1:6" ht="15.75">
      <c r="A195" s="2">
        <v>54</v>
      </c>
      <c r="B195" s="126" t="s">
        <v>48</v>
      </c>
      <c r="C195" s="126"/>
      <c r="D195" s="3"/>
      <c r="E195" s="5">
        <v>-8912</v>
      </c>
      <c r="F195" s="3"/>
    </row>
    <row r="196" spans="1:6" ht="15.75">
      <c r="A196" s="2">
        <v>55</v>
      </c>
      <c r="B196" s="126"/>
      <c r="C196" s="126"/>
      <c r="D196" s="3"/>
      <c r="E196" s="7"/>
      <c r="F196" s="3"/>
    </row>
    <row r="197" spans="1:6" ht="16.5" thickBot="1">
      <c r="A197" s="2">
        <v>56</v>
      </c>
      <c r="B197" s="126" t="s">
        <v>49</v>
      </c>
      <c r="C197" s="126"/>
      <c r="D197" s="3"/>
      <c r="E197" s="33">
        <v>-168137</v>
      </c>
      <c r="F197" s="4"/>
    </row>
    <row r="198" spans="1:6" ht="16.5" thickTop="1">
      <c r="A198" s="2"/>
      <c r="B198" s="126"/>
      <c r="C198" s="126"/>
      <c r="D198" s="3"/>
      <c r="E198" s="4"/>
      <c r="F198" s="3"/>
    </row>
  </sheetData>
  <mergeCells count="102">
    <mergeCell ref="B1:C1"/>
    <mergeCell ref="B2:C2"/>
    <mergeCell ref="B3:C3"/>
    <mergeCell ref="B4:C4"/>
    <mergeCell ref="B6:C6"/>
    <mergeCell ref="B10:C10"/>
    <mergeCell ref="B33:C33"/>
    <mergeCell ref="B44:C44"/>
    <mergeCell ref="B46:C46"/>
    <mergeCell ref="B47:C47"/>
    <mergeCell ref="B48:C48"/>
    <mergeCell ref="B49:C49"/>
    <mergeCell ref="B16:C16"/>
    <mergeCell ref="B17:C17"/>
    <mergeCell ref="B18:C18"/>
    <mergeCell ref="B19:C19"/>
    <mergeCell ref="B30:C30"/>
    <mergeCell ref="B32:C32"/>
    <mergeCell ref="B57:C57"/>
    <mergeCell ref="B58:C58"/>
    <mergeCell ref="B59:C59"/>
    <mergeCell ref="B60:C60"/>
    <mergeCell ref="B61:C61"/>
    <mergeCell ref="B62:C62"/>
    <mergeCell ref="B50:C50"/>
    <mergeCell ref="B51:C51"/>
    <mergeCell ref="B52:C52"/>
    <mergeCell ref="B53:C53"/>
    <mergeCell ref="B54:C54"/>
    <mergeCell ref="B56:C56"/>
    <mergeCell ref="B69:C69"/>
    <mergeCell ref="B70:C70"/>
    <mergeCell ref="B72:C72"/>
    <mergeCell ref="B76:C76"/>
    <mergeCell ref="B82:C82"/>
    <mergeCell ref="B83:C83"/>
    <mergeCell ref="B63:C63"/>
    <mergeCell ref="B64:C64"/>
    <mergeCell ref="B65:C65"/>
    <mergeCell ref="B66:C66"/>
    <mergeCell ref="B67:C67"/>
    <mergeCell ref="B68:C68"/>
    <mergeCell ref="B112:C112"/>
    <mergeCell ref="B113:C113"/>
    <mergeCell ref="B114:C114"/>
    <mergeCell ref="B115:C115"/>
    <mergeCell ref="B116:C116"/>
    <mergeCell ref="B117:C117"/>
    <mergeCell ref="B84:C84"/>
    <mergeCell ref="B85:C85"/>
    <mergeCell ref="B96:C96"/>
    <mergeCell ref="B98:C98"/>
    <mergeCell ref="B99:C99"/>
    <mergeCell ref="B110:C110"/>
    <mergeCell ref="B125:C125"/>
    <mergeCell ref="B126:C126"/>
    <mergeCell ref="B127:C127"/>
    <mergeCell ref="B128:C128"/>
    <mergeCell ref="B129:C129"/>
    <mergeCell ref="B130:C130"/>
    <mergeCell ref="B118:C118"/>
    <mergeCell ref="B119:C119"/>
    <mergeCell ref="B120:C120"/>
    <mergeCell ref="B122:C122"/>
    <mergeCell ref="B123:C123"/>
    <mergeCell ref="B124:C124"/>
    <mergeCell ref="B138:C138"/>
    <mergeCell ref="B142:C142"/>
    <mergeCell ref="B148:C148"/>
    <mergeCell ref="B149:C149"/>
    <mergeCell ref="B150:C150"/>
    <mergeCell ref="B151:C151"/>
    <mergeCell ref="B131:C131"/>
    <mergeCell ref="B132:C132"/>
    <mergeCell ref="B133:C133"/>
    <mergeCell ref="B134:C134"/>
    <mergeCell ref="B135:C135"/>
    <mergeCell ref="B136:C136"/>
    <mergeCell ref="B180:C180"/>
    <mergeCell ref="B181:C181"/>
    <mergeCell ref="B182:C182"/>
    <mergeCell ref="B183:C183"/>
    <mergeCell ref="B184:C184"/>
    <mergeCell ref="B185:C185"/>
    <mergeCell ref="B162:C162"/>
    <mergeCell ref="B164:C164"/>
    <mergeCell ref="B165:C165"/>
    <mergeCell ref="B176:C176"/>
    <mergeCell ref="B178:C178"/>
    <mergeCell ref="B179:C179"/>
    <mergeCell ref="B193:C193"/>
    <mergeCell ref="B194:C194"/>
    <mergeCell ref="B195:C195"/>
    <mergeCell ref="B196:C196"/>
    <mergeCell ref="B197:C197"/>
    <mergeCell ref="B198:C198"/>
    <mergeCell ref="B186:C186"/>
    <mergeCell ref="B188:C188"/>
    <mergeCell ref="B189:C189"/>
    <mergeCell ref="B190:C190"/>
    <mergeCell ref="B191:C191"/>
    <mergeCell ref="B192:C19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3F41-7BAE-44E4-A6A1-4BD43D2140E2}">
  <dimension ref="B1:J9"/>
  <sheetViews>
    <sheetView workbookViewId="0">
      <selection activeCell="F8" sqref="F8"/>
    </sheetView>
  </sheetViews>
  <sheetFormatPr defaultRowHeight="15"/>
  <cols>
    <col min="3" max="3" width="18" customWidth="1"/>
    <col min="4" max="4" width="13.7109375" bestFit="1" customWidth="1"/>
    <col min="6" max="6" width="13.7109375" bestFit="1" customWidth="1"/>
    <col min="7" max="7" width="8.5703125" bestFit="1" customWidth="1"/>
    <col min="8" max="8" width="13.7109375" bestFit="1" customWidth="1"/>
    <col min="9" max="9" width="9.140625" bestFit="1" customWidth="1"/>
    <col min="10" max="10" width="11.5703125" bestFit="1" customWidth="1"/>
  </cols>
  <sheetData>
    <row r="1" spans="2:10">
      <c r="B1" s="79" t="s">
        <v>134</v>
      </c>
    </row>
    <row r="2" spans="2:10">
      <c r="D2" s="44">
        <v>2022</v>
      </c>
      <c r="E2" s="44"/>
      <c r="F2" s="44">
        <v>2023</v>
      </c>
      <c r="G2" s="44"/>
      <c r="H2" s="44">
        <v>2024</v>
      </c>
      <c r="J2">
        <v>2025</v>
      </c>
    </row>
    <row r="3" spans="2:10">
      <c r="C3" t="s">
        <v>133</v>
      </c>
      <c r="D3" s="46">
        <v>281666.73804579832</v>
      </c>
      <c r="E3" s="46"/>
      <c r="F3" s="46">
        <v>1356949.3443497294</v>
      </c>
      <c r="G3" s="46"/>
      <c r="H3" s="46">
        <v>249092.7017435274</v>
      </c>
      <c r="I3" s="46"/>
      <c r="J3" s="46">
        <v>250313.34240000002</v>
      </c>
    </row>
    <row r="4" spans="2:10">
      <c r="C4" t="s">
        <v>114</v>
      </c>
      <c r="D4" s="46">
        <v>16580.66</v>
      </c>
      <c r="E4" s="46"/>
      <c r="F4" s="46"/>
      <c r="G4" s="46"/>
      <c r="H4" s="46"/>
      <c r="I4" s="46"/>
      <c r="J4" s="46"/>
    </row>
    <row r="5" spans="2:10">
      <c r="C5" t="s">
        <v>141</v>
      </c>
      <c r="D5" s="46">
        <f>(D3-D4)/9*6</f>
        <v>176724.05203053221</v>
      </c>
      <c r="E5" s="46"/>
      <c r="F5" s="46">
        <f>F3</f>
        <v>1356949.3443497294</v>
      </c>
      <c r="G5" s="46"/>
      <c r="H5" s="46">
        <f>H3</f>
        <v>249092.7017435274</v>
      </c>
      <c r="I5" s="46"/>
      <c r="J5" s="46">
        <f>J3</f>
        <v>250313.34240000002</v>
      </c>
    </row>
    <row r="6" spans="2:10">
      <c r="D6" s="46"/>
      <c r="E6" s="46"/>
      <c r="F6" s="46"/>
      <c r="G6" s="46"/>
      <c r="H6" s="46"/>
      <c r="I6" s="46"/>
      <c r="J6" s="46"/>
    </row>
    <row r="7" spans="2:10">
      <c r="D7" s="46"/>
      <c r="E7" s="46"/>
      <c r="F7" s="46"/>
      <c r="G7" s="46"/>
      <c r="H7" s="46"/>
      <c r="I7" s="46"/>
      <c r="J7" s="46"/>
    </row>
    <row r="8" spans="2:10">
      <c r="C8" t="s">
        <v>115</v>
      </c>
      <c r="D8" s="46">
        <v>-4087</v>
      </c>
      <c r="E8" s="46"/>
      <c r="F8" s="46">
        <v>-49366</v>
      </c>
      <c r="G8" s="46"/>
      <c r="H8" s="46">
        <v>-4672</v>
      </c>
      <c r="I8" s="46"/>
      <c r="J8" s="46">
        <f>H8</f>
        <v>-4672</v>
      </c>
    </row>
    <row r="9" spans="2:10">
      <c r="D9" t="s">
        <v>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0E6C50716BFC40BF67FFB0DB8DCAB1" ma:contentTypeVersion="11" ma:contentTypeDescription="Create a new document." ma:contentTypeScope="" ma:versionID="1b9002d694ddee4997dae11220d103b5">
  <xsd:schema xmlns:xsd="http://www.w3.org/2001/XMLSchema" xmlns:xs="http://www.w3.org/2001/XMLSchema" xmlns:p="http://schemas.microsoft.com/office/2006/metadata/properties" xmlns:ns2="e61568b1-c106-4d70-abab-16fd7af8c238" xmlns:ns3="0343ffb1-f659-47b9-8c3f-42d21e4ec3a0" targetNamespace="http://schemas.microsoft.com/office/2006/metadata/properties" ma:root="true" ma:fieldsID="045163a031dcb388ff49906fb25efbbc" ns2:_="" ns3:_="">
    <xsd:import namespace="e61568b1-c106-4d70-abab-16fd7af8c238"/>
    <xsd:import namespace="0343ffb1-f659-47b9-8c3f-42d21e4ec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1568b1-c106-4d70-abab-16fd7af8c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897d326-6b4f-4e9a-8799-b3e387ea2c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3ffb1-f659-47b9-8c3f-42d21e4ec3a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61568b1-c106-4d70-abab-16fd7af8c23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1F4FB5-E963-4801-A83A-C9ED052F3B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BF4424-51A3-44C1-B751-5484EB276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1568b1-c106-4d70-abab-16fd7af8c238"/>
    <ds:schemaRef ds:uri="0343ffb1-f659-47b9-8c3f-42d21e4ec3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6237CFD-36CE-4EB1-BCDB-DB2BFBC25F3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61568b1-c106-4d70-abab-16fd7af8c23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Cash flow</vt:lpstr>
      <vt:lpstr>Balance Sheet</vt:lpstr>
      <vt:lpstr>IS</vt:lpstr>
      <vt:lpstr>2020 IS</vt:lpstr>
      <vt:lpstr>Data for balance sheet</vt:lpstr>
      <vt:lpstr>'Balance Sheet'!Print_Area</vt:lpstr>
      <vt:lpstr>'Cash flow'!Print_Area</vt:lpstr>
      <vt:lpstr>IS!Print_Area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James Kilbane</dc:creator>
  <cp:keywords/>
  <dc:description/>
  <cp:lastModifiedBy>Dante Destefano</cp:lastModifiedBy>
  <cp:revision/>
  <dcterms:created xsi:type="dcterms:W3CDTF">2021-12-01T16:30:39Z</dcterms:created>
  <dcterms:modified xsi:type="dcterms:W3CDTF">2022-06-26T18:46:16Z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0x010100180E6C50716BFC40BF67FFB0DB8DCAB1</vt:lpwstr>
  </property>
  <property fmtid="{D5CDD505-2E9C-101B-9397-08002B2CF9AE}" pid="3" name="{A44787D4-0540-4523-9961-78E4036D8C6D}">
    <vt:lpwstr>{E1FE68A7-E9B8-469C-96CF-011F83D1DE26}</vt:lpwstr>
  </property>
  <property fmtid="{D5CDD505-2E9C-101B-9397-08002B2CF9AE}" pid="4" name="MediaServiceImageTags">
    <vt:lpwstr/>
  </property>
</Properties>
</file>