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DR 49 Excel template spreadsheets/"/>
    </mc:Choice>
  </mc:AlternateContent>
  <xr:revisionPtr revIDLastSave="355" documentId="8_{50D597A7-25F8-4C1E-8EC0-8D9F0793E79D}" xr6:coauthVersionLast="47" xr6:coauthVersionMax="47" xr10:uidLastSave="{9C6649C7-E5C2-494D-A289-98B5209CDAB3}"/>
  <bookViews>
    <workbookView xWindow="28680" yWindow="-120" windowWidth="29040" windowHeight="15840" xr2:uid="{EF526BCF-38E8-4AF3-953F-64A41BBEF238}"/>
  </bookViews>
  <sheets>
    <sheet name="Exh 38" sheetId="7" r:id="rId1"/>
  </sheets>
  <definedNames>
    <definedName name="_xlnm.Print_Area" localSheetId="0">'Exh 38'!$A$1:$O$121</definedName>
    <definedName name="_xlnm.Print_Titles" localSheetId="0">'Exh 38'!$1:$6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3" i="7" l="1"/>
  <c r="R53" i="7"/>
  <c r="Q63" i="7"/>
  <c r="Q71" i="7" s="1"/>
  <c r="R63" i="7"/>
  <c r="Q69" i="7"/>
  <c r="R69" i="7"/>
  <c r="R71" i="7" s="1"/>
  <c r="Q107" i="7"/>
  <c r="Q110" i="7"/>
  <c r="R120" i="7"/>
  <c r="D117" i="7"/>
  <c r="C120" i="7"/>
  <c r="D121" i="7" s="1"/>
  <c r="D116" i="7"/>
  <c r="D115" i="7"/>
  <c r="C112" i="7"/>
  <c r="C107" i="7"/>
  <c r="C102" i="7"/>
  <c r="C69" i="7"/>
  <c r="C71" i="7" s="1"/>
  <c r="C53" i="7"/>
  <c r="C50" i="7"/>
  <c r="Q120" i="7" l="1"/>
  <c r="M117" i="7"/>
  <c r="L117" i="7"/>
  <c r="K117" i="7"/>
  <c r="J117" i="7"/>
  <c r="I117" i="7"/>
  <c r="H117" i="7"/>
  <c r="G117" i="7"/>
  <c r="F117" i="7"/>
  <c r="D119" i="7"/>
  <c r="L59" i="7"/>
  <c r="K59" i="7"/>
  <c r="K63" i="7" s="1"/>
  <c r="E59" i="7"/>
  <c r="E63" i="7" s="1"/>
  <c r="I59" i="7"/>
  <c r="M59" i="7"/>
  <c r="D50" i="7"/>
  <c r="D53" i="7" s="1"/>
  <c r="E50" i="7"/>
  <c r="E53" i="7" s="1"/>
  <c r="F50" i="7"/>
  <c r="F53" i="7" s="1"/>
  <c r="G50" i="7"/>
  <c r="H50" i="7"/>
  <c r="H53" i="7" s="1"/>
  <c r="I50" i="7"/>
  <c r="I53" i="7" s="1"/>
  <c r="J50" i="7"/>
  <c r="J53" i="7" s="1"/>
  <c r="K50" i="7"/>
  <c r="L50" i="7"/>
  <c r="L53" i="7" s="1"/>
  <c r="M50" i="7"/>
  <c r="M53" i="7" s="1"/>
  <c r="G53" i="7"/>
  <c r="K53" i="7"/>
  <c r="D69" i="7"/>
  <c r="E69" i="7"/>
  <c r="F69" i="7"/>
  <c r="G69" i="7"/>
  <c r="H69" i="7"/>
  <c r="I69" i="7"/>
  <c r="J69" i="7"/>
  <c r="K69" i="7"/>
  <c r="L69" i="7"/>
  <c r="M69" i="7"/>
  <c r="D63" i="7"/>
  <c r="F63" i="7"/>
  <c r="G63" i="7"/>
  <c r="H63" i="7"/>
  <c r="J63" i="7"/>
  <c r="L63" i="7"/>
  <c r="M63" i="7"/>
  <c r="I58" i="7"/>
  <c r="M89" i="7"/>
  <c r="M95" i="7" s="1"/>
  <c r="M112" i="7" s="1"/>
  <c r="M78" i="7"/>
  <c r="L78" i="7"/>
  <c r="K78" i="7"/>
  <c r="J78" i="7"/>
  <c r="I78" i="7"/>
  <c r="H78" i="7"/>
  <c r="G78" i="7"/>
  <c r="F78" i="7"/>
  <c r="E78" i="7"/>
  <c r="D78" i="7"/>
  <c r="E84" i="7"/>
  <c r="F84" i="7"/>
  <c r="G84" i="7"/>
  <c r="H84" i="7"/>
  <c r="I84" i="7"/>
  <c r="J84" i="7"/>
  <c r="K84" i="7"/>
  <c r="L84" i="7"/>
  <c r="M84" i="7"/>
  <c r="N84" i="7"/>
  <c r="O84" i="7"/>
  <c r="D84" i="7"/>
  <c r="D107" i="7"/>
  <c r="E107" i="7"/>
  <c r="F107" i="7"/>
  <c r="G107" i="7"/>
  <c r="H107" i="7"/>
  <c r="I107" i="7"/>
  <c r="J107" i="7"/>
  <c r="K107" i="7"/>
  <c r="L107" i="7"/>
  <c r="M107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D95" i="7"/>
  <c r="E95" i="7"/>
  <c r="F95" i="7"/>
  <c r="G95" i="7"/>
  <c r="H95" i="7"/>
  <c r="I95" i="7"/>
  <c r="J95" i="7"/>
  <c r="K95" i="7"/>
  <c r="L95" i="7"/>
  <c r="N95" i="7"/>
  <c r="O50" i="7"/>
  <c r="N69" i="7"/>
  <c r="O69" i="7"/>
  <c r="D36" i="7"/>
  <c r="E36" i="7"/>
  <c r="F36" i="7"/>
  <c r="G36" i="7"/>
  <c r="H36" i="7"/>
  <c r="I36" i="7"/>
  <c r="J36" i="7"/>
  <c r="K36" i="7"/>
  <c r="L36" i="7"/>
  <c r="M36" i="7"/>
  <c r="N36" i="7"/>
  <c r="O36" i="7"/>
  <c r="D42" i="7"/>
  <c r="E42" i="7"/>
  <c r="F42" i="7"/>
  <c r="G42" i="7"/>
  <c r="H42" i="7"/>
  <c r="O42" i="7"/>
  <c r="N42" i="7"/>
  <c r="M42" i="7"/>
  <c r="L42" i="7"/>
  <c r="K42" i="7"/>
  <c r="J42" i="7"/>
  <c r="I42" i="7"/>
  <c r="O30" i="7"/>
  <c r="N30" i="7"/>
  <c r="M30" i="7"/>
  <c r="L30" i="7"/>
  <c r="K30" i="7"/>
  <c r="J30" i="7"/>
  <c r="I30" i="7"/>
  <c r="M21" i="7"/>
  <c r="L21" i="7"/>
  <c r="K21" i="7"/>
  <c r="J21" i="7"/>
  <c r="I21" i="7"/>
  <c r="M14" i="7"/>
  <c r="M15" i="7" s="1"/>
  <c r="L14" i="7"/>
  <c r="L15" i="7" s="1"/>
  <c r="K14" i="7"/>
  <c r="K15" i="7" s="1"/>
  <c r="J14" i="7"/>
  <c r="J15" i="7" s="1"/>
  <c r="I14" i="7"/>
  <c r="I15" i="7" s="1"/>
  <c r="O11" i="7"/>
  <c r="O10" i="7" s="1"/>
  <c r="O15" i="7" s="1"/>
  <c r="O17" i="7" s="1"/>
  <c r="O21" i="7" s="1"/>
  <c r="N11" i="7"/>
  <c r="E11" i="7"/>
  <c r="E117" i="7" s="1"/>
  <c r="F14" i="7"/>
  <c r="E14" i="7"/>
  <c r="D14" i="7"/>
  <c r="G14" i="7"/>
  <c r="H14" i="7"/>
  <c r="O89" i="7"/>
  <c r="E112" i="7" l="1"/>
  <c r="D120" i="7"/>
  <c r="E71" i="7"/>
  <c r="F112" i="7"/>
  <c r="O117" i="7"/>
  <c r="M71" i="7"/>
  <c r="M124" i="7" s="1"/>
  <c r="N10" i="7"/>
  <c r="J71" i="7"/>
  <c r="G71" i="7"/>
  <c r="H71" i="7"/>
  <c r="K71" i="7"/>
  <c r="I63" i="7"/>
  <c r="I71" i="7" s="1"/>
  <c r="F71" i="7"/>
  <c r="F124" i="7" s="1"/>
  <c r="L71" i="7"/>
  <c r="D71" i="7"/>
  <c r="I112" i="7"/>
  <c r="E124" i="7"/>
  <c r="G112" i="7"/>
  <c r="H112" i="7"/>
  <c r="H124" i="7" s="1"/>
  <c r="J112" i="7"/>
  <c r="L112" i="7"/>
  <c r="D112" i="7"/>
  <c r="K112" i="7"/>
  <c r="E44" i="7"/>
  <c r="E115" i="7" s="1"/>
  <c r="G44" i="7"/>
  <c r="G115" i="7" s="1"/>
  <c r="F44" i="7"/>
  <c r="F115" i="7" s="1"/>
  <c r="H44" i="7"/>
  <c r="H115" i="7" s="1"/>
  <c r="D44" i="7"/>
  <c r="D118" i="7" s="1"/>
  <c r="I44" i="7"/>
  <c r="I115" i="7" s="1"/>
  <c r="L44" i="7"/>
  <c r="L115" i="7" s="1"/>
  <c r="M44" i="7"/>
  <c r="M115" i="7" s="1"/>
  <c r="K44" i="7"/>
  <c r="K115" i="7" s="1"/>
  <c r="J44" i="7"/>
  <c r="J115" i="7" s="1"/>
  <c r="O44" i="7"/>
  <c r="N48" i="7"/>
  <c r="N50" i="7" s="1"/>
  <c r="N117" i="7" l="1"/>
  <c r="N15" i="7"/>
  <c r="N17" i="7" s="1"/>
  <c r="N21" i="7" s="1"/>
  <c r="N44" i="7" s="1"/>
  <c r="N119" i="7"/>
  <c r="O115" i="7"/>
  <c r="K124" i="7"/>
  <c r="D124" i="7"/>
  <c r="L124" i="7"/>
  <c r="I124" i="7"/>
  <c r="G124" i="7"/>
  <c r="J124" i="7"/>
  <c r="K116" i="7"/>
  <c r="K118" i="7"/>
  <c r="M116" i="7"/>
  <c r="M118" i="7"/>
  <c r="I116" i="7"/>
  <c r="I118" i="7"/>
  <c r="G118" i="7"/>
  <c r="G116" i="7"/>
  <c r="J116" i="7"/>
  <c r="J118" i="7"/>
  <c r="E116" i="7"/>
  <c r="E118" i="7"/>
  <c r="L116" i="7"/>
  <c r="L118" i="7"/>
  <c r="H118" i="7"/>
  <c r="H116" i="7"/>
  <c r="O118" i="7"/>
  <c r="F118" i="7"/>
  <c r="F116" i="7"/>
  <c r="N76" i="7"/>
  <c r="N118" i="7" l="1"/>
  <c r="N115" i="7"/>
  <c r="O76" i="7"/>
  <c r="N77" i="7"/>
  <c r="N78" i="7" s="1"/>
  <c r="O95" i="7"/>
  <c r="O77" i="7" l="1"/>
  <c r="O78" i="7" s="1"/>
  <c r="O59" i="7"/>
  <c r="N57" i="7"/>
  <c r="O53" i="7"/>
  <c r="N53" i="7"/>
  <c r="N62" i="7" l="1"/>
  <c r="N63" i="7" s="1"/>
  <c r="N71" i="7" s="1"/>
  <c r="N116" i="7" s="1"/>
  <c r="O57" i="7"/>
  <c r="O62" i="7" s="1"/>
  <c r="O63" i="7" l="1"/>
  <c r="O71" i="7" s="1"/>
  <c r="O116" i="7" s="1"/>
  <c r="O119" i="7"/>
  <c r="E119" i="7"/>
  <c r="F119" i="7"/>
  <c r="F120" i="7" s="1"/>
  <c r="G119" i="7"/>
  <c r="G120" i="7" s="1"/>
  <c r="H119" i="7"/>
  <c r="I119" i="7"/>
  <c r="J119" i="7"/>
  <c r="J120" i="7" s="1"/>
  <c r="K119" i="7"/>
  <c r="K120" i="7" s="1"/>
  <c r="L119" i="7"/>
  <c r="L120" i="7" s="1"/>
  <c r="M119" i="7"/>
  <c r="I120" i="7" l="1"/>
  <c r="M120" i="7"/>
  <c r="M121" i="7" s="1"/>
  <c r="E120" i="7"/>
  <c r="E121" i="7" s="1"/>
  <c r="H120" i="7"/>
  <c r="H121" i="7" s="1"/>
  <c r="J121" i="7"/>
  <c r="G121" i="7"/>
  <c r="K121" i="7"/>
  <c r="L121" i="7"/>
  <c r="I121" i="7" l="1"/>
  <c r="F121" i="7"/>
  <c r="O107" i="7" l="1"/>
  <c r="O120" i="7" s="1"/>
  <c r="O121" i="7" s="1"/>
  <c r="N107" i="7"/>
  <c r="N120" i="7" s="1"/>
  <c r="N121" i="7" s="1"/>
  <c r="N112" i="7" l="1"/>
  <c r="N124" i="7" s="1"/>
  <c r="O112" i="7"/>
  <c r="O124" i="7" s="1"/>
</calcChain>
</file>

<file path=xl/sharedStrings.xml><?xml version="1.0" encoding="utf-8"?>
<sst xmlns="http://schemas.openxmlformats.org/spreadsheetml/2006/main" count="105" uniqueCount="105">
  <si>
    <t xml:space="preserve">Total Current and Accrued Assets                    </t>
  </si>
  <si>
    <t>Water Service Corporation of Kentucky</t>
  </si>
  <si>
    <t>Operating Income</t>
  </si>
  <si>
    <t>Base Period</t>
  </si>
  <si>
    <t>(k) Comparative financial data and earnings measures for the 10 most recent calendar years, base period, and forecast period;</t>
  </si>
  <si>
    <t>Requirements:</t>
  </si>
  <si>
    <t>Case No. 2022-00147</t>
  </si>
  <si>
    <t>Comparative Income Statements</t>
  </si>
  <si>
    <t>(Does not reflect revenues from current filing)</t>
  </si>
  <si>
    <t>Exhibit 38</t>
  </si>
  <si>
    <r>
      <rPr>
        <sz val="10"/>
        <rFont val="Book Antiqua"/>
        <family val="1"/>
      </rPr>
      <t>Net Plant</t>
    </r>
  </si>
  <si>
    <r>
      <rPr>
        <sz val="10"/>
        <rFont val="Book Antiqua"/>
        <family val="1"/>
      </rPr>
      <t>Total Equity Capital and Liabilities</t>
    </r>
  </si>
  <si>
    <t>Line No.</t>
  </si>
  <si>
    <t>Description</t>
  </si>
  <si>
    <t>Forecasted Period</t>
  </si>
  <si>
    <t>Operating Revenues</t>
  </si>
  <si>
    <t>Operating Expenses</t>
  </si>
  <si>
    <t>Depreciation Expenses</t>
  </si>
  <si>
    <t>Amortization of Utility Plant Acquisition Adjustment</t>
  </si>
  <si>
    <t>Taxes Other Than Income</t>
  </si>
  <si>
    <t>Income Taxes</t>
  </si>
  <si>
    <t>Income From Utility Plant Leased to Others</t>
  </si>
  <si>
    <t>Gains (Losses) from Disposition of Utility Property</t>
  </si>
  <si>
    <t>Revenues From Merchandising, Jobbing and Contract Work</t>
  </si>
  <si>
    <t>Costs and Expenses of Merchandising, Jobbing and Contract Work</t>
  </si>
  <si>
    <t>Interest and Dividend Income</t>
  </si>
  <si>
    <t>Allowance for funds Used During Constructions</t>
  </si>
  <si>
    <t>Nonutility Income</t>
  </si>
  <si>
    <t>Miscellaneous Nonutility Expenses</t>
  </si>
  <si>
    <t>Interest Expense</t>
  </si>
  <si>
    <t>Amortization of Debt Discount and Exp.</t>
  </si>
  <si>
    <t>Amortization of Premium on Debt</t>
  </si>
  <si>
    <t>Extraordinary Income</t>
  </si>
  <si>
    <t>Income Taxes, Extraordinary Items</t>
  </si>
  <si>
    <t>Utility Plant</t>
  </si>
  <si>
    <t>Utility Plant Acquisition Adjustments (Net)</t>
  </si>
  <si>
    <t>Total Net Utility Plant</t>
  </si>
  <si>
    <t>Cash</t>
  </si>
  <si>
    <t>Special Deposits</t>
  </si>
  <si>
    <t>Accounts and Notes Receivable, Less Accumulated Provision for
Uncollectible Accounts</t>
  </si>
  <si>
    <t xml:space="preserve">Accounts Receivable from Associated Companies </t>
  </si>
  <si>
    <t>Materials and Supplies</t>
  </si>
  <si>
    <t>Prepayments</t>
  </si>
  <si>
    <t>Misc. Current and Accrued Assets</t>
  </si>
  <si>
    <t>Unamortized Debt Discount and Expense</t>
  </si>
  <si>
    <t>Preliminary Survey and Investigation Charges</t>
  </si>
  <si>
    <t>Misc. Deferred Debits</t>
  </si>
  <si>
    <t>Accumulated Deferred Income Taxes</t>
  </si>
  <si>
    <t>Common Stock Issued</t>
  </si>
  <si>
    <t>Other Paid-In Capital</t>
  </si>
  <si>
    <t>Retained Earnings</t>
  </si>
  <si>
    <t>Total Equity Capital</t>
  </si>
  <si>
    <t>Bonds</t>
  </si>
  <si>
    <t>Advances from Associated Companies</t>
  </si>
  <si>
    <t>Other Long-Term Debt</t>
  </si>
  <si>
    <t>Total Long Term Debt</t>
  </si>
  <si>
    <t>Accounts Payable</t>
  </si>
  <si>
    <t>Notes Payable</t>
  </si>
  <si>
    <t>Accounts Payable to Associated Co.</t>
  </si>
  <si>
    <t>Customer Deposits</t>
  </si>
  <si>
    <t>Accrued Taxes</t>
  </si>
  <si>
    <t>Accrued Interest</t>
  </si>
  <si>
    <t>Misc.  Current and Accrued Liabilities</t>
  </si>
  <si>
    <t>Total Current and Accrued Liabilities</t>
  </si>
  <si>
    <t>Unamortized Premium on Debt</t>
  </si>
  <si>
    <t>Advances for Construction</t>
  </si>
  <si>
    <t>Other Deferred Credits</t>
  </si>
  <si>
    <t>Accumulated Deferred Investment Tax Credits</t>
  </si>
  <si>
    <t>Total Deferred Credits</t>
  </si>
  <si>
    <t>Contributions In Aid of Construction</t>
  </si>
  <si>
    <t>Accumulated Amortization of CIAC</t>
  </si>
  <si>
    <t>ASSETS:</t>
  </si>
  <si>
    <t>EQUITY AND LIABILITIES:</t>
  </si>
  <si>
    <t>OPERATING INCOME:</t>
  </si>
  <si>
    <t>OTHER INCOME AND DEDUCTIONS:</t>
  </si>
  <si>
    <t>INTEREST EXPENSE:</t>
  </si>
  <si>
    <t>EXTRAORDINARY ITEMS:</t>
  </si>
  <si>
    <t>Utility Operating Expenses (Lines 4 to 8)</t>
  </si>
  <si>
    <t>Utility Operating Income (Line 2 - Line 9)</t>
  </si>
  <si>
    <t>Total Utility Operating Income (Line 11 + Lines 13 to 14)</t>
  </si>
  <si>
    <t>Total Other Income and Deductions (Lines 18 to 23)</t>
  </si>
  <si>
    <t>Total Interest Expense (Lines 27 to 29)</t>
  </si>
  <si>
    <t>Extraordinary Deductions</t>
  </si>
  <si>
    <t>Total Extraordinary Items (Lines 33 to 35)</t>
  </si>
  <si>
    <t>NET INCOME (Line 15 + Line 24 - Line 30 + Line 36)</t>
  </si>
  <si>
    <t>UTILITY PLANT:</t>
  </si>
  <si>
    <r>
      <rPr>
        <b/>
        <sz val="10"/>
        <rFont val="Book Antiqua"/>
        <family val="1"/>
      </rPr>
      <t>TOTAL ASSETS AND OTHER DEBITS</t>
    </r>
  </si>
  <si>
    <r>
      <rPr>
        <sz val="10"/>
        <rFont val="Book Antiqua"/>
        <family val="1"/>
      </rPr>
      <t>CURRENT AND ACCRUED ASSETS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</si>
  <si>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DEFERRED DEBITS</t>
    </r>
    <r>
      <rPr>
        <sz val="10"/>
        <color theme="1"/>
        <rFont val="Book Antiqua"/>
        <family val="1"/>
      </rPr>
      <t>:</t>
    </r>
  </si>
  <si>
    <t>Total Deferred Debits</t>
  </si>
  <si>
    <r>
      <rPr>
        <sz val="10"/>
        <rFont val="Book Antiqua"/>
        <family val="1"/>
      </rPr>
      <t>EQUITY CAPITAL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</si>
  <si>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LONG-TERM DEBT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</si>
  <si>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CURRENT AND ACCRUED LIABILITIES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</si>
  <si>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DEFFERRED CREDITS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</si>
  <si>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CONTRIBUTIONS IN AID OF CONSTRUCTION</t>
    </r>
    <r>
      <rPr>
        <sz val="10"/>
        <color theme="1"/>
        <rFont val="Book Antiqua"/>
        <family val="1"/>
      </rPr>
      <t>:</t>
    </r>
  </si>
  <si>
    <r>
      <rPr>
        <sz val="10"/>
        <rFont val="Book Antiqua"/>
        <family val="1"/>
      </rPr>
      <t>ACCUMULATED DEFERRED INCOME TAXES</t>
    </r>
    <r>
      <rPr>
        <sz val="10"/>
        <color theme="1"/>
        <rFont val="Book Antiqua"/>
        <family val="1"/>
      </rPr>
      <t>:</t>
    </r>
  </si>
  <si>
    <t xml:space="preserve">Accounting Rate Base </t>
  </si>
  <si>
    <t>Cash Working Capital</t>
  </si>
  <si>
    <t>Return on Average Assets</t>
  </si>
  <si>
    <t>Notes Payable to Associated Co.</t>
  </si>
  <si>
    <t>Rate of Return on Average Accounting Rate Base</t>
  </si>
  <si>
    <t xml:space="preserve">Composite Depreciation Rate on Average Plant (Net of CIAC) </t>
  </si>
  <si>
    <t>Return on Average Net Plant</t>
  </si>
  <si>
    <t>Accumulated Depreciation and Amortization</t>
  </si>
  <si>
    <r>
      <rPr>
        <sz val="10"/>
        <rFont val="Book Antiqua"/>
        <family val="1"/>
      </rPr>
      <t>Total C.I.A.C</t>
    </r>
    <r>
      <rPr>
        <sz val="10"/>
        <color theme="1"/>
        <rFont val="Book Antiqua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</si>
</sst>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\ 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0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165" fontId="4" fillId="0" borderId="0" xfId="2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165" fontId="8" fillId="0" borderId="0" xfId="2" applyNumberFormat="1" applyFont="1" applyFill="1" applyAlignment="1">
      <alignment horizontal="right"/>
    </xf>
    <xf numFmtId="165" fontId="4" fillId="0" borderId="0" xfId="0" applyNumberFormat="1" applyFont="1" applyAlignment="1">
      <alignment horizontal="left"/>
    </xf>
    <xf numFmtId="0" fontId="3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64" fontId="8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Alignment="1">
      <alignment horizontal="left" wrapText="1"/>
    </xf>
    <xf numFmtId="164" fontId="2" fillId="0" borderId="0" xfId="1" applyNumberFormat="1" applyFont="1" applyFill="1" applyAlignment="1"/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Border="1" applyAlignment="1">
      <alignment horizontal="center" wrapText="1"/>
    </xf>
    <xf numFmtId="164" fontId="8" fillId="0" borderId="0" xfId="1" applyNumberFormat="1" applyFont="1" applyFill="1" applyAlignment="1"/>
    <xf numFmtId="164" fontId="4" fillId="0" borderId="0" xfId="1" applyNumberFormat="1" applyFont="1" applyFill="1" applyAlignment="1">
      <alignment horizontal="right"/>
    </xf>
    <xf numFmtId="164" fontId="8" fillId="0" borderId="2" xfId="1" applyNumberFormat="1" applyFont="1" applyFill="1" applyBorder="1" applyAlignment="1">
      <alignment horizontal="right"/>
    </xf>
    <xf numFmtId="164" fontId="4" fillId="0" borderId="2" xfId="1" applyNumberFormat="1" applyFont="1" applyBorder="1" applyAlignment="1">
      <alignment horizontal="left"/>
    </xf>
    <xf numFmtId="164" fontId="4" fillId="0" borderId="2" xfId="1" applyNumberFormat="1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left"/>
    </xf>
    <xf numFmtId="165" fontId="3" fillId="0" borderId="3" xfId="2" applyNumberFormat="1" applyFont="1" applyBorder="1" applyAlignment="1">
      <alignment horizontal="left"/>
    </xf>
    <xf numFmtId="164" fontId="4" fillId="0" borderId="2" xfId="1" applyNumberFormat="1" applyFont="1" applyFill="1" applyBorder="1" applyAlignment="1">
      <alignment horizontal="left" wrapText="1"/>
    </xf>
    <xf numFmtId="164" fontId="8" fillId="0" borderId="2" xfId="1" applyNumberFormat="1" applyFont="1" applyFill="1" applyBorder="1" applyAlignment="1"/>
    <xf numFmtId="164" fontId="2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4" fontId="4" fillId="0" borderId="0" xfId="1" applyNumberFormat="1" applyFont="1" applyAlignment="1"/>
    <xf numFmtId="166" fontId="7" fillId="0" borderId="0" xfId="0" applyNumberFormat="1" applyFont="1" applyAlignment="1"/>
    <xf numFmtId="0" fontId="6" fillId="0" borderId="0" xfId="0" applyFont="1" applyAlignment="1"/>
    <xf numFmtId="14" fontId="4" fillId="0" borderId="0" xfId="0" applyNumberFormat="1" applyFont="1" applyAlignment="1"/>
    <xf numFmtId="0" fontId="4" fillId="0" borderId="0" xfId="0" applyFont="1" applyFill="1" applyAlignment="1"/>
    <xf numFmtId="165" fontId="4" fillId="0" borderId="0" xfId="2" applyNumberFormat="1" applyFont="1" applyAlignment="1"/>
    <xf numFmtId="164" fontId="4" fillId="0" borderId="2" xfId="1" applyNumberFormat="1" applyFont="1" applyBorder="1" applyAlignment="1"/>
    <xf numFmtId="165" fontId="3" fillId="0" borderId="3" xfId="2" applyNumberFormat="1" applyFont="1" applyBorder="1" applyAlignment="1"/>
    <xf numFmtId="0" fontId="2" fillId="0" borderId="0" xfId="0" applyFont="1" applyAlignment="1"/>
    <xf numFmtId="164" fontId="2" fillId="0" borderId="2" xfId="1" applyNumberFormat="1" applyFont="1" applyBorder="1" applyAlignment="1"/>
    <xf numFmtId="9" fontId="4" fillId="0" borderId="0" xfId="3" applyFont="1" applyAlignment="1">
      <alignment horizontal="left"/>
    </xf>
    <xf numFmtId="164" fontId="4" fillId="0" borderId="0" xfId="1" applyNumberFormat="1" applyFont="1" applyFill="1" applyAlignment="1"/>
    <xf numFmtId="10" fontId="4" fillId="0" borderId="0" xfId="3" applyNumberFormat="1" applyFont="1" applyFill="1" applyAlignment="1"/>
    <xf numFmtId="165" fontId="4" fillId="0" borderId="0" xfId="0" applyNumberFormat="1" applyFont="1" applyAlignment="1"/>
    <xf numFmtId="10" fontId="4" fillId="0" borderId="0" xfId="3" applyNumberFormat="1" applyFont="1" applyAlignment="1"/>
    <xf numFmtId="164" fontId="4" fillId="0" borderId="0" xfId="0" applyNumberFormat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8F5C-C390-49BA-A894-1C3DB2822DA8}">
  <dimension ref="A1:R124"/>
  <sheetViews>
    <sheetView tabSelected="1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J106" sqref="J106"/>
    </sheetView>
  </sheetViews>
  <sheetFormatPr defaultColWidth="9.1796875" defaultRowHeight="13" x14ac:dyDescent="0.3"/>
  <cols>
    <col min="1" max="1" width="9.1796875" style="38"/>
    <col min="2" max="2" width="57.7265625" style="38" customWidth="1"/>
    <col min="3" max="3" width="18" style="38" hidden="1" customWidth="1"/>
    <col min="4" max="11" width="13.81640625" style="38" customWidth="1"/>
    <col min="12" max="12" width="13.81640625" style="40" customWidth="1"/>
    <col min="13" max="13" width="13.81640625" style="38" customWidth="1"/>
    <col min="14" max="14" width="14.54296875" style="38" bestFit="1" customWidth="1"/>
    <col min="15" max="15" width="17.1796875" style="38" bestFit="1" customWidth="1"/>
    <col min="16" max="16" width="5.26953125" style="38" customWidth="1"/>
    <col min="17" max="17" width="11" style="38" customWidth="1"/>
    <col min="18" max="18" width="11.81640625" style="38" bestFit="1" customWidth="1"/>
    <col min="19" max="16384" width="9.1796875" style="38"/>
  </cols>
  <sheetData>
    <row r="1" spans="1:17" x14ac:dyDescent="0.3">
      <c r="A1" s="37" t="s">
        <v>1</v>
      </c>
      <c r="D1" s="39"/>
      <c r="G1" s="40"/>
      <c r="M1" s="2"/>
      <c r="O1" s="1" t="s">
        <v>9</v>
      </c>
      <c r="Q1" s="37" t="s">
        <v>5</v>
      </c>
    </row>
    <row r="2" spans="1:17" x14ac:dyDescent="0.3">
      <c r="A2" s="41" t="s">
        <v>6</v>
      </c>
      <c r="D2" s="39"/>
      <c r="G2" s="40"/>
      <c r="L2" s="38"/>
      <c r="M2" s="2"/>
      <c r="Q2" s="38" t="s">
        <v>4</v>
      </c>
    </row>
    <row r="3" spans="1:17" x14ac:dyDescent="0.3">
      <c r="A3" s="42" t="s">
        <v>7</v>
      </c>
      <c r="D3" s="39"/>
      <c r="G3" s="40"/>
      <c r="L3" s="38"/>
      <c r="M3" s="2"/>
    </row>
    <row r="4" spans="1:17" x14ac:dyDescent="0.3">
      <c r="A4" s="38" t="s">
        <v>8</v>
      </c>
      <c r="D4" s="39"/>
      <c r="G4" s="40"/>
      <c r="L4" s="38"/>
    </row>
    <row r="5" spans="1:17" x14ac:dyDescent="0.3">
      <c r="D5" s="39"/>
      <c r="G5" s="40"/>
      <c r="L5" s="38"/>
      <c r="N5" s="43"/>
    </row>
    <row r="6" spans="1:17" s="44" customFormat="1" x14ac:dyDescent="0.3">
      <c r="A6" s="8" t="s">
        <v>12</v>
      </c>
      <c r="B6" s="8" t="s">
        <v>13</v>
      </c>
      <c r="C6" s="12">
        <v>2011</v>
      </c>
      <c r="D6" s="9">
        <v>2012</v>
      </c>
      <c r="E6" s="9">
        <v>2013</v>
      </c>
      <c r="F6" s="9">
        <v>2014</v>
      </c>
      <c r="G6" s="9">
        <v>2015</v>
      </c>
      <c r="H6" s="9">
        <v>2016</v>
      </c>
      <c r="I6" s="9">
        <v>2017</v>
      </c>
      <c r="J6" s="9">
        <v>2018</v>
      </c>
      <c r="K6" s="9">
        <v>2019</v>
      </c>
      <c r="L6" s="9">
        <v>2020</v>
      </c>
      <c r="M6" s="9">
        <v>2021</v>
      </c>
      <c r="N6" s="10" t="s">
        <v>3</v>
      </c>
      <c r="O6" s="10" t="s">
        <v>14</v>
      </c>
    </row>
    <row r="7" spans="1:17" s="44" customFormat="1" x14ac:dyDescent="0.3">
      <c r="A7" s="16">
        <v>1</v>
      </c>
      <c r="B7" s="3" t="s">
        <v>73</v>
      </c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</row>
    <row r="8" spans="1:17" x14ac:dyDescent="0.3">
      <c r="A8" s="16">
        <v>2</v>
      </c>
      <c r="B8" s="38" t="s">
        <v>15</v>
      </c>
      <c r="D8" s="45">
        <v>2292931</v>
      </c>
      <c r="E8" s="45">
        <v>2226140</v>
      </c>
      <c r="F8" s="45">
        <v>2268570</v>
      </c>
      <c r="G8" s="45">
        <v>2179622</v>
      </c>
      <c r="H8" s="45">
        <v>2366170</v>
      </c>
      <c r="I8" s="45">
        <v>2477391</v>
      </c>
      <c r="J8" s="45">
        <v>2647249.54</v>
      </c>
      <c r="K8" s="45">
        <v>2939700</v>
      </c>
      <c r="L8" s="45">
        <v>2923208</v>
      </c>
      <c r="M8" s="45">
        <v>3406420</v>
      </c>
      <c r="N8" s="45">
        <v>3254763</v>
      </c>
      <c r="O8" s="45">
        <v>3262188</v>
      </c>
    </row>
    <row r="9" spans="1:17" x14ac:dyDescent="0.3">
      <c r="A9" s="16">
        <v>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7" x14ac:dyDescent="0.3">
      <c r="A10" s="16">
        <v>4</v>
      </c>
      <c r="B10" s="38" t="s">
        <v>16</v>
      </c>
      <c r="D10" s="40">
        <v>1579727</v>
      </c>
      <c r="E10" s="40">
        <v>1550916</v>
      </c>
      <c r="F10" s="40">
        <v>1584106</v>
      </c>
      <c r="G10" s="40">
        <v>1609332</v>
      </c>
      <c r="H10" s="40">
        <v>1694054</v>
      </c>
      <c r="I10" s="40">
        <v>1785800</v>
      </c>
      <c r="J10" s="40">
        <v>1987769.01</v>
      </c>
      <c r="K10" s="40">
        <v>2253101</v>
      </c>
      <c r="L10" s="40">
        <v>2381740</v>
      </c>
      <c r="M10" s="40">
        <v>2855773</v>
      </c>
      <c r="N10" s="40">
        <f>3120340.9218951-N11-N12-N13-N14+127834</f>
        <v>2737668.7416453147</v>
      </c>
      <c r="O10" s="40">
        <f>3297715-O11-O12-O13+128126-O14</f>
        <v>2885729.2618938428</v>
      </c>
    </row>
    <row r="11" spans="1:17" x14ac:dyDescent="0.3">
      <c r="A11" s="16">
        <v>5</v>
      </c>
      <c r="B11" s="38" t="s">
        <v>17</v>
      </c>
      <c r="D11" s="40">
        <v>314153</v>
      </c>
      <c r="E11" s="40">
        <f>302712-2262</f>
        <v>300450</v>
      </c>
      <c r="F11" s="40">
        <v>304571</v>
      </c>
      <c r="G11" s="40">
        <v>355534</v>
      </c>
      <c r="H11" s="40">
        <v>295762</v>
      </c>
      <c r="I11" s="40">
        <v>282544</v>
      </c>
      <c r="J11" s="40">
        <v>300413.34999999998</v>
      </c>
      <c r="K11" s="40">
        <v>383639</v>
      </c>
      <c r="L11" s="40">
        <v>409035</v>
      </c>
      <c r="M11" s="40">
        <v>329285</v>
      </c>
      <c r="N11" s="40">
        <f>392355.180249785-10356</f>
        <v>381999.18024978501</v>
      </c>
      <c r="O11" s="40">
        <f>474204.738106157-10356</f>
        <v>463848.73810615699</v>
      </c>
    </row>
    <row r="12" spans="1:17" x14ac:dyDescent="0.3">
      <c r="A12" s="16">
        <v>6</v>
      </c>
      <c r="B12" s="38" t="s">
        <v>18</v>
      </c>
      <c r="D12" s="40">
        <v>-3660</v>
      </c>
      <c r="E12" s="40">
        <v>-3660</v>
      </c>
      <c r="F12" s="40">
        <v>-3660</v>
      </c>
      <c r="G12" s="40">
        <v>-3660</v>
      </c>
      <c r="H12" s="40">
        <v>-3660</v>
      </c>
      <c r="I12" s="40">
        <v>-3660</v>
      </c>
      <c r="J12" s="40">
        <v>-3660.48</v>
      </c>
      <c r="K12" s="40">
        <v>-3660</v>
      </c>
      <c r="L12" s="40">
        <v>-3660</v>
      </c>
      <c r="M12" s="40">
        <v>-3660</v>
      </c>
      <c r="N12" s="40">
        <v>-3660</v>
      </c>
      <c r="O12" s="40">
        <v>-3660</v>
      </c>
    </row>
    <row r="13" spans="1:17" x14ac:dyDescent="0.3">
      <c r="A13" s="16">
        <v>7</v>
      </c>
      <c r="B13" s="38" t="s">
        <v>19</v>
      </c>
      <c r="D13" s="40">
        <v>135765</v>
      </c>
      <c r="E13" s="40">
        <v>105699</v>
      </c>
      <c r="F13" s="40">
        <v>140129</v>
      </c>
      <c r="G13" s="40">
        <v>146047</v>
      </c>
      <c r="H13" s="40">
        <v>133608</v>
      </c>
      <c r="I13" s="40">
        <v>156799</v>
      </c>
      <c r="J13" s="40">
        <v>101741.88</v>
      </c>
      <c r="K13" s="40">
        <v>242731</v>
      </c>
      <c r="L13" s="40">
        <v>210678</v>
      </c>
      <c r="M13" s="40">
        <v>164921</v>
      </c>
      <c r="N13" s="40">
        <v>186176</v>
      </c>
      <c r="O13" s="40">
        <v>195232</v>
      </c>
    </row>
    <row r="14" spans="1:17" x14ac:dyDescent="0.3">
      <c r="A14" s="16">
        <v>8</v>
      </c>
      <c r="B14" s="38" t="s">
        <v>20</v>
      </c>
      <c r="D14" s="46">
        <f>-79978+103427+19383</f>
        <v>42832</v>
      </c>
      <c r="E14" s="46">
        <f>60+50980+10913</f>
        <v>61953</v>
      </c>
      <c r="F14" s="46">
        <f>-10239+99758-217639</f>
        <v>-128120</v>
      </c>
      <c r="G14" s="46">
        <f>3+104366+6492</f>
        <v>110861</v>
      </c>
      <c r="H14" s="46">
        <f>-583+86696+16715</f>
        <v>102828</v>
      </c>
      <c r="I14" s="46">
        <f>-1491-396714+17972</f>
        <v>-380233</v>
      </c>
      <c r="J14" s="46">
        <f>366.18+9089+15716</f>
        <v>25171.18</v>
      </c>
      <c r="K14" s="46">
        <f>250+26161-8621</f>
        <v>17790</v>
      </c>
      <c r="L14" s="46">
        <f>247+24359-17120</f>
        <v>7486</v>
      </c>
      <c r="M14" s="46">
        <f>-39746+111217+27824</f>
        <v>99295</v>
      </c>
      <c r="N14" s="46">
        <v>-54009</v>
      </c>
      <c r="O14" s="46">
        <v>-115309</v>
      </c>
    </row>
    <row r="15" spans="1:17" x14ac:dyDescent="0.3">
      <c r="A15" s="16">
        <v>9</v>
      </c>
      <c r="B15" s="38" t="s">
        <v>77</v>
      </c>
      <c r="D15" s="40">
        <v>2068817</v>
      </c>
      <c r="E15" s="40">
        <v>2015358</v>
      </c>
      <c r="F15" s="40">
        <v>1897026</v>
      </c>
      <c r="G15" s="40">
        <v>2218114</v>
      </c>
      <c r="H15" s="40">
        <v>2222592</v>
      </c>
      <c r="I15" s="40">
        <f t="shared" ref="I15:O15" si="0">SUM(I10:I14)</f>
        <v>1841250</v>
      </c>
      <c r="J15" s="40">
        <f t="shared" si="0"/>
        <v>2411434.94</v>
      </c>
      <c r="K15" s="40">
        <f t="shared" si="0"/>
        <v>2893601</v>
      </c>
      <c r="L15" s="40">
        <f t="shared" si="0"/>
        <v>3005279</v>
      </c>
      <c r="M15" s="40">
        <f t="shared" si="0"/>
        <v>3445614</v>
      </c>
      <c r="N15" s="40">
        <f t="shared" si="0"/>
        <v>3248174.9218950998</v>
      </c>
      <c r="O15" s="40">
        <f t="shared" si="0"/>
        <v>3425841</v>
      </c>
    </row>
    <row r="16" spans="1:17" x14ac:dyDescent="0.3">
      <c r="A16" s="16">
        <v>10</v>
      </c>
      <c r="D16" s="40"/>
      <c r="E16" s="40"/>
      <c r="F16" s="40"/>
      <c r="G16" s="40"/>
      <c r="H16" s="40"/>
      <c r="I16" s="40"/>
      <c r="J16" s="40"/>
      <c r="K16" s="40"/>
      <c r="M16" s="40"/>
      <c r="N16" s="40"/>
      <c r="O16" s="40"/>
    </row>
    <row r="17" spans="1:15" x14ac:dyDescent="0.3">
      <c r="A17" s="16">
        <v>11</v>
      </c>
      <c r="B17" s="38" t="s">
        <v>78</v>
      </c>
      <c r="D17" s="40">
        <v>224114</v>
      </c>
      <c r="E17" s="40">
        <v>210782</v>
      </c>
      <c r="F17" s="40">
        <v>371544</v>
      </c>
      <c r="G17" s="40">
        <v>-38492</v>
      </c>
      <c r="H17" s="40">
        <v>143578</v>
      </c>
      <c r="I17" s="40">
        <v>636142</v>
      </c>
      <c r="J17" s="40">
        <v>235814.3</v>
      </c>
      <c r="K17" s="40">
        <v>46100</v>
      </c>
      <c r="L17" s="40">
        <v>-82070</v>
      </c>
      <c r="M17" s="40">
        <v>-39194</v>
      </c>
      <c r="N17" s="40">
        <f>N8-N15</f>
        <v>6588.0781049001962</v>
      </c>
      <c r="O17" s="40">
        <f>O8-O15</f>
        <v>-163653</v>
      </c>
    </row>
    <row r="18" spans="1:15" x14ac:dyDescent="0.3">
      <c r="A18" s="16">
        <v>12</v>
      </c>
      <c r="D18" s="40"/>
      <c r="E18" s="40"/>
      <c r="F18" s="40"/>
      <c r="G18" s="40"/>
      <c r="H18" s="40"/>
      <c r="I18" s="40"/>
      <c r="J18" s="40"/>
      <c r="K18" s="40"/>
      <c r="M18" s="40"/>
      <c r="N18" s="40"/>
      <c r="O18" s="40"/>
    </row>
    <row r="19" spans="1:15" x14ac:dyDescent="0.3">
      <c r="A19" s="16">
        <v>13</v>
      </c>
      <c r="B19" s="38" t="s">
        <v>21</v>
      </c>
      <c r="D19" s="40">
        <v>1300</v>
      </c>
      <c r="E19" s="40">
        <v>2000</v>
      </c>
      <c r="F19" s="40">
        <v>3300</v>
      </c>
      <c r="G19" s="40"/>
      <c r="H19" s="40"/>
      <c r="I19" s="40"/>
      <c r="J19" s="40"/>
      <c r="K19" s="40"/>
      <c r="M19" s="40"/>
      <c r="N19" s="40"/>
      <c r="O19" s="40"/>
    </row>
    <row r="20" spans="1:15" x14ac:dyDescent="0.3">
      <c r="A20" s="16">
        <v>14</v>
      </c>
      <c r="B20" s="38" t="s">
        <v>22</v>
      </c>
      <c r="D20" s="46">
        <v>2970</v>
      </c>
      <c r="E20" s="46">
        <v>1000</v>
      </c>
      <c r="F20" s="46">
        <v>3276</v>
      </c>
      <c r="G20" s="46"/>
      <c r="H20" s="46">
        <v>6350</v>
      </c>
      <c r="I20" s="46">
        <v>4277</v>
      </c>
      <c r="J20" s="46">
        <v>7356.1</v>
      </c>
      <c r="K20" s="46"/>
      <c r="L20" s="46"/>
      <c r="M20" s="46"/>
      <c r="N20" s="46"/>
      <c r="O20" s="46"/>
    </row>
    <row r="21" spans="1:15" x14ac:dyDescent="0.3">
      <c r="A21" s="16">
        <v>15</v>
      </c>
      <c r="B21" s="38" t="s">
        <v>79</v>
      </c>
      <c r="D21" s="40">
        <v>228384</v>
      </c>
      <c r="E21" s="40">
        <v>213782</v>
      </c>
      <c r="F21" s="40">
        <v>378120</v>
      </c>
      <c r="G21" s="40">
        <v>-38492</v>
      </c>
      <c r="H21" s="40">
        <v>149928</v>
      </c>
      <c r="I21" s="40">
        <f t="shared" ref="I21:O21" si="1">SUM(I17:I20)</f>
        <v>640419</v>
      </c>
      <c r="J21" s="40">
        <f t="shared" si="1"/>
        <v>243170.4</v>
      </c>
      <c r="K21" s="40">
        <f t="shared" si="1"/>
        <v>46100</v>
      </c>
      <c r="L21" s="40">
        <f t="shared" si="1"/>
        <v>-82070</v>
      </c>
      <c r="M21" s="40">
        <f t="shared" si="1"/>
        <v>-39194</v>
      </c>
      <c r="N21" s="40">
        <f t="shared" si="1"/>
        <v>6588.0781049001962</v>
      </c>
      <c r="O21" s="40">
        <f t="shared" si="1"/>
        <v>-163653</v>
      </c>
    </row>
    <row r="22" spans="1:15" x14ac:dyDescent="0.3">
      <c r="A22" s="16">
        <v>16</v>
      </c>
      <c r="D22" s="40"/>
      <c r="E22" s="40"/>
      <c r="F22" s="40"/>
      <c r="G22" s="40"/>
      <c r="H22" s="40"/>
      <c r="I22" s="40"/>
      <c r="J22" s="40"/>
      <c r="K22" s="40"/>
      <c r="M22" s="40"/>
      <c r="N22" s="40"/>
      <c r="O22" s="40"/>
    </row>
    <row r="23" spans="1:15" x14ac:dyDescent="0.3">
      <c r="A23" s="16">
        <v>17</v>
      </c>
      <c r="B23" s="38" t="s">
        <v>74</v>
      </c>
      <c r="D23" s="40"/>
      <c r="E23" s="40"/>
      <c r="F23" s="40"/>
      <c r="G23" s="40"/>
      <c r="H23" s="40"/>
      <c r="I23" s="40"/>
      <c r="J23" s="40"/>
      <c r="K23" s="40"/>
      <c r="M23" s="40"/>
      <c r="N23" s="40"/>
      <c r="O23" s="40"/>
    </row>
    <row r="24" spans="1:15" x14ac:dyDescent="0.3">
      <c r="A24" s="16">
        <v>18</v>
      </c>
      <c r="B24" s="38" t="s">
        <v>23</v>
      </c>
      <c r="D24" s="40"/>
      <c r="E24" s="40"/>
      <c r="F24" s="40"/>
      <c r="G24" s="40">
        <v>159090</v>
      </c>
      <c r="H24" s="40">
        <v>178698</v>
      </c>
      <c r="I24" s="40">
        <v>177741</v>
      </c>
      <c r="J24" s="40"/>
      <c r="K24" s="40"/>
      <c r="M24" s="40"/>
      <c r="N24" s="40"/>
      <c r="O24" s="40"/>
    </row>
    <row r="25" spans="1:15" x14ac:dyDescent="0.3">
      <c r="A25" s="16">
        <v>19</v>
      </c>
      <c r="B25" s="38" t="s">
        <v>24</v>
      </c>
      <c r="D25" s="40"/>
      <c r="E25" s="40"/>
      <c r="F25" s="40"/>
      <c r="G25" s="40"/>
      <c r="H25" s="40"/>
      <c r="I25" s="40"/>
      <c r="J25" s="40"/>
      <c r="K25" s="40"/>
      <c r="M25" s="40"/>
      <c r="N25" s="40"/>
      <c r="O25" s="40"/>
    </row>
    <row r="26" spans="1:15" x14ac:dyDescent="0.3">
      <c r="A26" s="16">
        <v>20</v>
      </c>
      <c r="B26" s="38" t="s">
        <v>25</v>
      </c>
      <c r="D26" s="40"/>
      <c r="E26" s="40"/>
      <c r="F26" s="40"/>
      <c r="G26" s="40"/>
      <c r="H26" s="40"/>
      <c r="I26" s="40"/>
      <c r="J26" s="40"/>
      <c r="K26" s="40"/>
      <c r="M26" s="40"/>
      <c r="N26" s="40"/>
      <c r="O26" s="40"/>
    </row>
    <row r="27" spans="1:15" x14ac:dyDescent="0.3">
      <c r="A27" s="16">
        <v>21</v>
      </c>
      <c r="B27" s="38" t="s">
        <v>26</v>
      </c>
      <c r="D27" s="40">
        <v>1731</v>
      </c>
      <c r="E27" s="40">
        <v>17</v>
      </c>
      <c r="F27" s="40">
        <v>1814</v>
      </c>
      <c r="G27" s="40">
        <v>5168</v>
      </c>
      <c r="H27" s="40">
        <v>1278</v>
      </c>
      <c r="I27" s="40">
        <v>1025</v>
      </c>
      <c r="J27" s="40">
        <v>234.24</v>
      </c>
      <c r="K27" s="40">
        <v>3026</v>
      </c>
      <c r="L27" s="40">
        <v>12349</v>
      </c>
      <c r="M27" s="40">
        <v>154</v>
      </c>
      <c r="N27" s="40"/>
      <c r="O27" s="40">
        <v>26149</v>
      </c>
    </row>
    <row r="28" spans="1:15" x14ac:dyDescent="0.3">
      <c r="A28" s="16">
        <v>22</v>
      </c>
      <c r="B28" s="38" t="s">
        <v>27</v>
      </c>
      <c r="D28" s="40"/>
      <c r="E28" s="40"/>
      <c r="F28" s="40"/>
      <c r="G28" s="40"/>
      <c r="H28" s="40"/>
      <c r="I28" s="40"/>
      <c r="J28" s="40"/>
      <c r="K28" s="40"/>
      <c r="M28" s="40"/>
      <c r="N28" s="40"/>
      <c r="O28" s="40"/>
    </row>
    <row r="29" spans="1:15" x14ac:dyDescent="0.3">
      <c r="A29" s="16">
        <v>23</v>
      </c>
      <c r="B29" s="38" t="s">
        <v>28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x14ac:dyDescent="0.3">
      <c r="A30" s="16">
        <v>24</v>
      </c>
      <c r="B30" s="38" t="s">
        <v>80</v>
      </c>
      <c r="D30" s="40">
        <v>1731</v>
      </c>
      <c r="E30" s="40">
        <v>17</v>
      </c>
      <c r="F30" s="40">
        <v>1814</v>
      </c>
      <c r="G30" s="40">
        <v>164258</v>
      </c>
      <c r="H30" s="40">
        <v>179976</v>
      </c>
      <c r="I30" s="40">
        <f t="shared" ref="I30:M30" si="2">SUM(I24:I29)</f>
        <v>178766</v>
      </c>
      <c r="J30" s="40">
        <f t="shared" si="2"/>
        <v>234.24</v>
      </c>
      <c r="K30" s="40">
        <f t="shared" si="2"/>
        <v>3026</v>
      </c>
      <c r="L30" s="40">
        <f t="shared" si="2"/>
        <v>12349</v>
      </c>
      <c r="M30" s="40">
        <f t="shared" si="2"/>
        <v>154</v>
      </c>
      <c r="N30" s="40">
        <f>SUM(N24:N29)</f>
        <v>0</v>
      </c>
      <c r="O30" s="40">
        <f t="shared" ref="O30" si="3">SUM(O24:O29)</f>
        <v>26149</v>
      </c>
    </row>
    <row r="31" spans="1:15" x14ac:dyDescent="0.3">
      <c r="A31" s="16">
        <v>25</v>
      </c>
      <c r="D31" s="40"/>
      <c r="E31" s="40"/>
      <c r="F31" s="40"/>
      <c r="G31" s="40"/>
      <c r="H31" s="40"/>
      <c r="I31" s="40"/>
      <c r="J31" s="40"/>
      <c r="K31" s="40"/>
      <c r="M31" s="40"/>
      <c r="N31" s="40"/>
      <c r="O31" s="40"/>
    </row>
    <row r="32" spans="1:15" x14ac:dyDescent="0.3">
      <c r="A32" s="16">
        <v>26</v>
      </c>
      <c r="B32" s="38" t="s">
        <v>75</v>
      </c>
      <c r="D32" s="40"/>
      <c r="E32" s="40"/>
      <c r="F32" s="40"/>
      <c r="G32" s="40"/>
      <c r="H32" s="40"/>
      <c r="I32" s="40"/>
      <c r="J32" s="40"/>
      <c r="K32" s="40"/>
      <c r="M32" s="40"/>
      <c r="N32" s="40"/>
      <c r="O32" s="40"/>
    </row>
    <row r="33" spans="1:18" x14ac:dyDescent="0.3">
      <c r="A33" s="16">
        <v>27</v>
      </c>
      <c r="B33" s="38" t="s">
        <v>29</v>
      </c>
      <c r="D33" s="40">
        <v>180121</v>
      </c>
      <c r="E33" s="40">
        <v>172990</v>
      </c>
      <c r="F33" s="40">
        <v>171154</v>
      </c>
      <c r="G33" s="40">
        <v>174689</v>
      </c>
      <c r="H33" s="40">
        <v>173988</v>
      </c>
      <c r="I33" s="40">
        <v>156983</v>
      </c>
      <c r="J33" s="40">
        <v>157961</v>
      </c>
      <c r="K33" s="40">
        <v>165521</v>
      </c>
      <c r="L33" s="40">
        <v>154904</v>
      </c>
      <c r="M33" s="40">
        <v>137627</v>
      </c>
      <c r="N33" s="40">
        <v>169049.53467276783</v>
      </c>
      <c r="O33" s="40">
        <v>183198.52069818412</v>
      </c>
    </row>
    <row r="34" spans="1:18" x14ac:dyDescent="0.3">
      <c r="A34" s="16">
        <v>28</v>
      </c>
      <c r="B34" s="38" t="s">
        <v>30</v>
      </c>
      <c r="D34" s="40"/>
      <c r="E34" s="40"/>
      <c r="F34" s="40"/>
      <c r="G34" s="40"/>
      <c r="H34" s="40"/>
      <c r="I34" s="40"/>
      <c r="J34" s="40"/>
      <c r="K34" s="40"/>
      <c r="M34" s="40"/>
      <c r="N34" s="40"/>
      <c r="O34" s="40"/>
    </row>
    <row r="35" spans="1:18" x14ac:dyDescent="0.3">
      <c r="A35" s="16">
        <v>29</v>
      </c>
      <c r="B35" s="38" t="s">
        <v>31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8" x14ac:dyDescent="0.3">
      <c r="A36" s="16">
        <v>30</v>
      </c>
      <c r="B36" s="38" t="s">
        <v>81</v>
      </c>
      <c r="D36" s="40">
        <f t="shared" ref="D36:N36" si="4">SUM(D33:D35)</f>
        <v>180121</v>
      </c>
      <c r="E36" s="40">
        <f t="shared" si="4"/>
        <v>172990</v>
      </c>
      <c r="F36" s="40">
        <f t="shared" si="4"/>
        <v>171154</v>
      </c>
      <c r="G36" s="40">
        <f t="shared" si="4"/>
        <v>174689</v>
      </c>
      <c r="H36" s="40">
        <f t="shared" si="4"/>
        <v>173988</v>
      </c>
      <c r="I36" s="40">
        <f t="shared" si="4"/>
        <v>156983</v>
      </c>
      <c r="J36" s="40">
        <f t="shared" si="4"/>
        <v>157961</v>
      </c>
      <c r="K36" s="40">
        <f t="shared" si="4"/>
        <v>165521</v>
      </c>
      <c r="L36" s="40">
        <f t="shared" si="4"/>
        <v>154904</v>
      </c>
      <c r="M36" s="40">
        <f t="shared" si="4"/>
        <v>137627</v>
      </c>
      <c r="N36" s="40">
        <f t="shared" si="4"/>
        <v>169049.53467276783</v>
      </c>
      <c r="O36" s="40">
        <f>SUM(O33:O35)</f>
        <v>183198.52069818412</v>
      </c>
    </row>
    <row r="37" spans="1:18" x14ac:dyDescent="0.3">
      <c r="A37" s="16">
        <v>31</v>
      </c>
      <c r="D37" s="40"/>
      <c r="E37" s="40"/>
      <c r="F37" s="40"/>
      <c r="G37" s="40"/>
      <c r="H37" s="40"/>
      <c r="I37" s="40"/>
      <c r="J37" s="40"/>
      <c r="K37" s="40"/>
      <c r="M37" s="40"/>
      <c r="N37" s="40"/>
      <c r="O37" s="40"/>
    </row>
    <row r="38" spans="1:18" x14ac:dyDescent="0.3">
      <c r="A38" s="16">
        <v>32</v>
      </c>
      <c r="B38" s="38" t="s">
        <v>76</v>
      </c>
      <c r="D38" s="40"/>
      <c r="E38" s="40"/>
      <c r="F38" s="40"/>
      <c r="G38" s="40"/>
      <c r="H38" s="40"/>
      <c r="I38" s="40"/>
      <c r="J38" s="40"/>
      <c r="K38" s="40"/>
      <c r="M38" s="40"/>
      <c r="N38" s="40"/>
      <c r="O38" s="40"/>
    </row>
    <row r="39" spans="1:18" x14ac:dyDescent="0.3">
      <c r="A39" s="16">
        <v>33</v>
      </c>
      <c r="B39" s="38" t="s">
        <v>32</v>
      </c>
      <c r="D39" s="40"/>
      <c r="E39" s="40"/>
      <c r="F39" s="40"/>
      <c r="G39" s="40"/>
      <c r="H39" s="40"/>
      <c r="I39" s="40"/>
      <c r="J39" s="40"/>
      <c r="K39" s="40"/>
      <c r="M39" s="40"/>
      <c r="N39" s="40"/>
      <c r="O39" s="40"/>
    </row>
    <row r="40" spans="1:18" x14ac:dyDescent="0.3">
      <c r="A40" s="16">
        <v>34</v>
      </c>
      <c r="B40" s="38" t="s">
        <v>82</v>
      </c>
      <c r="D40" s="40"/>
      <c r="E40" s="40"/>
      <c r="F40" s="40"/>
      <c r="G40" s="40"/>
      <c r="H40" s="40"/>
      <c r="I40" s="40"/>
      <c r="J40" s="40">
        <v>957</v>
      </c>
      <c r="K40" s="40">
        <v>4149</v>
      </c>
      <c r="L40" s="40">
        <v>1063</v>
      </c>
      <c r="M40" s="40">
        <v>-5728</v>
      </c>
      <c r="N40" s="40"/>
      <c r="O40" s="40"/>
    </row>
    <row r="41" spans="1:18" x14ac:dyDescent="0.3">
      <c r="A41" s="16">
        <v>35</v>
      </c>
      <c r="B41" s="38" t="s">
        <v>33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8" x14ac:dyDescent="0.3">
      <c r="A42" s="16">
        <v>36</v>
      </c>
      <c r="B42" s="38" t="s">
        <v>83</v>
      </c>
      <c r="D42" s="40">
        <f t="shared" ref="D42" si="5">SUM(D39:D41)</f>
        <v>0</v>
      </c>
      <c r="E42" s="40">
        <f t="shared" ref="E42" si="6">SUM(E39:E41)</f>
        <v>0</v>
      </c>
      <c r="F42" s="40">
        <f t="shared" ref="F42" si="7">SUM(F39:F41)</f>
        <v>0</v>
      </c>
      <c r="G42" s="40">
        <f t="shared" ref="G42" si="8">SUM(G39:G41)</f>
        <v>0</v>
      </c>
      <c r="H42" s="40">
        <f t="shared" ref="H42" si="9">SUM(H39:H41)</f>
        <v>0</v>
      </c>
      <c r="I42" s="40">
        <f t="shared" ref="I42:M42" si="10">SUM(I39:I41)</f>
        <v>0</v>
      </c>
      <c r="J42" s="40">
        <f t="shared" si="10"/>
        <v>957</v>
      </c>
      <c r="K42" s="40">
        <f t="shared" si="10"/>
        <v>4149</v>
      </c>
      <c r="L42" s="40">
        <f t="shared" si="10"/>
        <v>1063</v>
      </c>
      <c r="M42" s="40">
        <f t="shared" si="10"/>
        <v>-5728</v>
      </c>
      <c r="N42" s="40">
        <f>SUM(N39:N41)</f>
        <v>0</v>
      </c>
      <c r="O42" s="40">
        <f>SUM(O39:O41)</f>
        <v>0</v>
      </c>
    </row>
    <row r="43" spans="1:18" x14ac:dyDescent="0.3">
      <c r="A43" s="16">
        <v>37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8" ht="13.5" thickBot="1" x14ac:dyDescent="0.35">
      <c r="A44" s="16">
        <v>38</v>
      </c>
      <c r="B44" s="38" t="s">
        <v>84</v>
      </c>
      <c r="D44" s="47">
        <f t="shared" ref="D44:O44" si="11">+D21+D30-D36+D42</f>
        <v>49994</v>
      </c>
      <c r="E44" s="47">
        <f t="shared" si="11"/>
        <v>40809</v>
      </c>
      <c r="F44" s="47">
        <f t="shared" si="11"/>
        <v>208780</v>
      </c>
      <c r="G44" s="47">
        <f t="shared" si="11"/>
        <v>-48923</v>
      </c>
      <c r="H44" s="47">
        <f t="shared" si="11"/>
        <v>155916</v>
      </c>
      <c r="I44" s="47">
        <f t="shared" si="11"/>
        <v>662202</v>
      </c>
      <c r="J44" s="47">
        <f t="shared" si="11"/>
        <v>86400.639999999985</v>
      </c>
      <c r="K44" s="47">
        <f t="shared" si="11"/>
        <v>-112246</v>
      </c>
      <c r="L44" s="47">
        <f t="shared" si="11"/>
        <v>-223562</v>
      </c>
      <c r="M44" s="47">
        <f t="shared" si="11"/>
        <v>-182395</v>
      </c>
      <c r="N44" s="47">
        <f t="shared" si="11"/>
        <v>-162461.45656786763</v>
      </c>
      <c r="O44" s="47">
        <f t="shared" si="11"/>
        <v>-320702.52069818415</v>
      </c>
    </row>
    <row r="45" spans="1:18" ht="13.5" thickTop="1" x14ac:dyDescent="0.3">
      <c r="D45" s="45"/>
      <c r="I45" s="45"/>
      <c r="J45" s="45"/>
    </row>
    <row r="46" spans="1:18" s="3" customFormat="1" x14ac:dyDescent="0.3">
      <c r="A46" s="16">
        <v>1</v>
      </c>
      <c r="B46" s="15" t="s">
        <v>71</v>
      </c>
      <c r="C46" s="15"/>
      <c r="D46" s="5"/>
      <c r="E46" s="5"/>
      <c r="F46" s="5"/>
      <c r="G46" s="5"/>
      <c r="H46" s="5"/>
      <c r="I46" s="5"/>
      <c r="J46" s="5"/>
      <c r="K46" s="5"/>
      <c r="L46" s="5"/>
      <c r="M46" s="5"/>
      <c r="N46" s="14"/>
      <c r="O46" s="14"/>
    </row>
    <row r="47" spans="1:18" s="3" customFormat="1" x14ac:dyDescent="0.3">
      <c r="A47" s="16">
        <v>2</v>
      </c>
      <c r="B47" s="48" t="s">
        <v>85</v>
      </c>
      <c r="C47" s="48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8" s="3" customFormat="1" x14ac:dyDescent="0.3">
      <c r="A48" s="16">
        <v>3</v>
      </c>
      <c r="B48" s="48" t="s">
        <v>34</v>
      </c>
      <c r="C48" s="48">
        <v>10376962</v>
      </c>
      <c r="D48" s="6">
        <v>10657790</v>
      </c>
      <c r="E48" s="6">
        <v>10939196</v>
      </c>
      <c r="F48" s="6">
        <v>11439859</v>
      </c>
      <c r="G48" s="6">
        <v>12156525</v>
      </c>
      <c r="H48" s="6">
        <v>12442104</v>
      </c>
      <c r="I48" s="6">
        <v>12723289</v>
      </c>
      <c r="J48" s="6">
        <v>12961560</v>
      </c>
      <c r="K48" s="6">
        <v>13330826</v>
      </c>
      <c r="L48" s="6">
        <v>13639094</v>
      </c>
      <c r="M48" s="6">
        <v>13602572</v>
      </c>
      <c r="N48" s="4">
        <f>13686450.2320305+103582</f>
        <v>13790032.2320305</v>
      </c>
      <c r="O48" s="4">
        <v>15085340.682395529</v>
      </c>
      <c r="Q48" s="3">
        <v>13479316.909999996</v>
      </c>
      <c r="R48" s="18">
        <v>13777757.3380458</v>
      </c>
    </row>
    <row r="49" spans="1:18" s="3" customFormat="1" x14ac:dyDescent="0.3">
      <c r="A49" s="16">
        <v>4</v>
      </c>
      <c r="B49" s="48" t="s">
        <v>103</v>
      </c>
      <c r="C49" s="48">
        <v>-4720595</v>
      </c>
      <c r="D49" s="28">
        <v>-5010382</v>
      </c>
      <c r="E49" s="28">
        <v>-4757705</v>
      </c>
      <c r="F49" s="28">
        <v>-5021032</v>
      </c>
      <c r="G49" s="28">
        <v>-5358464</v>
      </c>
      <c r="H49" s="28">
        <v>-5544674</v>
      </c>
      <c r="I49" s="28">
        <v>-5702602</v>
      </c>
      <c r="J49" s="28">
        <v>-5963864</v>
      </c>
      <c r="K49" s="28">
        <v>-6312809</v>
      </c>
      <c r="L49" s="28">
        <v>-6683645</v>
      </c>
      <c r="M49" s="28">
        <v>-6709374</v>
      </c>
      <c r="N49" s="29">
        <v>-7028400.45024978</v>
      </c>
      <c r="O49" s="29">
        <v>-7391107.8499999996</v>
      </c>
      <c r="Q49" s="3">
        <v>-6636045.2699999996</v>
      </c>
      <c r="R49" s="18">
        <v>-7065006.8499999978</v>
      </c>
    </row>
    <row r="50" spans="1:18" s="3" customFormat="1" x14ac:dyDescent="0.3">
      <c r="A50" s="16">
        <v>5</v>
      </c>
      <c r="B50" s="38" t="s">
        <v>10</v>
      </c>
      <c r="C50" s="18">
        <f t="shared" ref="C50:M50" si="12">+C48+C49</f>
        <v>5656367</v>
      </c>
      <c r="D50" s="18">
        <f t="shared" si="12"/>
        <v>5647408</v>
      </c>
      <c r="E50" s="18">
        <f t="shared" si="12"/>
        <v>6181491</v>
      </c>
      <c r="F50" s="18">
        <f t="shared" si="12"/>
        <v>6418827</v>
      </c>
      <c r="G50" s="18">
        <f t="shared" si="12"/>
        <v>6798061</v>
      </c>
      <c r="H50" s="18">
        <f t="shared" si="12"/>
        <v>6897430</v>
      </c>
      <c r="I50" s="18">
        <f t="shared" si="12"/>
        <v>7020687</v>
      </c>
      <c r="J50" s="18">
        <f t="shared" si="12"/>
        <v>6997696</v>
      </c>
      <c r="K50" s="18">
        <f t="shared" si="12"/>
        <v>7018017</v>
      </c>
      <c r="L50" s="18">
        <f t="shared" si="12"/>
        <v>6955449</v>
      </c>
      <c r="M50" s="18">
        <f t="shared" si="12"/>
        <v>6893198</v>
      </c>
      <c r="N50" s="18">
        <f>+N48+N49</f>
        <v>6761631.7817807198</v>
      </c>
      <c r="O50" s="18">
        <f>+O48+O49</f>
        <v>7694232.8323955294</v>
      </c>
      <c r="Q50" s="3">
        <v>6843271.6399999969</v>
      </c>
      <c r="R50" s="18">
        <v>6712750.4880458023</v>
      </c>
    </row>
    <row r="51" spans="1:18" s="3" customFormat="1" x14ac:dyDescent="0.3">
      <c r="A51" s="16">
        <v>6</v>
      </c>
      <c r="B51" s="38"/>
      <c r="C51" s="3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8"/>
      <c r="R51" s="18"/>
    </row>
    <row r="52" spans="1:18" s="3" customFormat="1" x14ac:dyDescent="0.3">
      <c r="A52" s="16">
        <v>7</v>
      </c>
      <c r="B52" s="48" t="s">
        <v>35</v>
      </c>
      <c r="C52" s="48">
        <v>-150080</v>
      </c>
      <c r="D52" s="28">
        <v>-146419</v>
      </c>
      <c r="E52" s="28">
        <v>-142759</v>
      </c>
      <c r="F52" s="28">
        <v>-139099</v>
      </c>
      <c r="G52" s="28">
        <v>-135438</v>
      </c>
      <c r="H52" s="28">
        <v>-131778</v>
      </c>
      <c r="I52" s="28">
        <v>-128117</v>
      </c>
      <c r="J52" s="28">
        <v>-124457</v>
      </c>
      <c r="K52" s="28">
        <v>-120796</v>
      </c>
      <c r="L52" s="28">
        <v>-117136</v>
      </c>
      <c r="M52" s="28">
        <v>-113475</v>
      </c>
      <c r="N52" s="29">
        <v>-110730.04999999997</v>
      </c>
      <c r="O52" s="29">
        <v>-106154.43749999997</v>
      </c>
      <c r="Q52" s="3">
        <v>-114390.53999999998</v>
      </c>
      <c r="R52" s="18">
        <v>-109814.91999999997</v>
      </c>
    </row>
    <row r="53" spans="1:18" s="3" customFormat="1" x14ac:dyDescent="0.3">
      <c r="A53" s="16">
        <v>8</v>
      </c>
      <c r="B53" s="48" t="s">
        <v>36</v>
      </c>
      <c r="C53" s="18">
        <f t="shared" ref="C53:M53" si="13">C52+C50</f>
        <v>5506287</v>
      </c>
      <c r="D53" s="18">
        <f t="shared" si="13"/>
        <v>5500989</v>
      </c>
      <c r="E53" s="18">
        <f t="shared" si="13"/>
        <v>6038732</v>
      </c>
      <c r="F53" s="18">
        <f t="shared" si="13"/>
        <v>6279728</v>
      </c>
      <c r="G53" s="18">
        <f t="shared" si="13"/>
        <v>6662623</v>
      </c>
      <c r="H53" s="18">
        <f t="shared" si="13"/>
        <v>6765652</v>
      </c>
      <c r="I53" s="18">
        <f t="shared" si="13"/>
        <v>6892570</v>
      </c>
      <c r="J53" s="18">
        <f t="shared" si="13"/>
        <v>6873239</v>
      </c>
      <c r="K53" s="18">
        <f t="shared" si="13"/>
        <v>6897221</v>
      </c>
      <c r="L53" s="18">
        <f t="shared" si="13"/>
        <v>6838313</v>
      </c>
      <c r="M53" s="18">
        <f t="shared" si="13"/>
        <v>6779723</v>
      </c>
      <c r="N53" s="18">
        <f>N52+N50</f>
        <v>6650901.7317807199</v>
      </c>
      <c r="O53" s="18">
        <f>O52+O50</f>
        <v>7588078.3948955294</v>
      </c>
      <c r="Q53" s="18">
        <f>+Q50+Q52</f>
        <v>6728881.0999999968</v>
      </c>
      <c r="R53" s="18">
        <f>+R50+R52</f>
        <v>6602935.5680458024</v>
      </c>
    </row>
    <row r="54" spans="1:18" s="3" customFormat="1" x14ac:dyDescent="0.3">
      <c r="A54" s="16">
        <v>9</v>
      </c>
      <c r="B54" s="48"/>
      <c r="C54" s="4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8"/>
      <c r="O54" s="18"/>
      <c r="R54" s="18"/>
    </row>
    <row r="55" spans="1:18" s="3" customFormat="1" x14ac:dyDescent="0.3">
      <c r="A55" s="16">
        <v>10</v>
      </c>
      <c r="B55" s="38" t="s">
        <v>87</v>
      </c>
      <c r="C55" s="38"/>
      <c r="D55" s="20"/>
      <c r="E55" s="20"/>
      <c r="F55" s="20"/>
      <c r="G55" s="20"/>
      <c r="H55" s="20"/>
      <c r="I55" s="20"/>
      <c r="J55" s="20"/>
      <c r="K55" s="20"/>
      <c r="L55" s="21"/>
      <c r="M55" s="21"/>
      <c r="N55" s="18"/>
      <c r="O55" s="18"/>
      <c r="R55" s="18"/>
    </row>
    <row r="56" spans="1:18" s="3" customFormat="1" x14ac:dyDescent="0.3">
      <c r="A56" s="16">
        <v>11</v>
      </c>
      <c r="B56" s="48" t="s">
        <v>37</v>
      </c>
      <c r="C56" s="48">
        <v>46176</v>
      </c>
      <c r="D56" s="17">
        <v>23078</v>
      </c>
      <c r="E56" s="17">
        <v>48602</v>
      </c>
      <c r="F56" s="17">
        <v>39716</v>
      </c>
      <c r="G56" s="17">
        <v>135263</v>
      </c>
      <c r="H56" s="17">
        <v>86229</v>
      </c>
      <c r="I56" s="17">
        <v>108453</v>
      </c>
      <c r="J56" s="17">
        <v>58178</v>
      </c>
      <c r="K56" s="17">
        <v>184972</v>
      </c>
      <c r="L56" s="17">
        <v>138629</v>
      </c>
      <c r="M56" s="17">
        <v>19709</v>
      </c>
      <c r="N56" s="18">
        <v>44688.779999999329</v>
      </c>
      <c r="O56" s="18">
        <v>36092.389999999665</v>
      </c>
      <c r="Q56" s="3">
        <v>44688.89000000048</v>
      </c>
      <c r="R56" s="18">
        <v>36092.389999999665</v>
      </c>
    </row>
    <row r="57" spans="1:18" s="3" customFormat="1" x14ac:dyDescent="0.3">
      <c r="A57" s="16">
        <v>12</v>
      </c>
      <c r="B57" s="48" t="s">
        <v>38</v>
      </c>
      <c r="C57" s="48">
        <v>6100</v>
      </c>
      <c r="D57" s="17">
        <v>6100</v>
      </c>
      <c r="E57" s="17">
        <v>6100</v>
      </c>
      <c r="F57" s="17">
        <v>6100</v>
      </c>
      <c r="G57" s="17">
        <v>6100</v>
      </c>
      <c r="H57" s="17">
        <v>6100</v>
      </c>
      <c r="I57" s="17">
        <v>6100</v>
      </c>
      <c r="J57" s="17">
        <v>6100</v>
      </c>
      <c r="K57" s="17">
        <v>6100</v>
      </c>
      <c r="L57" s="17">
        <v>6100</v>
      </c>
      <c r="M57" s="17">
        <v>6100</v>
      </c>
      <c r="N57" s="19">
        <f>M57</f>
        <v>6100</v>
      </c>
      <c r="O57" s="18">
        <f>N57</f>
        <v>6100</v>
      </c>
      <c r="R57" s="18"/>
    </row>
    <row r="58" spans="1:18" s="3" customFormat="1" ht="26" x14ac:dyDescent="0.3">
      <c r="A58" s="16">
        <v>13</v>
      </c>
      <c r="B58" s="11" t="s">
        <v>39</v>
      </c>
      <c r="C58" s="11">
        <v>439758</v>
      </c>
      <c r="D58" s="17">
        <v>447433</v>
      </c>
      <c r="E58" s="17">
        <v>442685</v>
      </c>
      <c r="F58" s="17">
        <v>418299</v>
      </c>
      <c r="G58" s="17">
        <v>419959</v>
      </c>
      <c r="H58" s="17">
        <v>508194</v>
      </c>
      <c r="I58" s="17">
        <f>521489</f>
        <v>521489</v>
      </c>
      <c r="J58" s="17">
        <v>489568</v>
      </c>
      <c r="K58" s="17">
        <v>641061</v>
      </c>
      <c r="L58" s="17">
        <v>875431</v>
      </c>
      <c r="M58" s="17">
        <v>1039450</v>
      </c>
      <c r="N58" s="19">
        <v>853197.87929984136</v>
      </c>
      <c r="O58" s="18">
        <v>995347.78446286707</v>
      </c>
      <c r="Q58" s="3">
        <v>1087861.8499999968</v>
      </c>
      <c r="R58" s="18">
        <v>954164.97624206054</v>
      </c>
    </row>
    <row r="59" spans="1:18" s="3" customFormat="1" x14ac:dyDescent="0.3">
      <c r="A59" s="16">
        <v>14</v>
      </c>
      <c r="B59" s="48" t="s">
        <v>40</v>
      </c>
      <c r="C59" s="48">
        <v>127018</v>
      </c>
      <c r="D59" s="17">
        <v>617693</v>
      </c>
      <c r="E59" s="17">
        <f>597234-1</f>
        <v>597233</v>
      </c>
      <c r="F59" s="17">
        <v>500503</v>
      </c>
      <c r="G59" s="17">
        <v>-16264</v>
      </c>
      <c r="H59" s="17">
        <v>287134</v>
      </c>
      <c r="I59" s="17">
        <f>520795+1</f>
        <v>520796</v>
      </c>
      <c r="J59" s="17">
        <v>669630</v>
      </c>
      <c r="K59" s="17">
        <f>498802-1</f>
        <v>498801</v>
      </c>
      <c r="L59" s="17">
        <f>547264+1</f>
        <v>547265</v>
      </c>
      <c r="M59" s="17">
        <f>6264+1</f>
        <v>6265</v>
      </c>
      <c r="N59" s="19">
        <v>378581.94999999547</v>
      </c>
      <c r="O59" s="18">
        <f>N59</f>
        <v>378581.94999999547</v>
      </c>
      <c r="Q59" s="3">
        <v>-118449.85000000522</v>
      </c>
      <c r="R59" s="18">
        <v>378581.94999999547</v>
      </c>
    </row>
    <row r="60" spans="1:18" s="3" customFormat="1" x14ac:dyDescent="0.3">
      <c r="A60" s="16">
        <v>15</v>
      </c>
      <c r="B60" s="48" t="s">
        <v>41</v>
      </c>
      <c r="C60" s="48"/>
      <c r="D60" s="17"/>
      <c r="E60" s="17"/>
      <c r="F60" s="17"/>
      <c r="G60" s="17">
        <v>4728</v>
      </c>
      <c r="H60" s="17">
        <v>9782</v>
      </c>
      <c r="I60" s="17">
        <v>8682</v>
      </c>
      <c r="J60" s="17">
        <v>11121</v>
      </c>
      <c r="K60" s="17">
        <v>8577</v>
      </c>
      <c r="L60" s="17">
        <v>4191</v>
      </c>
      <c r="M60" s="17">
        <v>8536</v>
      </c>
      <c r="N60" s="19"/>
      <c r="O60" s="18"/>
      <c r="R60" s="18"/>
    </row>
    <row r="61" spans="1:18" s="3" customFormat="1" x14ac:dyDescent="0.3">
      <c r="A61" s="16">
        <v>16</v>
      </c>
      <c r="B61" s="48" t="s">
        <v>42</v>
      </c>
      <c r="C61" s="48">
        <v>14384</v>
      </c>
      <c r="D61" s="17">
        <v>7919</v>
      </c>
      <c r="E61" s="17">
        <v>7885</v>
      </c>
      <c r="F61" s="17">
        <v>7700</v>
      </c>
      <c r="G61" s="17"/>
      <c r="H61" s="20"/>
      <c r="I61" s="20"/>
      <c r="J61" s="20"/>
      <c r="K61" s="20"/>
      <c r="L61" s="20"/>
      <c r="M61" s="20"/>
      <c r="N61" s="19"/>
      <c r="O61" s="18"/>
      <c r="Q61" s="3">
        <v>102222</v>
      </c>
      <c r="R61" s="18"/>
    </row>
    <row r="62" spans="1:18" s="3" customFormat="1" x14ac:dyDescent="0.3">
      <c r="A62" s="16">
        <v>17</v>
      </c>
      <c r="B62" s="48" t="s">
        <v>43</v>
      </c>
      <c r="C62" s="48"/>
      <c r="D62" s="31"/>
      <c r="E62" s="31"/>
      <c r="F62" s="31"/>
      <c r="G62" s="31"/>
      <c r="H62" s="31"/>
      <c r="I62" s="31"/>
      <c r="J62" s="31"/>
      <c r="K62" s="31"/>
      <c r="L62" s="33"/>
      <c r="M62" s="28">
        <v>175009</v>
      </c>
      <c r="N62" s="30">
        <f>168784.86-N57</f>
        <v>162684.85999999999</v>
      </c>
      <c r="O62" s="29">
        <f>143830-O57</f>
        <v>137730</v>
      </c>
      <c r="Q62" s="3">
        <v>180397</v>
      </c>
      <c r="R62" s="18">
        <v>156337</v>
      </c>
    </row>
    <row r="63" spans="1:18" s="3" customFormat="1" x14ac:dyDescent="0.3">
      <c r="A63" s="16">
        <v>18</v>
      </c>
      <c r="B63" s="38" t="s">
        <v>0</v>
      </c>
      <c r="C63" s="38">
        <v>633436</v>
      </c>
      <c r="D63" s="18">
        <f t="shared" ref="D63:N63" si="14">SUM(D56:D62)</f>
        <v>1102223</v>
      </c>
      <c r="E63" s="18">
        <f t="shared" si="14"/>
        <v>1102505</v>
      </c>
      <c r="F63" s="18">
        <f t="shared" si="14"/>
        <v>972318</v>
      </c>
      <c r="G63" s="18">
        <f t="shared" si="14"/>
        <v>549786</v>
      </c>
      <c r="H63" s="18">
        <f t="shared" si="14"/>
        <v>897439</v>
      </c>
      <c r="I63" s="18">
        <f t="shared" si="14"/>
        <v>1165520</v>
      </c>
      <c r="J63" s="18">
        <f t="shared" si="14"/>
        <v>1234597</v>
      </c>
      <c r="K63" s="18">
        <f t="shared" si="14"/>
        <v>1339511</v>
      </c>
      <c r="L63" s="18">
        <f t="shared" si="14"/>
        <v>1571616</v>
      </c>
      <c r="M63" s="18">
        <f t="shared" si="14"/>
        <v>1255069</v>
      </c>
      <c r="N63" s="19">
        <f t="shared" si="14"/>
        <v>1445253.4692998361</v>
      </c>
      <c r="O63" s="18">
        <f>SUM(O56:O62)</f>
        <v>1553852.1244628623</v>
      </c>
      <c r="Q63" s="18">
        <f>SUM(Q56:Q62)</f>
        <v>1296719.8899999922</v>
      </c>
      <c r="R63" s="18">
        <f>SUM(R56:R62)</f>
        <v>1525176.3162420557</v>
      </c>
    </row>
    <row r="64" spans="1:18" s="3" customFormat="1" x14ac:dyDescent="0.3">
      <c r="A64" s="16">
        <v>19</v>
      </c>
      <c r="B64" s="38"/>
      <c r="C64" s="3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  <c r="O64" s="18"/>
      <c r="R64" s="18"/>
    </row>
    <row r="65" spans="1:18" s="3" customFormat="1" x14ac:dyDescent="0.3">
      <c r="A65" s="16">
        <v>20</v>
      </c>
      <c r="B65" s="38" t="s">
        <v>88</v>
      </c>
      <c r="C65" s="38"/>
      <c r="D65" s="20"/>
      <c r="E65" s="20"/>
      <c r="F65" s="20"/>
      <c r="G65" s="20"/>
      <c r="H65" s="20"/>
      <c r="I65" s="20"/>
      <c r="J65" s="20"/>
      <c r="K65" s="20"/>
      <c r="L65" s="20"/>
      <c r="M65" s="17"/>
      <c r="N65" s="18"/>
      <c r="O65" s="18"/>
      <c r="R65" s="18"/>
    </row>
    <row r="66" spans="1:18" s="3" customFormat="1" x14ac:dyDescent="0.3">
      <c r="A66" s="16">
        <v>21</v>
      </c>
      <c r="B66" s="48" t="s">
        <v>44</v>
      </c>
      <c r="C66" s="4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8"/>
      <c r="O66" s="18"/>
      <c r="R66" s="18"/>
    </row>
    <row r="67" spans="1:18" s="3" customFormat="1" x14ac:dyDescent="0.3">
      <c r="A67" s="16">
        <v>22</v>
      </c>
      <c r="B67" s="48" t="s">
        <v>45</v>
      </c>
      <c r="C67" s="48"/>
      <c r="D67" s="20"/>
      <c r="E67" s="20"/>
      <c r="F67" s="20"/>
      <c r="G67" s="20"/>
      <c r="H67" s="20"/>
      <c r="I67" s="20"/>
      <c r="J67" s="20"/>
      <c r="K67" s="20"/>
      <c r="L67" s="22"/>
      <c r="M67" s="17">
        <v>3500</v>
      </c>
      <c r="N67" s="17"/>
      <c r="O67" s="17"/>
      <c r="R67" s="18"/>
    </row>
    <row r="68" spans="1:18" s="3" customFormat="1" x14ac:dyDescent="0.3">
      <c r="A68" s="16">
        <v>23</v>
      </c>
      <c r="B68" s="48" t="s">
        <v>46</v>
      </c>
      <c r="C68" s="48">
        <v>186941</v>
      </c>
      <c r="D68" s="28">
        <v>180066</v>
      </c>
      <c r="E68" s="28">
        <v>220314</v>
      </c>
      <c r="F68" s="28">
        <v>286213</v>
      </c>
      <c r="G68" s="28">
        <v>344558</v>
      </c>
      <c r="H68" s="28">
        <v>303671</v>
      </c>
      <c r="I68" s="28">
        <v>207391</v>
      </c>
      <c r="J68" s="28">
        <v>221423</v>
      </c>
      <c r="K68" s="28">
        <v>221796</v>
      </c>
      <c r="L68" s="28">
        <v>222755</v>
      </c>
      <c r="M68" s="28">
        <v>831186</v>
      </c>
      <c r="N68" s="29">
        <v>1219312.2866666666</v>
      </c>
      <c r="O68" s="29">
        <v>915687.39333333354</v>
      </c>
      <c r="Q68" s="3">
        <v>860188</v>
      </c>
      <c r="R68" s="18">
        <v>1189719.3766666669</v>
      </c>
    </row>
    <row r="69" spans="1:18" s="3" customFormat="1" x14ac:dyDescent="0.3">
      <c r="A69" s="16">
        <v>24</v>
      </c>
      <c r="B69" s="48" t="s">
        <v>89</v>
      </c>
      <c r="C69" s="18">
        <f t="shared" ref="C69:M69" si="15">C68+C67</f>
        <v>186941</v>
      </c>
      <c r="D69" s="18">
        <f t="shared" si="15"/>
        <v>180066</v>
      </c>
      <c r="E69" s="18">
        <f t="shared" si="15"/>
        <v>220314</v>
      </c>
      <c r="F69" s="18">
        <f t="shared" si="15"/>
        <v>286213</v>
      </c>
      <c r="G69" s="18">
        <f t="shared" si="15"/>
        <v>344558</v>
      </c>
      <c r="H69" s="18">
        <f t="shared" si="15"/>
        <v>303671</v>
      </c>
      <c r="I69" s="18">
        <f t="shared" si="15"/>
        <v>207391</v>
      </c>
      <c r="J69" s="18">
        <f t="shared" si="15"/>
        <v>221423</v>
      </c>
      <c r="K69" s="18">
        <f t="shared" si="15"/>
        <v>221796</v>
      </c>
      <c r="L69" s="18">
        <f t="shared" si="15"/>
        <v>222755</v>
      </c>
      <c r="M69" s="18">
        <f t="shared" si="15"/>
        <v>834686</v>
      </c>
      <c r="N69" s="18">
        <f>N68+N67</f>
        <v>1219312.2866666666</v>
      </c>
      <c r="O69" s="18">
        <f>O68+O67</f>
        <v>915687.39333333354</v>
      </c>
      <c r="Q69" s="18">
        <f>+Q68</f>
        <v>860188</v>
      </c>
      <c r="R69" s="18">
        <f>+R68</f>
        <v>1189719.3766666669</v>
      </c>
    </row>
    <row r="70" spans="1:18" s="3" customFormat="1" x14ac:dyDescent="0.3">
      <c r="A70" s="16">
        <v>25</v>
      </c>
      <c r="B70" s="48"/>
      <c r="C70" s="4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8"/>
      <c r="O70" s="18"/>
    </row>
    <row r="71" spans="1:18" s="3" customFormat="1" ht="13.5" thickBot="1" x14ac:dyDescent="0.35">
      <c r="A71" s="16">
        <v>26</v>
      </c>
      <c r="B71" s="37" t="s">
        <v>86</v>
      </c>
      <c r="C71" s="32">
        <f t="shared" ref="C71:M71" si="16">C69+C63+C53</f>
        <v>6326664</v>
      </c>
      <c r="D71" s="32">
        <f t="shared" si="16"/>
        <v>6783278</v>
      </c>
      <c r="E71" s="32">
        <f t="shared" si="16"/>
        <v>7361551</v>
      </c>
      <c r="F71" s="32">
        <f t="shared" si="16"/>
        <v>7538259</v>
      </c>
      <c r="G71" s="32">
        <f t="shared" si="16"/>
        <v>7556967</v>
      </c>
      <c r="H71" s="32">
        <f t="shared" si="16"/>
        <v>7966762</v>
      </c>
      <c r="I71" s="32">
        <f t="shared" si="16"/>
        <v>8265481</v>
      </c>
      <c r="J71" s="32">
        <f t="shared" si="16"/>
        <v>8329259</v>
      </c>
      <c r="K71" s="32">
        <f t="shared" si="16"/>
        <v>8458528</v>
      </c>
      <c r="L71" s="32">
        <f t="shared" si="16"/>
        <v>8632684</v>
      </c>
      <c r="M71" s="32">
        <f t="shared" si="16"/>
        <v>8869478</v>
      </c>
      <c r="N71" s="32">
        <f>N69+N63+N53</f>
        <v>9315467.4877472222</v>
      </c>
      <c r="O71" s="32">
        <f>O69+O63+O53</f>
        <v>10057617.912691725</v>
      </c>
      <c r="Q71" s="55">
        <f>+Q69+Q63+Q53</f>
        <v>8885788.989999989</v>
      </c>
      <c r="R71" s="55">
        <f>+R69+R63+R53</f>
        <v>9317831.2609545253</v>
      </c>
    </row>
    <row r="72" spans="1:18" s="3" customFormat="1" ht="13.5" thickTop="1" x14ac:dyDescent="0.3">
      <c r="A72" s="16">
        <v>27</v>
      </c>
      <c r="B72" s="38"/>
      <c r="C72" s="38"/>
      <c r="D72" s="23"/>
      <c r="E72" s="20"/>
      <c r="F72" s="24"/>
      <c r="G72" s="24"/>
      <c r="H72" s="24"/>
      <c r="I72" s="24"/>
      <c r="J72" s="24"/>
      <c r="K72" s="24"/>
      <c r="L72" s="24"/>
      <c r="M72" s="24"/>
      <c r="N72" s="18"/>
      <c r="O72" s="18"/>
    </row>
    <row r="73" spans="1:18" s="3" customFormat="1" x14ac:dyDescent="0.3">
      <c r="A73" s="16">
        <v>28</v>
      </c>
      <c r="B73" s="15" t="s">
        <v>72</v>
      </c>
      <c r="C73" s="15"/>
      <c r="D73" s="23"/>
      <c r="E73" s="20"/>
      <c r="F73" s="24"/>
      <c r="G73" s="24"/>
      <c r="H73" s="24"/>
      <c r="I73" s="24"/>
      <c r="J73" s="24"/>
      <c r="K73" s="24"/>
      <c r="L73" s="24"/>
      <c r="M73" s="24"/>
      <c r="N73" s="25"/>
      <c r="O73" s="25"/>
    </row>
    <row r="74" spans="1:18" s="3" customFormat="1" x14ac:dyDescent="0.3">
      <c r="A74" s="16">
        <v>29</v>
      </c>
      <c r="B74" s="38" t="s">
        <v>90</v>
      </c>
      <c r="C74" s="38"/>
      <c r="D74" s="23"/>
      <c r="E74" s="20"/>
      <c r="F74" s="24"/>
      <c r="G74" s="24"/>
      <c r="H74" s="24"/>
      <c r="I74" s="24"/>
      <c r="J74" s="24"/>
      <c r="K74" s="24"/>
      <c r="L74" s="24"/>
      <c r="M74" s="24"/>
      <c r="N74" s="18"/>
      <c r="O74" s="18"/>
    </row>
    <row r="75" spans="1:18" s="3" customFormat="1" x14ac:dyDescent="0.3">
      <c r="A75" s="16">
        <v>30</v>
      </c>
      <c r="B75" s="48" t="s">
        <v>48</v>
      </c>
      <c r="C75" s="48"/>
      <c r="D75" s="26">
        <v>1000</v>
      </c>
      <c r="E75" s="17">
        <v>1000</v>
      </c>
      <c r="F75" s="17">
        <v>1000</v>
      </c>
      <c r="G75" s="17">
        <v>1000</v>
      </c>
      <c r="H75" s="17">
        <v>1000</v>
      </c>
      <c r="I75" s="17">
        <v>1000</v>
      </c>
      <c r="J75" s="17">
        <v>1000</v>
      </c>
      <c r="K75" s="17">
        <v>1000</v>
      </c>
      <c r="L75" s="17">
        <v>1000</v>
      </c>
      <c r="M75" s="17">
        <v>1000</v>
      </c>
      <c r="N75" s="17">
        <v>1000</v>
      </c>
      <c r="O75" s="17">
        <v>1000</v>
      </c>
    </row>
    <row r="76" spans="1:18" s="3" customFormat="1" x14ac:dyDescent="0.3">
      <c r="A76" s="16">
        <v>31</v>
      </c>
      <c r="B76" s="48" t="s">
        <v>49</v>
      </c>
      <c r="C76" s="48"/>
      <c r="D76" s="26">
        <v>5067941</v>
      </c>
      <c r="E76" s="17">
        <v>5067438</v>
      </c>
      <c r="F76" s="17">
        <v>5067438</v>
      </c>
      <c r="G76" s="17">
        <v>5067438</v>
      </c>
      <c r="H76" s="17">
        <v>5067438</v>
      </c>
      <c r="I76" s="17">
        <v>5067438</v>
      </c>
      <c r="J76" s="17">
        <v>5067438</v>
      </c>
      <c r="K76" s="17">
        <v>5067438</v>
      </c>
      <c r="L76" s="17">
        <v>2834076</v>
      </c>
      <c r="M76" s="17">
        <v>2834076</v>
      </c>
      <c r="N76" s="18">
        <f>M76</f>
        <v>2834076</v>
      </c>
      <c r="O76" s="18">
        <f>N76</f>
        <v>2834076</v>
      </c>
    </row>
    <row r="77" spans="1:18" s="3" customFormat="1" x14ac:dyDescent="0.3">
      <c r="A77" s="16">
        <v>32</v>
      </c>
      <c r="B77" s="48" t="s">
        <v>50</v>
      </c>
      <c r="C77" s="48"/>
      <c r="D77" s="34">
        <v>-822380</v>
      </c>
      <c r="E77" s="28">
        <v>-415155</v>
      </c>
      <c r="F77" s="28">
        <v>-206375</v>
      </c>
      <c r="G77" s="28">
        <v>-276653</v>
      </c>
      <c r="H77" s="28">
        <v>-120738</v>
      </c>
      <c r="I77" s="28">
        <v>562823</v>
      </c>
      <c r="J77" s="28">
        <v>649224</v>
      </c>
      <c r="K77" s="28">
        <v>536977</v>
      </c>
      <c r="L77" s="28">
        <v>292071</v>
      </c>
      <c r="M77" s="28">
        <v>109708</v>
      </c>
      <c r="N77" s="29">
        <f>3029180.15101304-N76</f>
        <v>195104.15101303998</v>
      </c>
      <c r="O77" s="49">
        <f>2490978.72749004-O76</f>
        <v>-343097.27250995999</v>
      </c>
    </row>
    <row r="78" spans="1:18" s="3" customFormat="1" x14ac:dyDescent="0.3">
      <c r="A78" s="16">
        <v>33</v>
      </c>
      <c r="B78" s="48" t="s">
        <v>51</v>
      </c>
      <c r="C78" s="48"/>
      <c r="D78" s="18">
        <f t="shared" ref="D78:N78" si="17">SUM(D75:D77)</f>
        <v>4246561</v>
      </c>
      <c r="E78" s="18">
        <f t="shared" si="17"/>
        <v>4653283</v>
      </c>
      <c r="F78" s="18">
        <f t="shared" si="17"/>
        <v>4862063</v>
      </c>
      <c r="G78" s="18">
        <f t="shared" si="17"/>
        <v>4791785</v>
      </c>
      <c r="H78" s="18">
        <f t="shared" si="17"/>
        <v>4947700</v>
      </c>
      <c r="I78" s="18">
        <f t="shared" si="17"/>
        <v>5631261</v>
      </c>
      <c r="J78" s="18">
        <f t="shared" si="17"/>
        <v>5717662</v>
      </c>
      <c r="K78" s="18">
        <f t="shared" si="17"/>
        <v>5605415</v>
      </c>
      <c r="L78" s="18">
        <f t="shared" si="17"/>
        <v>3127147</v>
      </c>
      <c r="M78" s="18">
        <f t="shared" si="17"/>
        <v>2944784</v>
      </c>
      <c r="N78" s="18">
        <f t="shared" si="17"/>
        <v>3030180.15101304</v>
      </c>
      <c r="O78" s="18">
        <f>SUM(O75:O77)</f>
        <v>2491978.72749004</v>
      </c>
      <c r="P78" s="50"/>
    </row>
    <row r="79" spans="1:18" s="3" customFormat="1" x14ac:dyDescent="0.3">
      <c r="A79" s="16">
        <v>34</v>
      </c>
      <c r="B79" s="48"/>
      <c r="C79" s="48"/>
      <c r="D79" s="26"/>
      <c r="E79" s="17"/>
      <c r="F79" s="17"/>
      <c r="G79" s="17"/>
      <c r="H79" s="17"/>
      <c r="I79" s="17"/>
      <c r="J79" s="17"/>
      <c r="K79" s="17"/>
      <c r="L79" s="17"/>
      <c r="M79" s="17"/>
      <c r="N79" s="18"/>
      <c r="O79" s="18"/>
      <c r="P79" s="50"/>
    </row>
    <row r="80" spans="1:18" s="3" customFormat="1" x14ac:dyDescent="0.3">
      <c r="A80" s="16">
        <v>35</v>
      </c>
      <c r="B80" s="38" t="s">
        <v>91</v>
      </c>
      <c r="C80" s="38"/>
      <c r="D80" s="23"/>
      <c r="E80" s="20"/>
      <c r="F80" s="24"/>
      <c r="G80" s="24"/>
      <c r="H80" s="24"/>
      <c r="I80" s="24"/>
      <c r="J80" s="24"/>
      <c r="K80" s="24"/>
      <c r="L80" s="24"/>
      <c r="M80" s="24"/>
      <c r="N80" s="18"/>
      <c r="O80" s="18"/>
    </row>
    <row r="81" spans="1:18" s="3" customFormat="1" x14ac:dyDescent="0.3">
      <c r="A81" s="16">
        <v>36</v>
      </c>
      <c r="B81" s="48" t="s">
        <v>52</v>
      </c>
      <c r="C81" s="48"/>
      <c r="D81" s="23"/>
      <c r="E81" s="20"/>
      <c r="F81" s="24"/>
      <c r="G81" s="24"/>
      <c r="H81" s="24"/>
      <c r="I81" s="24"/>
      <c r="J81" s="24"/>
      <c r="K81" s="24"/>
      <c r="L81" s="24"/>
      <c r="M81" s="24"/>
      <c r="N81" s="18"/>
      <c r="O81" s="18"/>
    </row>
    <row r="82" spans="1:18" s="3" customFormat="1" x14ac:dyDescent="0.3">
      <c r="A82" s="16">
        <v>37</v>
      </c>
      <c r="B82" s="48" t="s">
        <v>53</v>
      </c>
      <c r="C82" s="48"/>
      <c r="D82" s="26">
        <v>-457635</v>
      </c>
      <c r="E82" s="17">
        <v>-457635</v>
      </c>
      <c r="F82" s="17">
        <v>-457635</v>
      </c>
      <c r="G82" s="17">
        <v>-457635</v>
      </c>
      <c r="H82" s="17">
        <v>-457635</v>
      </c>
      <c r="I82" s="17">
        <v>-457635</v>
      </c>
      <c r="J82" s="17">
        <v>-457635</v>
      </c>
      <c r="K82" s="17">
        <v>-457635</v>
      </c>
      <c r="L82" s="24"/>
      <c r="M82" s="24"/>
      <c r="N82" s="18"/>
      <c r="O82" s="18"/>
    </row>
    <row r="83" spans="1:18" s="3" customFormat="1" x14ac:dyDescent="0.3">
      <c r="A83" s="16">
        <v>38</v>
      </c>
      <c r="B83" s="48" t="s">
        <v>54</v>
      </c>
      <c r="C83" s="48"/>
      <c r="D83" s="35"/>
      <c r="E83" s="31"/>
      <c r="F83" s="36"/>
      <c r="G83" s="36"/>
      <c r="H83" s="36"/>
      <c r="I83" s="36"/>
      <c r="J83" s="36"/>
      <c r="K83" s="36"/>
      <c r="L83" s="36"/>
      <c r="M83" s="36"/>
      <c r="N83" s="29"/>
      <c r="O83" s="29"/>
    </row>
    <row r="84" spans="1:18" s="3" customFormat="1" x14ac:dyDescent="0.3">
      <c r="A84" s="16">
        <v>39</v>
      </c>
      <c r="B84" s="48" t="s">
        <v>55</v>
      </c>
      <c r="C84" s="48"/>
      <c r="D84" s="26">
        <f>+D81+D82+D83</f>
        <v>-457635</v>
      </c>
      <c r="E84" s="26">
        <f t="shared" ref="E84:O84" si="18">+E81+E82+E83</f>
        <v>-457635</v>
      </c>
      <c r="F84" s="26">
        <f t="shared" si="18"/>
        <v>-457635</v>
      </c>
      <c r="G84" s="26">
        <f t="shared" si="18"/>
        <v>-457635</v>
      </c>
      <c r="H84" s="26">
        <f t="shared" si="18"/>
        <v>-457635</v>
      </c>
      <c r="I84" s="26">
        <f t="shared" si="18"/>
        <v>-457635</v>
      </c>
      <c r="J84" s="26">
        <f t="shared" si="18"/>
        <v>-457635</v>
      </c>
      <c r="K84" s="26">
        <f t="shared" si="18"/>
        <v>-457635</v>
      </c>
      <c r="L84" s="26">
        <f t="shared" si="18"/>
        <v>0</v>
      </c>
      <c r="M84" s="26">
        <f t="shared" si="18"/>
        <v>0</v>
      </c>
      <c r="N84" s="26">
        <f t="shared" si="18"/>
        <v>0</v>
      </c>
      <c r="O84" s="26">
        <f t="shared" si="18"/>
        <v>0</v>
      </c>
    </row>
    <row r="85" spans="1:18" s="3" customFormat="1" x14ac:dyDescent="0.3">
      <c r="A85" s="16">
        <v>40</v>
      </c>
      <c r="B85" s="48"/>
      <c r="C85" s="48"/>
      <c r="D85" s="26"/>
      <c r="E85" s="17"/>
      <c r="F85" s="17"/>
      <c r="G85" s="17"/>
      <c r="H85" s="17"/>
      <c r="I85" s="17"/>
      <c r="J85" s="17"/>
      <c r="K85" s="17"/>
      <c r="L85" s="24"/>
      <c r="M85" s="24"/>
      <c r="N85" s="18"/>
      <c r="O85" s="18"/>
    </row>
    <row r="86" spans="1:18" s="3" customFormat="1" x14ac:dyDescent="0.3">
      <c r="A86" s="16">
        <v>41</v>
      </c>
      <c r="B86" s="38" t="s">
        <v>92</v>
      </c>
      <c r="C86" s="38"/>
      <c r="D86" s="23"/>
      <c r="E86" s="20"/>
      <c r="F86" s="24"/>
      <c r="G86" s="24"/>
      <c r="H86" s="24"/>
      <c r="I86" s="24"/>
      <c r="J86" s="24"/>
      <c r="K86" s="24"/>
      <c r="L86" s="24"/>
      <c r="M86" s="24"/>
      <c r="N86" s="18"/>
      <c r="O86" s="18"/>
    </row>
    <row r="87" spans="1:18" s="3" customFormat="1" x14ac:dyDescent="0.3">
      <c r="A87" s="16">
        <v>42</v>
      </c>
      <c r="B87" s="48" t="s">
        <v>56</v>
      </c>
      <c r="C87" s="48"/>
      <c r="D87" s="26">
        <v>343219</v>
      </c>
      <c r="E87" s="17">
        <v>300768</v>
      </c>
      <c r="F87" s="17">
        <v>389758</v>
      </c>
      <c r="G87" s="17">
        <v>341598</v>
      </c>
      <c r="H87" s="17">
        <v>414168</v>
      </c>
      <c r="I87" s="17">
        <v>342454</v>
      </c>
      <c r="J87" s="17">
        <v>287146</v>
      </c>
      <c r="K87" s="17">
        <v>444549</v>
      </c>
      <c r="L87" s="17">
        <v>727462</v>
      </c>
      <c r="M87" s="17">
        <v>1034178</v>
      </c>
      <c r="N87" s="18">
        <v>805727.28897427814</v>
      </c>
      <c r="O87" s="18">
        <v>1005272.4579979735</v>
      </c>
    </row>
    <row r="88" spans="1:18" s="3" customFormat="1" x14ac:dyDescent="0.3">
      <c r="A88" s="16">
        <v>43</v>
      </c>
      <c r="B88" s="48" t="s">
        <v>57</v>
      </c>
      <c r="C88" s="48"/>
      <c r="D88" s="23"/>
      <c r="E88" s="20"/>
      <c r="F88" s="24"/>
      <c r="G88" s="24"/>
      <c r="H88" s="24"/>
      <c r="I88" s="24"/>
      <c r="J88" s="24"/>
      <c r="K88" s="24"/>
      <c r="L88" s="24"/>
      <c r="M88" s="24"/>
      <c r="N88" s="18"/>
      <c r="O88" s="18"/>
    </row>
    <row r="89" spans="1:18" s="3" customFormat="1" x14ac:dyDescent="0.3">
      <c r="A89" s="16">
        <v>44</v>
      </c>
      <c r="B89" s="48" t="s">
        <v>58</v>
      </c>
      <c r="C89" s="48"/>
      <c r="D89" s="26">
        <v>1667633</v>
      </c>
      <c r="E89" s="17">
        <v>1667633</v>
      </c>
      <c r="F89" s="17">
        <v>1667633</v>
      </c>
      <c r="G89" s="17">
        <v>1667633</v>
      </c>
      <c r="H89" s="17">
        <v>1667633</v>
      </c>
      <c r="I89" s="17">
        <v>1667633</v>
      </c>
      <c r="J89" s="17">
        <v>1667633</v>
      </c>
      <c r="K89" s="17">
        <v>1667633</v>
      </c>
      <c r="L89" s="17">
        <v>3443359</v>
      </c>
      <c r="M89" s="17">
        <f>3443359</f>
        <v>3443359</v>
      </c>
      <c r="N89" s="18">
        <v>4006096.1577376556</v>
      </c>
      <c r="O89" s="18">
        <f>4746465.72169352+395726-170502</f>
        <v>4971689.7216935204</v>
      </c>
    </row>
    <row r="90" spans="1:18" s="3" customFormat="1" x14ac:dyDescent="0.3">
      <c r="A90" s="16">
        <v>45</v>
      </c>
      <c r="B90" s="48" t="s">
        <v>99</v>
      </c>
      <c r="C90" s="48"/>
      <c r="D90" s="23"/>
      <c r="E90" s="20"/>
      <c r="F90" s="24"/>
      <c r="G90" s="24"/>
      <c r="H90" s="24"/>
      <c r="I90" s="24"/>
      <c r="J90" s="24"/>
      <c r="K90" s="24"/>
      <c r="L90" s="24"/>
      <c r="M90" s="24"/>
      <c r="N90" s="18"/>
      <c r="O90" s="18"/>
    </row>
    <row r="91" spans="1:18" s="3" customFormat="1" x14ac:dyDescent="0.3">
      <c r="A91" s="16">
        <v>46</v>
      </c>
      <c r="B91" s="48" t="s">
        <v>59</v>
      </c>
      <c r="C91" s="48"/>
      <c r="D91" s="26">
        <v>56298</v>
      </c>
      <c r="E91" s="17">
        <v>34164</v>
      </c>
      <c r="F91" s="17">
        <v>35775</v>
      </c>
      <c r="G91" s="17">
        <v>42141</v>
      </c>
      <c r="H91" s="17">
        <v>42966</v>
      </c>
      <c r="I91" s="17">
        <v>47416</v>
      </c>
      <c r="J91" s="17">
        <v>51946</v>
      </c>
      <c r="K91" s="17">
        <v>57381</v>
      </c>
      <c r="L91" s="17">
        <v>47964</v>
      </c>
      <c r="M91" s="17">
        <v>38496</v>
      </c>
      <c r="N91" s="18">
        <v>57216.82</v>
      </c>
      <c r="O91" s="18">
        <v>59013.82</v>
      </c>
    </row>
    <row r="92" spans="1:18" s="3" customFormat="1" x14ac:dyDescent="0.3">
      <c r="A92" s="16">
        <v>47</v>
      </c>
      <c r="B92" s="48" t="s">
        <v>60</v>
      </c>
      <c r="C92" s="48"/>
      <c r="D92" s="26">
        <v>-21952</v>
      </c>
      <c r="E92" s="17">
        <v>-44317</v>
      </c>
      <c r="F92" s="17">
        <v>-52745</v>
      </c>
      <c r="G92" s="17">
        <v>-42500</v>
      </c>
      <c r="H92" s="17">
        <v>36676</v>
      </c>
      <c r="I92" s="17">
        <v>94663</v>
      </c>
      <c r="J92" s="17">
        <v>45676</v>
      </c>
      <c r="K92" s="17">
        <v>102141</v>
      </c>
      <c r="L92" s="17">
        <v>160556</v>
      </c>
      <c r="M92" s="17">
        <v>166207</v>
      </c>
      <c r="N92" s="18">
        <v>114786.16082035267</v>
      </c>
      <c r="O92" s="18">
        <v>311172.19669471227</v>
      </c>
    </row>
    <row r="93" spans="1:18" s="3" customFormat="1" x14ac:dyDescent="0.3">
      <c r="A93" s="16">
        <v>48</v>
      </c>
      <c r="B93" s="48" t="s">
        <v>61</v>
      </c>
      <c r="C93" s="48"/>
      <c r="D93" s="26">
        <v>5274</v>
      </c>
      <c r="E93" s="17">
        <v>2150</v>
      </c>
      <c r="F93" s="17">
        <v>907</v>
      </c>
      <c r="G93" s="17">
        <v>910</v>
      </c>
      <c r="H93" s="17">
        <v>966</v>
      </c>
      <c r="I93" s="17">
        <v>1051</v>
      </c>
      <c r="J93" s="17">
        <v>1292</v>
      </c>
      <c r="K93" s="17">
        <v>1751</v>
      </c>
      <c r="L93" s="17">
        <v>1267</v>
      </c>
      <c r="M93" s="17">
        <v>634</v>
      </c>
      <c r="N93" s="18">
        <v>5615</v>
      </c>
      <c r="O93" s="18">
        <v>7404.8036137917079</v>
      </c>
    </row>
    <row r="94" spans="1:18" s="3" customFormat="1" x14ac:dyDescent="0.3">
      <c r="A94" s="16">
        <v>49</v>
      </c>
      <c r="B94" s="48" t="s">
        <v>62</v>
      </c>
      <c r="C94" s="48"/>
      <c r="D94" s="35"/>
      <c r="E94" s="31"/>
      <c r="F94" s="36"/>
      <c r="G94" s="36"/>
      <c r="H94" s="36"/>
      <c r="I94" s="36"/>
      <c r="J94" s="36"/>
      <c r="K94" s="36"/>
      <c r="L94" s="36"/>
      <c r="M94" s="36"/>
      <c r="N94" s="29"/>
      <c r="O94" s="29"/>
    </row>
    <row r="95" spans="1:18" s="3" customFormat="1" x14ac:dyDescent="0.3">
      <c r="A95" s="16">
        <v>50</v>
      </c>
      <c r="B95" s="48" t="s">
        <v>63</v>
      </c>
      <c r="C95" s="48">
        <v>2072437</v>
      </c>
      <c r="D95" s="18">
        <f t="shared" ref="D95:N95" si="19">SUM(D87:D93)</f>
        <v>2050472</v>
      </c>
      <c r="E95" s="18">
        <f t="shared" si="19"/>
        <v>1960398</v>
      </c>
      <c r="F95" s="18">
        <f t="shared" si="19"/>
        <v>2041328</v>
      </c>
      <c r="G95" s="18">
        <f t="shared" si="19"/>
        <v>2009782</v>
      </c>
      <c r="H95" s="18">
        <f t="shared" si="19"/>
        <v>2162409</v>
      </c>
      <c r="I95" s="18">
        <f t="shared" si="19"/>
        <v>2153217</v>
      </c>
      <c r="J95" s="18">
        <f t="shared" si="19"/>
        <v>2053693</v>
      </c>
      <c r="K95" s="18">
        <f t="shared" si="19"/>
        <v>2273455</v>
      </c>
      <c r="L95" s="18">
        <f t="shared" si="19"/>
        <v>4380608</v>
      </c>
      <c r="M95" s="18">
        <f t="shared" si="19"/>
        <v>4682874</v>
      </c>
      <c r="N95" s="18">
        <f t="shared" si="19"/>
        <v>4989441.4275322864</v>
      </c>
      <c r="O95" s="18">
        <f>SUM(O87:O93)</f>
        <v>6354552.9999999981</v>
      </c>
      <c r="Q95" s="18">
        <v>4559483</v>
      </c>
      <c r="R95" s="18">
        <v>5150216.1590311136</v>
      </c>
    </row>
    <row r="96" spans="1:18" s="3" customFormat="1" x14ac:dyDescent="0.3">
      <c r="A96" s="16">
        <v>51</v>
      </c>
      <c r="B96" s="48"/>
      <c r="C96" s="48"/>
      <c r="D96" s="26"/>
      <c r="E96" s="17"/>
      <c r="F96" s="17"/>
      <c r="G96" s="17"/>
      <c r="H96" s="17"/>
      <c r="I96" s="17"/>
      <c r="J96" s="17"/>
      <c r="K96" s="17"/>
      <c r="L96" s="17"/>
      <c r="M96" s="17"/>
      <c r="N96" s="18"/>
      <c r="O96" s="18"/>
      <c r="Q96" s="18"/>
      <c r="R96" s="18"/>
    </row>
    <row r="97" spans="1:18" s="3" customFormat="1" x14ac:dyDescent="0.3">
      <c r="A97" s="16">
        <v>52</v>
      </c>
      <c r="B97" s="38" t="s">
        <v>93</v>
      </c>
      <c r="C97" s="38"/>
      <c r="D97" s="23"/>
      <c r="E97" s="20"/>
      <c r="F97" s="24"/>
      <c r="G97" s="24"/>
      <c r="H97" s="24"/>
      <c r="I97" s="24"/>
      <c r="J97" s="24"/>
      <c r="K97" s="24"/>
      <c r="L97" s="24"/>
      <c r="M97" s="24"/>
      <c r="N97" s="18"/>
      <c r="O97" s="18"/>
      <c r="Q97" s="18"/>
      <c r="R97" s="18"/>
    </row>
    <row r="98" spans="1:18" s="3" customFormat="1" x14ac:dyDescent="0.3">
      <c r="A98" s="16">
        <v>53</v>
      </c>
      <c r="B98" s="48" t="s">
        <v>64</v>
      </c>
      <c r="C98" s="48"/>
      <c r="D98" s="23"/>
      <c r="E98" s="20"/>
      <c r="F98" s="24"/>
      <c r="G98" s="24"/>
      <c r="H98" s="24"/>
      <c r="I98" s="24"/>
      <c r="J98" s="24"/>
      <c r="K98" s="24"/>
      <c r="L98" s="24"/>
      <c r="M98" s="24"/>
      <c r="N98" s="18"/>
      <c r="O98" s="18"/>
      <c r="Q98" s="18"/>
      <c r="R98" s="18"/>
    </row>
    <row r="99" spans="1:18" s="3" customFormat="1" x14ac:dyDescent="0.3">
      <c r="A99" s="16">
        <v>54</v>
      </c>
      <c r="B99" s="48" t="s">
        <v>65</v>
      </c>
      <c r="C99" s="48">
        <v>113081</v>
      </c>
      <c r="D99" s="26">
        <v>113081</v>
      </c>
      <c r="E99" s="17">
        <v>73376</v>
      </c>
      <c r="F99" s="17">
        <v>73376</v>
      </c>
      <c r="G99" s="17">
        <v>73376</v>
      </c>
      <c r="H99" s="24"/>
      <c r="I99" s="24"/>
      <c r="J99" s="24"/>
      <c r="K99" s="24"/>
      <c r="L99" s="24"/>
      <c r="M99" s="24"/>
      <c r="N99" s="18"/>
      <c r="O99" s="18"/>
      <c r="Q99" s="18"/>
      <c r="R99" s="18"/>
    </row>
    <row r="100" spans="1:18" s="3" customFormat="1" x14ac:dyDescent="0.3">
      <c r="A100" s="16">
        <v>55</v>
      </c>
      <c r="B100" s="48" t="s">
        <v>66</v>
      </c>
      <c r="C100" s="48"/>
      <c r="D100" s="23"/>
      <c r="E100" s="20"/>
      <c r="F100" s="24"/>
      <c r="G100" s="24"/>
      <c r="H100" s="27"/>
      <c r="I100" s="17">
        <v>663</v>
      </c>
      <c r="J100" s="17">
        <v>54585</v>
      </c>
      <c r="K100" s="17">
        <v>54552</v>
      </c>
      <c r="L100" s="17">
        <v>135698</v>
      </c>
      <c r="M100" s="17">
        <v>132435</v>
      </c>
      <c r="N100" s="18">
        <v>248592.27671600005</v>
      </c>
      <c r="O100" s="18">
        <v>170410.64000000007</v>
      </c>
      <c r="Q100" s="18"/>
      <c r="R100" s="18"/>
    </row>
    <row r="101" spans="1:18" s="3" customFormat="1" x14ac:dyDescent="0.3">
      <c r="A101" s="16">
        <v>56</v>
      </c>
      <c r="B101" s="48" t="s">
        <v>67</v>
      </c>
      <c r="C101" s="48"/>
      <c r="D101" s="35"/>
      <c r="E101" s="31"/>
      <c r="F101" s="36"/>
      <c r="G101" s="36"/>
      <c r="H101" s="36"/>
      <c r="I101" s="36"/>
      <c r="J101" s="36"/>
      <c r="K101" s="36"/>
      <c r="L101" s="36"/>
      <c r="M101" s="36"/>
      <c r="N101" s="29"/>
      <c r="O101" s="29"/>
      <c r="Q101" s="18"/>
      <c r="R101" s="18"/>
    </row>
    <row r="102" spans="1:18" s="3" customFormat="1" x14ac:dyDescent="0.3">
      <c r="A102" s="16">
        <v>57</v>
      </c>
      <c r="B102" s="48" t="s">
        <v>68</v>
      </c>
      <c r="C102" s="18">
        <f t="shared" ref="C102:N102" si="20">SUM(C99:C101)</f>
        <v>113081</v>
      </c>
      <c r="D102" s="18">
        <f t="shared" si="20"/>
        <v>113081</v>
      </c>
      <c r="E102" s="18">
        <f t="shared" si="20"/>
        <v>73376</v>
      </c>
      <c r="F102" s="18">
        <f t="shared" si="20"/>
        <v>73376</v>
      </c>
      <c r="G102" s="18">
        <f t="shared" si="20"/>
        <v>73376</v>
      </c>
      <c r="H102" s="18">
        <f t="shared" si="20"/>
        <v>0</v>
      </c>
      <c r="I102" s="18">
        <f t="shared" si="20"/>
        <v>663</v>
      </c>
      <c r="J102" s="18">
        <f t="shared" si="20"/>
        <v>54585</v>
      </c>
      <c r="K102" s="18">
        <f t="shared" si="20"/>
        <v>54552</v>
      </c>
      <c r="L102" s="18">
        <f t="shared" si="20"/>
        <v>135698</v>
      </c>
      <c r="M102" s="18">
        <f t="shared" si="20"/>
        <v>132435</v>
      </c>
      <c r="N102" s="18">
        <f t="shared" si="20"/>
        <v>248592.27671600005</v>
      </c>
      <c r="O102" s="18">
        <f>SUM(O99:O101)</f>
        <v>170410.64000000007</v>
      </c>
      <c r="Q102" s="18">
        <v>156412</v>
      </c>
      <c r="R102" s="18">
        <v>395725.85000000015</v>
      </c>
    </row>
    <row r="103" spans="1:18" s="3" customFormat="1" x14ac:dyDescent="0.3">
      <c r="A103" s="16">
        <v>58</v>
      </c>
      <c r="B103" s="48"/>
      <c r="C103" s="48"/>
      <c r="D103" s="26"/>
      <c r="E103" s="17"/>
      <c r="F103" s="17"/>
      <c r="G103" s="17"/>
      <c r="H103" s="27"/>
      <c r="I103" s="17"/>
      <c r="J103" s="17"/>
      <c r="K103" s="17"/>
      <c r="L103" s="17"/>
      <c r="M103" s="17"/>
      <c r="N103" s="18"/>
      <c r="O103" s="18"/>
      <c r="Q103" s="18"/>
      <c r="R103" s="18"/>
    </row>
    <row r="104" spans="1:18" s="3" customFormat="1" x14ac:dyDescent="0.3">
      <c r="A104" s="16">
        <v>59</v>
      </c>
      <c r="B104" s="38" t="s">
        <v>94</v>
      </c>
      <c r="C104" s="38"/>
      <c r="D104" s="23"/>
      <c r="E104" s="20"/>
      <c r="F104" s="24"/>
      <c r="G104" s="24"/>
      <c r="H104" s="24"/>
      <c r="I104" s="24"/>
      <c r="J104" s="24"/>
      <c r="K104" s="24"/>
      <c r="L104" s="24"/>
      <c r="M104" s="24"/>
      <c r="N104" s="18"/>
      <c r="O104" s="18"/>
      <c r="Q104" s="18"/>
      <c r="R104" s="18"/>
    </row>
    <row r="105" spans="1:18" s="3" customFormat="1" x14ac:dyDescent="0.3">
      <c r="A105" s="16">
        <v>60</v>
      </c>
      <c r="B105" s="48" t="s">
        <v>69</v>
      </c>
      <c r="C105" s="48">
        <v>177076</v>
      </c>
      <c r="D105" s="26">
        <v>181680</v>
      </c>
      <c r="E105" s="17">
        <v>224090</v>
      </c>
      <c r="F105" s="17">
        <v>230735</v>
      </c>
      <c r="G105" s="17">
        <v>245617</v>
      </c>
      <c r="H105" s="17">
        <v>368440</v>
      </c>
      <c r="I105" s="17">
        <v>380026</v>
      </c>
      <c r="J105" s="17">
        <v>387392</v>
      </c>
      <c r="K105" s="17">
        <v>400692</v>
      </c>
      <c r="L105" s="17">
        <v>404364</v>
      </c>
      <c r="M105" s="17">
        <v>405285</v>
      </c>
      <c r="N105" s="18">
        <v>407892</v>
      </c>
      <c r="O105" s="18">
        <v>453104.25014799996</v>
      </c>
      <c r="Q105" s="18">
        <v>405300</v>
      </c>
      <c r="R105" s="18">
        <v>407561</v>
      </c>
    </row>
    <row r="106" spans="1:18" s="3" customFormat="1" x14ac:dyDescent="0.3">
      <c r="A106" s="16">
        <v>61</v>
      </c>
      <c r="B106" s="48" t="s">
        <v>70</v>
      </c>
      <c r="C106" s="48">
        <v>-14546</v>
      </c>
      <c r="D106" s="34">
        <v>-16463</v>
      </c>
      <c r="E106" s="28">
        <v>-43435</v>
      </c>
      <c r="F106" s="28">
        <v>-48038</v>
      </c>
      <c r="G106" s="28">
        <v>-52797</v>
      </c>
      <c r="H106" s="28">
        <v>-104298</v>
      </c>
      <c r="I106" s="28">
        <v>-111814</v>
      </c>
      <c r="J106" s="28">
        <v>-119525</v>
      </c>
      <c r="K106" s="28">
        <v>-128412</v>
      </c>
      <c r="L106" s="28">
        <v>-138589</v>
      </c>
      <c r="M106" s="28">
        <v>-148849</v>
      </c>
      <c r="N106" s="29">
        <v>-159300</v>
      </c>
      <c r="O106" s="29">
        <v>-225223.99999999988</v>
      </c>
      <c r="Q106" s="18"/>
      <c r="R106" s="18"/>
    </row>
    <row r="107" spans="1:18" s="3" customFormat="1" x14ac:dyDescent="0.3">
      <c r="A107" s="16">
        <v>62</v>
      </c>
      <c r="B107" s="38" t="s">
        <v>104</v>
      </c>
      <c r="C107" s="18">
        <f t="shared" ref="C107:N107" si="21">SUM(C105:C106)</f>
        <v>162530</v>
      </c>
      <c r="D107" s="18">
        <f t="shared" si="21"/>
        <v>165217</v>
      </c>
      <c r="E107" s="18">
        <f t="shared" si="21"/>
        <v>180655</v>
      </c>
      <c r="F107" s="18">
        <f t="shared" si="21"/>
        <v>182697</v>
      </c>
      <c r="G107" s="18">
        <f t="shared" si="21"/>
        <v>192820</v>
      </c>
      <c r="H107" s="18">
        <f t="shared" si="21"/>
        <v>264142</v>
      </c>
      <c r="I107" s="18">
        <f t="shared" si="21"/>
        <v>268212</v>
      </c>
      <c r="J107" s="18">
        <f t="shared" si="21"/>
        <v>267867</v>
      </c>
      <c r="K107" s="18">
        <f t="shared" si="21"/>
        <v>272280</v>
      </c>
      <c r="L107" s="18">
        <f t="shared" si="21"/>
        <v>265775</v>
      </c>
      <c r="M107" s="18">
        <f t="shared" si="21"/>
        <v>256436</v>
      </c>
      <c r="N107" s="18">
        <f t="shared" si="21"/>
        <v>248592</v>
      </c>
      <c r="O107" s="18">
        <f>SUM(O105:O106)</f>
        <v>227880.25014800008</v>
      </c>
      <c r="Q107" s="18">
        <f>+Q105-146352</f>
        <v>258948</v>
      </c>
      <c r="R107" s="18">
        <v>238236</v>
      </c>
    </row>
    <row r="108" spans="1:18" s="3" customFormat="1" x14ac:dyDescent="0.3">
      <c r="A108" s="16">
        <v>63</v>
      </c>
      <c r="B108" s="38"/>
      <c r="C108" s="38"/>
      <c r="D108" s="26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18"/>
      <c r="Q108" s="18"/>
      <c r="R108" s="18"/>
    </row>
    <row r="109" spans="1:18" s="3" customFormat="1" x14ac:dyDescent="0.3">
      <c r="A109" s="16">
        <v>64</v>
      </c>
      <c r="B109" s="38" t="s">
        <v>95</v>
      </c>
      <c r="C109" s="38"/>
      <c r="D109" s="23"/>
      <c r="E109" s="20"/>
      <c r="F109" s="24"/>
      <c r="G109" s="24"/>
      <c r="H109" s="24"/>
      <c r="I109" s="24"/>
      <c r="J109" s="24"/>
      <c r="K109" s="24"/>
      <c r="L109" s="24"/>
      <c r="M109" s="24"/>
      <c r="N109" s="18"/>
      <c r="O109" s="18"/>
      <c r="Q109" s="18"/>
      <c r="R109" s="18"/>
    </row>
    <row r="110" spans="1:18" s="3" customFormat="1" x14ac:dyDescent="0.3">
      <c r="A110" s="16">
        <v>65</v>
      </c>
      <c r="B110" s="48" t="s">
        <v>47</v>
      </c>
      <c r="C110" s="48">
        <v>542577</v>
      </c>
      <c r="D110" s="26">
        <v>665582</v>
      </c>
      <c r="E110" s="17">
        <v>951474</v>
      </c>
      <c r="F110" s="17">
        <v>836430</v>
      </c>
      <c r="G110" s="17">
        <v>946839</v>
      </c>
      <c r="H110" s="17">
        <v>1050146</v>
      </c>
      <c r="I110" s="17">
        <v>669763</v>
      </c>
      <c r="J110" s="17">
        <v>693087</v>
      </c>
      <c r="K110" s="17">
        <v>710461</v>
      </c>
      <c r="L110" s="17">
        <v>723456</v>
      </c>
      <c r="M110" s="17">
        <v>852949</v>
      </c>
      <c r="N110" s="18">
        <v>798662</v>
      </c>
      <c r="O110" s="18">
        <v>812795</v>
      </c>
      <c r="Q110" s="18">
        <f>785819-67515</f>
        <v>718304</v>
      </c>
      <c r="R110" s="18">
        <v>801636</v>
      </c>
    </row>
    <row r="111" spans="1:18" s="3" customFormat="1" x14ac:dyDescent="0.3">
      <c r="A111" s="16">
        <v>66</v>
      </c>
      <c r="B111" s="48"/>
      <c r="C111" s="48"/>
      <c r="D111" s="23"/>
      <c r="E111" s="20"/>
      <c r="F111" s="24"/>
      <c r="G111" s="24"/>
      <c r="H111" s="24"/>
      <c r="I111" s="24"/>
      <c r="J111" s="24"/>
      <c r="K111" s="24"/>
      <c r="L111" s="24"/>
      <c r="M111" s="24"/>
      <c r="N111" s="18"/>
      <c r="O111" s="18"/>
      <c r="Q111" s="18"/>
      <c r="R111" s="18"/>
    </row>
    <row r="112" spans="1:18" s="3" customFormat="1" ht="13.5" thickBot="1" x14ac:dyDescent="0.35">
      <c r="A112" s="16">
        <v>67</v>
      </c>
      <c r="B112" s="38" t="s">
        <v>11</v>
      </c>
      <c r="C112" s="32">
        <f t="shared" ref="C112:N112" si="22">C110+C107+C102+C95+C78+C84</f>
        <v>2890625</v>
      </c>
      <c r="D112" s="32">
        <f t="shared" si="22"/>
        <v>6783278</v>
      </c>
      <c r="E112" s="32">
        <f t="shared" si="22"/>
        <v>7361551</v>
      </c>
      <c r="F112" s="32">
        <f t="shared" si="22"/>
        <v>7538259</v>
      </c>
      <c r="G112" s="32">
        <f t="shared" si="22"/>
        <v>7556967</v>
      </c>
      <c r="H112" s="32">
        <f t="shared" si="22"/>
        <v>7966762</v>
      </c>
      <c r="I112" s="32">
        <f t="shared" si="22"/>
        <v>8265481</v>
      </c>
      <c r="J112" s="32">
        <f t="shared" si="22"/>
        <v>8329259</v>
      </c>
      <c r="K112" s="32">
        <f t="shared" si="22"/>
        <v>8458528</v>
      </c>
      <c r="L112" s="32">
        <f t="shared" si="22"/>
        <v>8632684</v>
      </c>
      <c r="M112" s="32">
        <f t="shared" si="22"/>
        <v>8869478</v>
      </c>
      <c r="N112" s="32">
        <f t="shared" si="22"/>
        <v>9315467.8552613258</v>
      </c>
      <c r="O112" s="32">
        <f>O110+O107+O102+O95+O78+O84</f>
        <v>10057617.617638038</v>
      </c>
      <c r="P112" s="7"/>
      <c r="Q112" s="18"/>
      <c r="R112" s="18"/>
    </row>
    <row r="113" spans="1:18" ht="13.5" thickTop="1" x14ac:dyDescent="0.3">
      <c r="A113" s="16">
        <v>68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51"/>
      <c r="Q113" s="40"/>
      <c r="R113" s="40"/>
    </row>
    <row r="114" spans="1:18" x14ac:dyDescent="0.3">
      <c r="A114" s="16">
        <v>69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51"/>
      <c r="Q114" s="40"/>
      <c r="R114" s="40"/>
    </row>
    <row r="115" spans="1:18" x14ac:dyDescent="0.3">
      <c r="A115" s="16">
        <v>70</v>
      </c>
      <c r="B115" s="38" t="s">
        <v>102</v>
      </c>
      <c r="D115" s="52">
        <f t="shared" ref="D115:M115" si="23">+D44/((D50+C50)/2)</f>
        <v>8.8455405384484393E-3</v>
      </c>
      <c r="E115" s="52">
        <f t="shared" si="23"/>
        <v>6.8998813837196516E-3</v>
      </c>
      <c r="F115" s="52">
        <f t="shared" si="23"/>
        <v>3.313884617832661E-2</v>
      </c>
      <c r="G115" s="52">
        <f t="shared" si="23"/>
        <v>-7.4031042708389448E-3</v>
      </c>
      <c r="H115" s="52">
        <f t="shared" si="23"/>
        <v>2.2768953665115037E-2</v>
      </c>
      <c r="I115" s="52">
        <f t="shared" si="23"/>
        <v>9.5156837667049354E-2</v>
      </c>
      <c r="J115" s="52">
        <f t="shared" si="23"/>
        <v>1.2326762651583993E-2</v>
      </c>
      <c r="K115" s="52">
        <f t="shared" si="23"/>
        <v>-1.6017165876612914E-2</v>
      </c>
      <c r="L115" s="52">
        <f t="shared" si="23"/>
        <v>-3.199807406408689E-2</v>
      </c>
      <c r="M115" s="52">
        <f t="shared" si="23"/>
        <v>-2.6341201418449037E-2</v>
      </c>
      <c r="N115" s="52">
        <f>+N44/((N50+Q50)/2)</f>
        <v>-2.3882779837712864E-2</v>
      </c>
      <c r="O115" s="52">
        <f>+O44/((O50+R50)/2)</f>
        <v>-4.4520426457793666E-2</v>
      </c>
      <c r="Q115" s="40"/>
      <c r="R115" s="40"/>
    </row>
    <row r="116" spans="1:18" x14ac:dyDescent="0.3">
      <c r="A116" s="16">
        <v>71</v>
      </c>
      <c r="B116" s="38" t="s">
        <v>98</v>
      </c>
      <c r="D116" s="52">
        <f t="shared" ref="D116:M116" si="24">D44/((D71+C71)/2)</f>
        <v>7.6268834751519118E-3</v>
      </c>
      <c r="E116" s="52">
        <f t="shared" si="24"/>
        <v>5.7701651960585737E-3</v>
      </c>
      <c r="F116" s="52">
        <f t="shared" si="24"/>
        <v>2.8024518433456533E-2</v>
      </c>
      <c r="G116" s="52">
        <f t="shared" si="24"/>
        <v>-6.4819168656368572E-3</v>
      </c>
      <c r="H116" s="52">
        <f t="shared" si="24"/>
        <v>2.0087441619214042E-2</v>
      </c>
      <c r="I116" s="52">
        <f t="shared" si="24"/>
        <v>8.1590942176013509E-2</v>
      </c>
      <c r="J116" s="52">
        <f t="shared" si="24"/>
        <v>1.0413015208433515E-2</v>
      </c>
      <c r="K116" s="52">
        <f t="shared" si="24"/>
        <v>-1.3372340261405508E-2</v>
      </c>
      <c r="L116" s="52">
        <f t="shared" si="24"/>
        <v>-2.6161046975486584E-2</v>
      </c>
      <c r="M116" s="52">
        <f t="shared" si="24"/>
        <v>-2.0842567906753463E-2</v>
      </c>
      <c r="N116" s="52">
        <f>N44/((N71+Q71)/2)</f>
        <v>-1.7851674884807257E-2</v>
      </c>
      <c r="O116" s="52">
        <f>O44/((O71+R71)/2)</f>
        <v>-3.3104008874735309E-2</v>
      </c>
      <c r="Q116" s="40"/>
      <c r="R116" s="40"/>
    </row>
    <row r="117" spans="1:18" x14ac:dyDescent="0.3">
      <c r="A117" s="16">
        <v>72</v>
      </c>
      <c r="B117" s="38" t="s">
        <v>101</v>
      </c>
      <c r="D117" s="54">
        <f t="shared" ref="D117:M117" si="25">+D11/((D48+C48-D105-C105)/2)</f>
        <v>3.038818541075361E-2</v>
      </c>
      <c r="E117" s="54">
        <f t="shared" si="25"/>
        <v>2.835608867372217E-2</v>
      </c>
      <c r="F117" s="54">
        <f t="shared" si="25"/>
        <v>2.7783963222425601E-2</v>
      </c>
      <c r="G117" s="54">
        <f t="shared" si="25"/>
        <v>3.0755493764022472E-2</v>
      </c>
      <c r="H117" s="54">
        <f t="shared" si="25"/>
        <v>2.4662687330839175E-2</v>
      </c>
      <c r="I117" s="54">
        <f t="shared" si="25"/>
        <v>2.3143289079743737E-2</v>
      </c>
      <c r="J117" s="54">
        <f t="shared" si="25"/>
        <v>2.4112706482462016E-2</v>
      </c>
      <c r="K117" s="54">
        <f t="shared" si="25"/>
        <v>3.0084257942052287E-2</v>
      </c>
      <c r="L117" s="54">
        <f t="shared" si="25"/>
        <v>3.126597562288113E-2</v>
      </c>
      <c r="M117" s="54">
        <f t="shared" si="25"/>
        <v>2.4915616541862848E-2</v>
      </c>
      <c r="N117" s="54">
        <f>+N11/((N48+Q48-N105-Q105)/2)</f>
        <v>2.8877903786178282E-2</v>
      </c>
      <c r="O117" s="54">
        <f>+O11/((O48+R48-O105-R105)/2)</f>
        <v>3.3129174305043647E-2</v>
      </c>
      <c r="Q117" s="40"/>
      <c r="R117" s="40"/>
    </row>
    <row r="118" spans="1:18" x14ac:dyDescent="0.3">
      <c r="A118" s="16">
        <v>73</v>
      </c>
      <c r="B118" s="38" t="s">
        <v>2</v>
      </c>
      <c r="D118" s="53">
        <f t="shared" ref="D118:O118" si="26">(D44+D33-D30-D42)</f>
        <v>228384</v>
      </c>
      <c r="E118" s="53">
        <f t="shared" si="26"/>
        <v>213782</v>
      </c>
      <c r="F118" s="53">
        <f t="shared" si="26"/>
        <v>378120</v>
      </c>
      <c r="G118" s="53">
        <f t="shared" si="26"/>
        <v>-38492</v>
      </c>
      <c r="H118" s="53">
        <f t="shared" si="26"/>
        <v>149928</v>
      </c>
      <c r="I118" s="53">
        <f t="shared" si="26"/>
        <v>640419</v>
      </c>
      <c r="J118" s="53">
        <f t="shared" si="26"/>
        <v>243170.4</v>
      </c>
      <c r="K118" s="53">
        <f t="shared" si="26"/>
        <v>46100</v>
      </c>
      <c r="L118" s="53">
        <f t="shared" si="26"/>
        <v>-82070</v>
      </c>
      <c r="M118" s="53">
        <f t="shared" si="26"/>
        <v>-39194</v>
      </c>
      <c r="N118" s="53">
        <f t="shared" si="26"/>
        <v>6588.0781049001962</v>
      </c>
      <c r="O118" s="53">
        <f t="shared" si="26"/>
        <v>-163653.00000000003</v>
      </c>
      <c r="Q118" s="40"/>
      <c r="R118" s="40"/>
    </row>
    <row r="119" spans="1:18" x14ac:dyDescent="0.3">
      <c r="A119" s="16">
        <v>74</v>
      </c>
      <c r="B119" s="38" t="s">
        <v>97</v>
      </c>
      <c r="D119" s="53">
        <f t="shared" ref="D119:O119" si="27">(D10+D13)/8</f>
        <v>214436.5</v>
      </c>
      <c r="E119" s="53">
        <f t="shared" si="27"/>
        <v>207076.875</v>
      </c>
      <c r="F119" s="53">
        <f t="shared" si="27"/>
        <v>215529.375</v>
      </c>
      <c r="G119" s="53">
        <f t="shared" si="27"/>
        <v>219422.375</v>
      </c>
      <c r="H119" s="53">
        <f t="shared" si="27"/>
        <v>228457.75</v>
      </c>
      <c r="I119" s="53">
        <f t="shared" si="27"/>
        <v>242824.875</v>
      </c>
      <c r="J119" s="53">
        <f t="shared" si="27"/>
        <v>261188.86125000002</v>
      </c>
      <c r="K119" s="53">
        <f t="shared" si="27"/>
        <v>311979</v>
      </c>
      <c r="L119" s="53">
        <f t="shared" si="27"/>
        <v>324052.25</v>
      </c>
      <c r="M119" s="53">
        <f t="shared" si="27"/>
        <v>377586.75</v>
      </c>
      <c r="N119" s="53">
        <f t="shared" si="27"/>
        <v>365480.59270566434</v>
      </c>
      <c r="O119" s="53">
        <f t="shared" si="27"/>
        <v>385120.15773673035</v>
      </c>
      <c r="Q119" s="40"/>
      <c r="R119" s="40"/>
    </row>
    <row r="120" spans="1:18" x14ac:dyDescent="0.3">
      <c r="A120" s="16">
        <v>75</v>
      </c>
      <c r="B120" s="38" t="s">
        <v>96</v>
      </c>
      <c r="C120" s="45">
        <f>C119+C53+C61+C62+C60+C69-C107-C110</f>
        <v>5002505</v>
      </c>
      <c r="D120" s="45">
        <f>D119+D53+D61+D62+D60+D69-D107-D110</f>
        <v>5072611.5</v>
      </c>
      <c r="E120" s="45">
        <f t="shared" ref="E120:O120" si="28">E119+E53+E61+E62+E60+E69-E107-E110</f>
        <v>5341878.875</v>
      </c>
      <c r="F120" s="45">
        <f t="shared" si="28"/>
        <v>5770043.375</v>
      </c>
      <c r="G120" s="45">
        <f t="shared" si="28"/>
        <v>6091672.375</v>
      </c>
      <c r="H120" s="45">
        <f t="shared" si="28"/>
        <v>5993274.75</v>
      </c>
      <c r="I120" s="45">
        <f t="shared" si="28"/>
        <v>6413492.875</v>
      </c>
      <c r="J120" s="45">
        <f t="shared" si="28"/>
        <v>6406017.8612500001</v>
      </c>
      <c r="K120" s="45">
        <f t="shared" si="28"/>
        <v>6456832</v>
      </c>
      <c r="L120" s="45">
        <f t="shared" si="28"/>
        <v>6400080.25</v>
      </c>
      <c r="M120" s="45">
        <f t="shared" si="28"/>
        <v>7066155.75</v>
      </c>
      <c r="N120" s="45">
        <f t="shared" si="28"/>
        <v>7351125.4711530507</v>
      </c>
      <c r="O120" s="45">
        <f t="shared" si="28"/>
        <v>7985940.6958175935</v>
      </c>
      <c r="Q120" s="40">
        <f>Q119+Q53+Q61+Q62+Q60+Q69-Q107-Q110</f>
        <v>6894436.0999999968</v>
      </c>
      <c r="R120" s="40">
        <f>R119+R53+R61+R62+R60+R69-R107-R110</f>
        <v>6909119.9447124694</v>
      </c>
    </row>
    <row r="121" spans="1:18" x14ac:dyDescent="0.3">
      <c r="A121" s="16">
        <v>76</v>
      </c>
      <c r="B121" s="38" t="s">
        <v>100</v>
      </c>
      <c r="D121" s="54">
        <f t="shared" ref="D121:M121" si="29">D44/((D120+C120)/2)</f>
        <v>9.9242524887925617E-3</v>
      </c>
      <c r="E121" s="54">
        <f t="shared" si="29"/>
        <v>7.8369653301446351E-3</v>
      </c>
      <c r="F121" s="54">
        <f t="shared" si="29"/>
        <v>3.7577656737114051E-2</v>
      </c>
      <c r="G121" s="54">
        <f t="shared" si="29"/>
        <v>-8.2488909751525612E-3</v>
      </c>
      <c r="H121" s="54">
        <f t="shared" si="29"/>
        <v>2.5803340037369008E-2</v>
      </c>
      <c r="I121" s="54">
        <f t="shared" si="29"/>
        <v>0.10674851339451923</v>
      </c>
      <c r="J121" s="54">
        <f t="shared" si="29"/>
        <v>1.3479553436572752E-2</v>
      </c>
      <c r="K121" s="54">
        <f t="shared" si="29"/>
        <v>-1.745274199897907E-2</v>
      </c>
      <c r="L121" s="54">
        <f t="shared" si="29"/>
        <v>-3.4776934874079117E-2</v>
      </c>
      <c r="M121" s="54">
        <f t="shared" si="29"/>
        <v>-2.7089232655658196E-2</v>
      </c>
      <c r="N121" s="54">
        <f>N44/((N120+Q120)/2)</f>
        <v>-2.2808712139063516E-2</v>
      </c>
      <c r="O121" s="54">
        <f>O44/((O120+R120)/2)</f>
        <v>-4.3061593160022407E-2</v>
      </c>
    </row>
    <row r="124" spans="1:18" x14ac:dyDescent="0.3">
      <c r="D124" s="53">
        <f t="shared" ref="D124:H124" si="30">+D112-D71</f>
        <v>0</v>
      </c>
      <c r="E124" s="53">
        <f t="shared" si="30"/>
        <v>0</v>
      </c>
      <c r="F124" s="53">
        <f t="shared" si="30"/>
        <v>0</v>
      </c>
      <c r="G124" s="53">
        <f t="shared" si="30"/>
        <v>0</v>
      </c>
      <c r="H124" s="53">
        <f t="shared" si="30"/>
        <v>0</v>
      </c>
      <c r="I124" s="53">
        <f>+I112-I71</f>
        <v>0</v>
      </c>
      <c r="J124" s="53">
        <f t="shared" ref="J124:O124" si="31">+J112-J71</f>
        <v>0</v>
      </c>
      <c r="K124" s="53">
        <f t="shared" si="31"/>
        <v>0</v>
      </c>
      <c r="L124" s="53">
        <f t="shared" si="31"/>
        <v>0</v>
      </c>
      <c r="M124" s="53">
        <f t="shared" si="31"/>
        <v>0</v>
      </c>
      <c r="N124" s="53">
        <f t="shared" si="31"/>
        <v>0.36751410365104675</v>
      </c>
      <c r="O124" s="53">
        <f t="shared" si="31"/>
        <v>-0.29505368694663048</v>
      </c>
    </row>
  </sheetData>
  <pageMargins left="0.7" right="0.7" top="0.75" bottom="0.75" header="0.3" footer="0.3"/>
  <pageSetup scale="47" fitToHeight="3" orientation="landscape" r:id="rId1"/>
  <rowBreaks count="2" manualBreakCount="2">
    <brk id="45" max="13" man="1"/>
    <brk id="79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279F9F-D71C-4554-AD0F-CD40C13B6A01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2611F4A8-FCF6-429A-B60F-90125D20C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85EED3-F3FF-40C0-9B36-B12EF03142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 38</vt:lpstr>
      <vt:lpstr>'Exh 38'!Print_Area</vt:lpstr>
      <vt:lpstr>'Exh 38'!Print_Titles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Kilbane</dc:creator>
  <cp:keywords/>
  <dc:description/>
  <cp:lastModifiedBy>Dante Destefano</cp:lastModifiedBy>
  <cp:revision/>
  <cp:lastPrinted>2022-05-27T19:53:48Z</cp:lastPrinted>
  <dcterms:created xsi:type="dcterms:W3CDTF">2022-03-24T16:16:05Z</dcterms:created>
  <dcterms:modified xsi:type="dcterms:W3CDTF">2022-06-24T21:23:08Z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ediaServiceImageTags">
    <vt:lpwstr/>
  </property>
</Properties>
</file>