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"/>
    </mc:Choice>
  </mc:AlternateContent>
  <xr:revisionPtr revIDLastSave="249" documentId="8_{853BAB11-0ED6-4942-AEF6-F11765FBEB64}" xr6:coauthVersionLast="47" xr6:coauthVersionMax="47" xr10:uidLastSave="{231D4CC1-63C8-495C-92CE-F9093CDE3FE7}"/>
  <bookViews>
    <workbookView xWindow="-120" yWindow="-120" windowWidth="29040" windowHeight="15840" xr2:uid="{2AD5A442-8633-40BA-8A78-739CC5AF49FF}"/>
  </bookViews>
  <sheets>
    <sheet name="E1" sheetId="1" r:id="rId1"/>
    <sheet name="E2" sheetId="2" r:id="rId2"/>
  </sheets>
  <definedNames>
    <definedName name="_xlnm.Print_Area" localSheetId="1">'E2'!$A$1:$I$32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I19" i="2"/>
  <c r="I18" i="2"/>
  <c r="I17" i="2" l="1"/>
  <c r="C17" i="2" s="1"/>
  <c r="D16" i="2"/>
  <c r="I16" i="2"/>
  <c r="I15" i="2"/>
  <c r="C15" i="2" s="1"/>
  <c r="I14" i="2"/>
  <c r="I13" i="1"/>
  <c r="I14" i="1"/>
  <c r="D25" i="2"/>
  <c r="D24" i="2"/>
  <c r="D23" i="2"/>
  <c r="D22" i="2"/>
  <c r="L18" i="1"/>
  <c r="I25" i="2"/>
  <c r="I24" i="2"/>
  <c r="I23" i="2"/>
  <c r="I22" i="2"/>
  <c r="H13" i="2"/>
  <c r="C16" i="2"/>
  <c r="C18" i="2"/>
  <c r="C19" i="2"/>
  <c r="C20" i="2"/>
  <c r="C21" i="2"/>
  <c r="D21" i="2"/>
  <c r="M16" i="1"/>
  <c r="M13" i="1"/>
  <c r="K16" i="1"/>
  <c r="K13" i="1"/>
  <c r="I16" i="1"/>
  <c r="G16" i="1"/>
  <c r="G13" i="1"/>
  <c r="E16" i="1"/>
  <c r="E13" i="1"/>
  <c r="C16" i="1"/>
  <c r="C13" i="1"/>
  <c r="C14" i="1"/>
  <c r="I26" i="2" l="1"/>
  <c r="C14" i="2"/>
  <c r="C22" i="2"/>
  <c r="C23" i="2"/>
  <c r="C24" i="2"/>
  <c r="C25" i="2"/>
  <c r="D29" i="2" s="1"/>
  <c r="F27" i="2"/>
  <c r="F26" i="2"/>
  <c r="G26" i="2"/>
  <c r="G27" i="2" s="1"/>
  <c r="H26" i="2"/>
  <c r="H27" i="2" s="1"/>
  <c r="I13" i="2"/>
  <c r="D13" i="2"/>
  <c r="D26" i="2" s="1"/>
  <c r="D27" i="2" s="1"/>
  <c r="E13" i="2"/>
  <c r="E26" i="2" s="1"/>
  <c r="E27" i="2" s="1"/>
  <c r="M18" i="1"/>
  <c r="N13" i="1" s="1"/>
  <c r="I18" i="1"/>
  <c r="J16" i="1" s="1"/>
  <c r="K18" i="1"/>
  <c r="L14" i="1" s="1"/>
  <c r="E18" i="1"/>
  <c r="F16" i="1" s="1"/>
  <c r="C18" i="1"/>
  <c r="D14" i="1" s="1"/>
  <c r="G18" i="1"/>
  <c r="H13" i="1" s="1"/>
  <c r="G29" i="2" l="1"/>
  <c r="H29" i="2"/>
  <c r="I29" i="2"/>
  <c r="F29" i="2"/>
  <c r="E29" i="2"/>
  <c r="H14" i="1"/>
  <c r="N14" i="1"/>
  <c r="C13" i="2"/>
  <c r="C26" i="2" s="1"/>
  <c r="C27" i="2" s="1"/>
  <c r="D28" i="2" s="1"/>
  <c r="J13" i="1"/>
  <c r="J14" i="1"/>
  <c r="J18" i="1" s="1"/>
  <c r="H16" i="1"/>
  <c r="H18" i="1" s="1"/>
  <c r="F13" i="1"/>
  <c r="F14" i="1"/>
  <c r="D13" i="1"/>
  <c r="D16" i="1"/>
  <c r="I27" i="2"/>
  <c r="L13" i="1"/>
  <c r="L16" i="1"/>
  <c r="N16" i="1"/>
  <c r="G28" i="2" l="1"/>
  <c r="F28" i="2"/>
  <c r="H28" i="2"/>
  <c r="I28" i="2"/>
  <c r="E28" i="2"/>
  <c r="F18" i="1"/>
  <c r="D18" i="1"/>
</calcChain>
</file>

<file path=xl/sharedStrings.xml><?xml version="1.0" encoding="utf-8"?>
<sst xmlns="http://schemas.openxmlformats.org/spreadsheetml/2006/main" count="72" uniqueCount="56">
  <si>
    <t>Schedule E1</t>
  </si>
  <si>
    <t>Water Service Corporation of Kentucky</t>
  </si>
  <si>
    <t>Case No. 2022-00147</t>
  </si>
  <si>
    <t>Calculation of Average Capital Structure</t>
  </si>
  <si>
    <t>“000 Omitted”</t>
  </si>
  <si>
    <t>Line</t>
  </si>
  <si>
    <t>No.</t>
  </si>
  <si>
    <t>Type of Capital</t>
  </si>
  <si>
    <t>Amount</t>
  </si>
  <si>
    <t>Ratio</t>
  </si>
  <si>
    <t>Long-Term Debt</t>
  </si>
  <si>
    <t>Short-Term Debt</t>
  </si>
  <si>
    <t>Preferred &amp; Preference Stock</t>
  </si>
  <si>
    <t>Common Equity</t>
  </si>
  <si>
    <t>Other (Itemize by type)</t>
  </si>
  <si>
    <t>Total Capitalization</t>
  </si>
  <si>
    <t>Instructions: If the applicant is a member of an affiliated group, the above data is to be provided for the parent company and the system consolidated.</t>
  </si>
  <si>
    <t>Schedule E2</t>
  </si>
  <si>
    <t>Line No.</t>
  </si>
  <si>
    <t>Item</t>
  </si>
  <si>
    <t>(a)</t>
  </si>
  <si>
    <t>Total Capital</t>
  </si>
  <si>
    <t>(b)</t>
  </si>
  <si>
    <t>(c)</t>
  </si>
  <si>
    <t>(d)</t>
  </si>
  <si>
    <t>Preferred Stock</t>
  </si>
  <si>
    <t>(e)</t>
  </si>
  <si>
    <t>Common Stock</t>
  </si>
  <si>
    <t>(f)</t>
  </si>
  <si>
    <t>Retained Earnings</t>
  </si>
  <si>
    <t>(g)</t>
  </si>
  <si>
    <t>Total Common Equity</t>
  </si>
  <si>
    <t>(h)</t>
  </si>
  <si>
    <t>Balance at beginning of most recent calendar year</t>
  </si>
  <si>
    <r>
      <t>1</t>
    </r>
    <r>
      <rPr>
        <vertAlign val="super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 xml:space="preserve"> Month</t>
    </r>
  </si>
  <si>
    <r>
      <t>2</t>
    </r>
    <r>
      <rPr>
        <vertAlign val="superscript"/>
        <sz val="9"/>
        <color theme="1"/>
        <rFont val="Arial"/>
        <family val="2"/>
      </rPr>
      <t>nd</t>
    </r>
    <r>
      <rPr>
        <sz val="9"/>
        <color theme="1"/>
        <rFont val="Arial"/>
        <family val="2"/>
      </rPr>
      <t xml:space="preserve"> Month</t>
    </r>
  </si>
  <si>
    <r>
      <t>3</t>
    </r>
    <r>
      <rPr>
        <vertAlign val="superscript"/>
        <sz val="9"/>
        <color theme="1"/>
        <rFont val="Arial"/>
        <family val="2"/>
      </rPr>
      <t>rd</t>
    </r>
    <r>
      <rPr>
        <sz val="9"/>
        <color theme="1"/>
        <rFont val="Arial"/>
        <family val="2"/>
      </rPr>
      <t xml:space="preserve"> Month</t>
    </r>
  </si>
  <si>
    <r>
      <t>4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</si>
  <si>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5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</si>
  <si>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6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</si>
  <si>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7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</si>
  <si>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8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</si>
  <si>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9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</si>
  <si>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10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</si>
  <si>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11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</si>
  <si>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r>
      <t>12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Month</t>
    </r>
  </si>
  <si>
    <t>Total (L1 through L13)</t>
  </si>
  <si>
    <t>Average Balance (L14 /  13)</t>
  </si>
  <si>
    <t>Average Capitalization Ratios</t>
  </si>
  <si>
    <t>End-of-period Capitalization Ratios</t>
  </si>
  <si>
    <t>Instructions:</t>
  </si>
  <si>
    <t>1. If applicable, provide an additional schedule in the above format excluding common equity in subsidiaries from the total company capital structure.  Show the amount of common equity excluded.</t>
  </si>
  <si>
    <t>2.  Include a premium class of stock.</t>
  </si>
  <si>
    <t>12 Months Ended _____2021______________________</t>
  </si>
  <si>
    <t>12 Months Ended December 31, _____2021_______</t>
  </si>
  <si>
    <t>Latest Available Quarter (March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</si>
</sst>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##"/>
    <numFmt numFmtId="167" formatCode="mm/yy"/>
    <numFmt numFmtId="168" formatCode="_([$€-2]* #,##0.00_);_([$€-2]* \(#,##0.00\);_([$€-2]* &quot;-&quot;??_)"/>
    <numFmt numFmtId="169" formatCode="0.0%"/>
  </numFmts>
  <fonts count="52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Bookman"/>
      <family val="1"/>
    </font>
    <font>
      <sz val="10"/>
      <name val="Bookman"/>
    </font>
    <font>
      <sz val="10"/>
      <name val="Courier"/>
      <family val="3"/>
    </font>
    <font>
      <sz val="10"/>
      <name val="Geneva"/>
      <family val="2"/>
    </font>
    <font>
      <sz val="10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Geneva"/>
    </font>
    <font>
      <b/>
      <sz val="10"/>
      <name val="Tahoma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indexed="64"/>
      </left>
      <right/>
      <top/>
      <bottom style="medium">
        <color indexed="64"/>
      </bottom>
      <diagonal/>
    </border>
  </borders>
  <cellStyleXfs count="409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25" applyNumberFormat="0" applyAlignment="0" applyProtection="0"/>
    <xf numFmtId="0" fontId="13" fillId="6" borderId="26" applyNumberFormat="0" applyAlignment="0" applyProtection="0"/>
    <xf numFmtId="0" fontId="14" fillId="6" borderId="25" applyNumberFormat="0" applyAlignment="0" applyProtection="0"/>
    <xf numFmtId="0" fontId="15" fillId="0" borderId="27" applyNumberFormat="0" applyFill="0" applyAlignment="0" applyProtection="0"/>
    <xf numFmtId="0" fontId="16" fillId="7" borderId="2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0" applyNumberFormat="0" applyFill="0" applyAlignment="0" applyProtection="0"/>
    <xf numFmtId="0" fontId="2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166" fontId="24" fillId="0" borderId="0" applyFont="0"/>
    <xf numFmtId="43" fontId="21" fillId="0" borderId="0" applyFont="0" applyFill="0" applyBorder="0" applyAlignment="0" applyProtection="0"/>
    <xf numFmtId="165" fontId="24" fillId="0" borderId="0"/>
    <xf numFmtId="167" fontId="25" fillId="0" borderId="0" applyFont="0" applyAlignment="0"/>
    <xf numFmtId="168" fontId="23" fillId="0" borderId="0" applyFont="0" applyFill="0" applyBorder="0" applyAlignment="0" applyProtection="0"/>
    <xf numFmtId="0" fontId="28" fillId="4" borderId="0" applyNumberFormat="0" applyBorder="0" applyAlignment="0" applyProtection="0"/>
    <xf numFmtId="0" fontId="26" fillId="0" borderId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30" borderId="0" applyNumberFormat="0" applyBorder="0" applyAlignment="0" applyProtection="0"/>
    <xf numFmtId="0" fontId="6" fillId="26" borderId="0" applyNumberFormat="0" applyBorder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8" borderId="29" applyNumberFormat="0" applyFont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43" fontId="2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8" borderId="2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26" fillId="0" borderId="0"/>
    <xf numFmtId="0" fontId="24" fillId="0" borderId="0"/>
    <xf numFmtId="0" fontId="27" fillId="33" borderId="31" applyNumberFormat="0" applyProtection="0">
      <alignment horizontal="center"/>
    </xf>
    <xf numFmtId="0" fontId="26" fillId="0" borderId="31" applyNumberFormat="0" applyFill="0" applyProtection="0">
      <alignment horizontal="left"/>
    </xf>
    <xf numFmtId="0" fontId="26" fillId="0" borderId="31" applyFill="0" applyAlignment="0" applyProtection="0"/>
    <xf numFmtId="0" fontId="26" fillId="0" borderId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0" fillId="0" borderId="0"/>
    <xf numFmtId="0" fontId="6" fillId="0" borderId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2" fillId="0" borderId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3" fillId="34" borderId="0" applyNumberFormat="0" applyBorder="0" applyAlignment="0" applyProtection="0"/>
    <xf numFmtId="0" fontId="6" fillId="10" borderId="0" applyNumberFormat="0" applyBorder="0" applyAlignment="0" applyProtection="0"/>
    <xf numFmtId="0" fontId="33" fillId="35" borderId="0" applyNumberFormat="0" applyBorder="0" applyAlignment="0" applyProtection="0"/>
    <xf numFmtId="0" fontId="6" fillId="14" borderId="0" applyNumberFormat="0" applyBorder="0" applyAlignment="0" applyProtection="0"/>
    <xf numFmtId="0" fontId="33" fillId="36" borderId="0" applyNumberFormat="0" applyBorder="0" applyAlignment="0" applyProtection="0"/>
    <xf numFmtId="0" fontId="6" fillId="18" borderId="0" applyNumberFormat="0" applyBorder="0" applyAlignment="0" applyProtection="0"/>
    <xf numFmtId="0" fontId="33" fillId="37" borderId="0" applyNumberFormat="0" applyBorder="0" applyAlignment="0" applyProtection="0"/>
    <xf numFmtId="0" fontId="6" fillId="22" borderId="0" applyNumberFormat="0" applyBorder="0" applyAlignment="0" applyProtection="0"/>
    <xf numFmtId="0" fontId="33" fillId="38" borderId="0" applyNumberFormat="0" applyBorder="0" applyAlignment="0" applyProtection="0"/>
    <xf numFmtId="0" fontId="6" fillId="26" borderId="0" applyNumberFormat="0" applyBorder="0" applyAlignment="0" applyProtection="0"/>
    <xf numFmtId="0" fontId="33" fillId="39" borderId="0" applyNumberFormat="0" applyBorder="0" applyAlignment="0" applyProtection="0"/>
    <xf numFmtId="0" fontId="6" fillId="30" borderId="0" applyNumberFormat="0" applyBorder="0" applyAlignment="0" applyProtection="0"/>
    <xf numFmtId="0" fontId="33" fillId="40" borderId="0" applyNumberFormat="0" applyBorder="0" applyAlignment="0" applyProtection="0"/>
    <xf numFmtId="0" fontId="6" fillId="11" borderId="0" applyNumberFormat="0" applyBorder="0" applyAlignment="0" applyProtection="0"/>
    <xf numFmtId="0" fontId="33" fillId="41" borderId="0" applyNumberFormat="0" applyBorder="0" applyAlignment="0" applyProtection="0"/>
    <xf numFmtId="0" fontId="6" fillId="15" borderId="0" applyNumberFormat="0" applyBorder="0" applyAlignment="0" applyProtection="0"/>
    <xf numFmtId="0" fontId="33" fillId="42" borderId="0" applyNumberFormat="0" applyBorder="0" applyAlignment="0" applyProtection="0"/>
    <xf numFmtId="0" fontId="6" fillId="19" borderId="0" applyNumberFormat="0" applyBorder="0" applyAlignment="0" applyProtection="0"/>
    <xf numFmtId="0" fontId="33" fillId="37" borderId="0" applyNumberFormat="0" applyBorder="0" applyAlignment="0" applyProtection="0"/>
    <xf numFmtId="0" fontId="6" fillId="23" borderId="0" applyNumberFormat="0" applyBorder="0" applyAlignment="0" applyProtection="0"/>
    <xf numFmtId="0" fontId="33" fillId="40" borderId="0" applyNumberFormat="0" applyBorder="0" applyAlignment="0" applyProtection="0"/>
    <xf numFmtId="0" fontId="6" fillId="27" borderId="0" applyNumberFormat="0" applyBorder="0" applyAlignment="0" applyProtection="0"/>
    <xf numFmtId="0" fontId="33" fillId="43" borderId="0" applyNumberFormat="0" applyBorder="0" applyAlignment="0" applyProtection="0"/>
    <xf numFmtId="0" fontId="6" fillId="31" borderId="0" applyNumberFormat="0" applyBorder="0" applyAlignment="0" applyProtection="0"/>
    <xf numFmtId="0" fontId="34" fillId="44" borderId="0" applyNumberFormat="0" applyBorder="0" applyAlignment="0" applyProtection="0"/>
    <xf numFmtId="0" fontId="20" fillId="12" borderId="0" applyNumberFormat="0" applyBorder="0" applyAlignment="0" applyProtection="0"/>
    <xf numFmtId="0" fontId="34" fillId="41" borderId="0" applyNumberFormat="0" applyBorder="0" applyAlignment="0" applyProtection="0"/>
    <xf numFmtId="0" fontId="20" fillId="16" borderId="0" applyNumberFormat="0" applyBorder="0" applyAlignment="0" applyProtection="0"/>
    <xf numFmtId="0" fontId="34" fillId="42" borderId="0" applyNumberFormat="0" applyBorder="0" applyAlignment="0" applyProtection="0"/>
    <xf numFmtId="0" fontId="20" fillId="20" borderId="0" applyNumberFormat="0" applyBorder="0" applyAlignment="0" applyProtection="0"/>
    <xf numFmtId="0" fontId="34" fillId="45" borderId="0" applyNumberFormat="0" applyBorder="0" applyAlignment="0" applyProtection="0"/>
    <xf numFmtId="0" fontId="20" fillId="24" borderId="0" applyNumberFormat="0" applyBorder="0" applyAlignment="0" applyProtection="0"/>
    <xf numFmtId="0" fontId="34" fillId="46" borderId="0" applyNumberFormat="0" applyBorder="0" applyAlignment="0" applyProtection="0"/>
    <xf numFmtId="0" fontId="20" fillId="28" borderId="0" applyNumberFormat="0" applyBorder="0" applyAlignment="0" applyProtection="0"/>
    <xf numFmtId="0" fontId="34" fillId="47" borderId="0" applyNumberFormat="0" applyBorder="0" applyAlignment="0" applyProtection="0"/>
    <xf numFmtId="0" fontId="20" fillId="32" borderId="0" applyNumberFormat="0" applyBorder="0" applyAlignment="0" applyProtection="0"/>
    <xf numFmtId="0" fontId="34" fillId="48" borderId="0" applyNumberFormat="0" applyBorder="0" applyAlignment="0" applyProtection="0"/>
    <xf numFmtId="0" fontId="20" fillId="9" borderId="0" applyNumberFormat="0" applyBorder="0" applyAlignment="0" applyProtection="0"/>
    <xf numFmtId="0" fontId="34" fillId="49" borderId="0" applyNumberFormat="0" applyBorder="0" applyAlignment="0" applyProtection="0"/>
    <xf numFmtId="0" fontId="20" fillId="13" borderId="0" applyNumberFormat="0" applyBorder="0" applyAlignment="0" applyProtection="0"/>
    <xf numFmtId="0" fontId="34" fillId="50" borderId="0" applyNumberFormat="0" applyBorder="0" applyAlignment="0" applyProtection="0"/>
    <xf numFmtId="0" fontId="20" fillId="17" borderId="0" applyNumberFormat="0" applyBorder="0" applyAlignment="0" applyProtection="0"/>
    <xf numFmtId="0" fontId="34" fillId="45" borderId="0" applyNumberFormat="0" applyBorder="0" applyAlignment="0" applyProtection="0"/>
    <xf numFmtId="0" fontId="20" fillId="21" borderId="0" applyNumberFormat="0" applyBorder="0" applyAlignment="0" applyProtection="0"/>
    <xf numFmtId="0" fontId="34" fillId="46" borderId="0" applyNumberFormat="0" applyBorder="0" applyAlignment="0" applyProtection="0"/>
    <xf numFmtId="0" fontId="20" fillId="25" borderId="0" applyNumberFormat="0" applyBorder="0" applyAlignment="0" applyProtection="0"/>
    <xf numFmtId="0" fontId="34" fillId="51" borderId="0" applyNumberFormat="0" applyBorder="0" applyAlignment="0" applyProtection="0"/>
    <xf numFmtId="0" fontId="20" fillId="29" borderId="0" applyNumberFormat="0" applyBorder="0" applyAlignment="0" applyProtection="0"/>
    <xf numFmtId="0" fontId="35" fillId="35" borderId="0" applyNumberFormat="0" applyBorder="0" applyAlignment="0" applyProtection="0"/>
    <xf numFmtId="0" fontId="11" fillId="3" borderId="0" applyNumberFormat="0" applyBorder="0" applyAlignment="0" applyProtection="0"/>
    <xf numFmtId="0" fontId="36" fillId="52" borderId="32" applyNumberFormat="0" applyAlignment="0" applyProtection="0"/>
    <xf numFmtId="0" fontId="14" fillId="6" borderId="25" applyNumberFormat="0" applyAlignment="0" applyProtection="0"/>
    <xf numFmtId="0" fontId="37" fillId="53" borderId="33" applyNumberFormat="0" applyAlignment="0" applyProtection="0"/>
    <xf numFmtId="0" fontId="16" fillId="7" borderId="28" applyNumberFormat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10" fillId="2" borderId="0" applyNumberFormat="0" applyBorder="0" applyAlignment="0" applyProtection="0"/>
    <xf numFmtId="0" fontId="40" fillId="0" borderId="34" applyNumberFormat="0" applyFill="0" applyAlignment="0" applyProtection="0"/>
    <xf numFmtId="0" fontId="7" fillId="0" borderId="22" applyNumberFormat="0" applyFill="0" applyAlignment="0" applyProtection="0"/>
    <xf numFmtId="0" fontId="41" fillId="0" borderId="35" applyNumberFormat="0" applyFill="0" applyAlignment="0" applyProtection="0"/>
    <xf numFmtId="0" fontId="8" fillId="0" borderId="23" applyNumberFormat="0" applyFill="0" applyAlignment="0" applyProtection="0"/>
    <xf numFmtId="0" fontId="42" fillId="0" borderId="36" applyNumberFormat="0" applyFill="0" applyAlignment="0" applyProtection="0"/>
    <xf numFmtId="0" fontId="9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9" borderId="32" applyNumberFormat="0" applyAlignment="0" applyProtection="0"/>
    <xf numFmtId="0" fontId="12" fillId="5" borderId="25" applyNumberFormat="0" applyAlignment="0" applyProtection="0"/>
    <xf numFmtId="0" fontId="44" fillId="0" borderId="37" applyNumberFormat="0" applyFill="0" applyAlignment="0" applyProtection="0"/>
    <xf numFmtId="0" fontId="15" fillId="0" borderId="27" applyNumberFormat="0" applyFill="0" applyAlignment="0" applyProtection="0"/>
    <xf numFmtId="0" fontId="45" fillId="54" borderId="0" applyNumberFormat="0" applyBorder="0" applyAlignment="0" applyProtection="0"/>
    <xf numFmtId="0" fontId="28" fillId="4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0" fontId="26" fillId="0" borderId="0"/>
    <xf numFmtId="0" fontId="33" fillId="55" borderId="38" applyNumberFormat="0" applyFont="0" applyAlignment="0" applyProtection="0"/>
    <xf numFmtId="0" fontId="6" fillId="8" borderId="29" applyNumberFormat="0" applyFont="0" applyAlignment="0" applyProtection="0"/>
    <xf numFmtId="0" fontId="46" fillId="52" borderId="39" applyNumberFormat="0" applyAlignment="0" applyProtection="0"/>
    <xf numFmtId="0" fontId="13" fillId="6" borderId="26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40" applyNumberFormat="0" applyFill="0" applyAlignment="0" applyProtection="0"/>
    <xf numFmtId="0" fontId="1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22" fillId="0" borderId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6" fillId="0" borderId="0"/>
    <xf numFmtId="0" fontId="26" fillId="0" borderId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" fillId="0" borderId="0"/>
    <xf numFmtId="44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50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1" fillId="0" borderId="0"/>
    <xf numFmtId="0" fontId="50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44" fontId="22" fillId="0" borderId="0" applyFont="0" applyFill="0" applyBorder="0" applyAlignment="0" applyProtection="0"/>
    <xf numFmtId="0" fontId="51" fillId="56" borderId="41"/>
    <xf numFmtId="0" fontId="6" fillId="0" borderId="0"/>
  </cellStyleXfs>
  <cellXfs count="6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69" fontId="2" fillId="0" borderId="11" xfId="1" applyNumberFormat="1" applyFont="1" applyBorder="1" applyAlignment="1">
      <alignment horizontal="left" vertical="center" wrapText="1"/>
    </xf>
    <xf numFmtId="169" fontId="2" fillId="0" borderId="11" xfId="2" applyNumberFormat="1" applyFont="1" applyBorder="1" applyAlignment="1">
      <alignment horizontal="left" vertical="center" wrapText="1"/>
    </xf>
    <xf numFmtId="9" fontId="2" fillId="0" borderId="11" xfId="2" applyFont="1" applyBorder="1" applyAlignment="1">
      <alignment horizontal="left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5" xfId="1" applyNumberFormat="1" applyFont="1" applyBorder="1" applyAlignment="1">
      <alignment horizontal="left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left" vertical="center" wrapText="1"/>
    </xf>
    <xf numFmtId="164" fontId="4" fillId="0" borderId="31" xfId="1" applyNumberFormat="1" applyFont="1" applyBorder="1" applyAlignment="1">
      <alignment horizontal="justify" vertical="center" wrapText="1"/>
    </xf>
    <xf numFmtId="164" fontId="4" fillId="0" borderId="31" xfId="0" applyNumberFormat="1" applyFont="1" applyBorder="1" applyAlignment="1">
      <alignment horizontal="justify" vertical="center" wrapText="1"/>
    </xf>
    <xf numFmtId="164" fontId="4" fillId="0" borderId="31" xfId="1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justify" vertical="center" wrapText="1"/>
    </xf>
    <xf numFmtId="169" fontId="4" fillId="0" borderId="31" xfId="2" applyNumberFormat="1" applyFont="1" applyBorder="1" applyAlignment="1">
      <alignment horizontal="justify" vertical="center" wrapText="1"/>
    </xf>
    <xf numFmtId="9" fontId="2" fillId="0" borderId="15" xfId="2" applyFont="1" applyBorder="1" applyAlignment="1">
      <alignment horizontal="left" vertical="center" wrapText="1"/>
    </xf>
    <xf numFmtId="9" fontId="2" fillId="0" borderId="16" xfId="2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</cellXfs>
  <cellStyles count="409">
    <cellStyle name="20% - Accent1" xfId="18" builtinId="30" customBuiltin="1"/>
    <cellStyle name="20% - Accent1 2" xfId="58" xr:uid="{DE67C1FB-2DC5-41E2-BB3D-F4CCAB385C83}"/>
    <cellStyle name="20% - Accent1 2 2" xfId="115" xr:uid="{CCEC5F3D-BEC9-4406-9729-DF563E30FDD8}"/>
    <cellStyle name="20% - Accent1 2 3" xfId="158" xr:uid="{86B4FAE7-B44C-4AB7-9044-CC022373EB2C}"/>
    <cellStyle name="20% - Accent1 2 4" xfId="190" xr:uid="{49EBFA33-73C4-4B50-B029-C4872894D889}"/>
    <cellStyle name="20% - Accent1 2 5" xfId="265" xr:uid="{A9431070-438F-4C4C-90F2-1080AC31DEDF}"/>
    <cellStyle name="20% - Accent1 3" xfId="72" xr:uid="{7E6579AD-E32F-4D0F-92D6-D026881E4E52}"/>
    <cellStyle name="20% - Accent1 3 2" xfId="129" xr:uid="{09C4EE6E-8961-4B2A-81FB-EE8EE3CBC232}"/>
    <cellStyle name="20% - Accent1 3 3" xfId="172" xr:uid="{E8490DB7-9003-423C-B327-04E66958CE4E}"/>
    <cellStyle name="20% - Accent1 3 4" xfId="204" xr:uid="{A15B4A21-FCDC-47D2-995A-ABCCF00EA1DF}"/>
    <cellStyle name="20% - Accent1 3 5" xfId="264" xr:uid="{5CF06D6A-595F-4889-BB91-53F3C890695B}"/>
    <cellStyle name="20% - Accent1 4" xfId="84" xr:uid="{945A4654-1476-47A1-9046-97943184AC17}"/>
    <cellStyle name="20% - Accent1 5" xfId="112" xr:uid="{4207CAF9-5F4B-4A15-A9B9-D7C71D94366C}"/>
    <cellStyle name="20% - Accent1 6" xfId="155" xr:uid="{E39B00E3-73D4-43B6-AD00-FB8CBD61A1EF}"/>
    <cellStyle name="20% - Accent1 7" xfId="221" xr:uid="{9B104556-3A2E-4718-8395-CB10A53F0811}"/>
    <cellStyle name="20% - Accent2" xfId="21" builtinId="34" customBuiltin="1"/>
    <cellStyle name="20% - Accent2 2" xfId="60" xr:uid="{C23B2D3B-AAB4-4362-AFE4-EDA56ADCC16E}"/>
    <cellStyle name="20% - Accent2 2 2" xfId="117" xr:uid="{A6A4E52C-5E68-4062-83D5-A235655D7D1D}"/>
    <cellStyle name="20% - Accent2 2 3" xfId="160" xr:uid="{B3E95594-98A8-4F4B-A227-907683CC2AAB}"/>
    <cellStyle name="20% - Accent2 2 4" xfId="192" xr:uid="{E70D4090-2C64-4CEE-B5F0-76F0CF4E7938}"/>
    <cellStyle name="20% - Accent2 2 5" xfId="267" xr:uid="{A22D0E52-CF41-49FD-B079-A59CC04D420B}"/>
    <cellStyle name="20% - Accent2 3" xfId="74" xr:uid="{BDC62EA9-FBEB-4DC7-AACB-C118EEC910F2}"/>
    <cellStyle name="20% - Accent2 3 2" xfId="131" xr:uid="{711F7976-1657-413D-A5F5-2CD5D640923A}"/>
    <cellStyle name="20% - Accent2 3 3" xfId="174" xr:uid="{3959FA17-1790-4395-BAE0-FF8FB1272FBF}"/>
    <cellStyle name="20% - Accent2 3 4" xfId="206" xr:uid="{C8F993DF-94F6-4C18-9C6A-D48A884C03B7}"/>
    <cellStyle name="20% - Accent2 3 5" xfId="266" xr:uid="{E87E7B9B-D9E1-4FDC-BD77-4717A19DC576}"/>
    <cellStyle name="20% - Accent2 4" xfId="85" xr:uid="{28224955-39FC-4A61-A55D-32938A4BF411}"/>
    <cellStyle name="20% - Accent2 5" xfId="111" xr:uid="{5AD93F3C-E320-4EF8-9734-4580003EFE57}"/>
    <cellStyle name="20% - Accent2 6" xfId="154" xr:uid="{269EE5A7-3585-446B-BB46-621A78E1B7AD}"/>
    <cellStyle name="20% - Accent2 7" xfId="223" xr:uid="{49299E3B-AAF9-485B-8621-8453D57728DC}"/>
    <cellStyle name="20% - Accent3" xfId="24" builtinId="38" customBuiltin="1"/>
    <cellStyle name="20% - Accent3 2" xfId="62" xr:uid="{F35D4AF0-EB76-45B9-A65B-D623C71CCD2F}"/>
    <cellStyle name="20% - Accent3 2 2" xfId="119" xr:uid="{38596FC1-E650-4383-88BA-E45CB032D369}"/>
    <cellStyle name="20% - Accent3 2 3" xfId="162" xr:uid="{9F9854BB-5BC9-4211-AFB5-31F64F9733D5}"/>
    <cellStyle name="20% - Accent3 2 4" xfId="194" xr:uid="{14A3C75D-DF7D-4655-9055-18C747600421}"/>
    <cellStyle name="20% - Accent3 2 5" xfId="269" xr:uid="{FEF54B86-1EA9-4BF5-A689-B839D3B42D15}"/>
    <cellStyle name="20% - Accent3 3" xfId="76" xr:uid="{AF8C5029-A48A-46B8-A589-DEAA4439C24D}"/>
    <cellStyle name="20% - Accent3 3 2" xfId="133" xr:uid="{7E03FDA4-9012-46C4-BAE8-8029CD165CF7}"/>
    <cellStyle name="20% - Accent3 3 3" xfId="176" xr:uid="{93E05104-3EDD-4908-B0F7-C8265215B472}"/>
    <cellStyle name="20% - Accent3 3 4" xfId="208" xr:uid="{92C4D2D4-E355-4032-8F17-D96C64BF311E}"/>
    <cellStyle name="20% - Accent3 3 5" xfId="268" xr:uid="{1718CF8D-3F5C-4B2B-9EC8-AC7B8D3F55A4}"/>
    <cellStyle name="20% - Accent3 4" xfId="86" xr:uid="{55EBF76C-A014-41D5-9559-11ED5CC9B126}"/>
    <cellStyle name="20% - Accent3 5" xfId="110" xr:uid="{C3382E61-D0F5-4FC5-A1E9-65875E841FAF}"/>
    <cellStyle name="20% - Accent3 6" xfId="153" xr:uid="{A060C7D7-6C7E-405D-9EAD-35F78EA96900}"/>
    <cellStyle name="20% - Accent3 7" xfId="225" xr:uid="{00F159E0-2ED1-4C22-9460-F435A0C1ED7E}"/>
    <cellStyle name="20% - Accent4" xfId="27" builtinId="42" customBuiltin="1"/>
    <cellStyle name="20% - Accent4 2" xfId="64" xr:uid="{A56C78D8-5FAF-4BE5-BF8B-BDB45AD43ED1}"/>
    <cellStyle name="20% - Accent4 2 2" xfId="121" xr:uid="{0F468411-E991-45D7-991A-5FA58BC96B7B}"/>
    <cellStyle name="20% - Accent4 2 3" xfId="164" xr:uid="{CC67B299-1101-448B-A496-52C45FA5D189}"/>
    <cellStyle name="20% - Accent4 2 4" xfId="196" xr:uid="{933F4071-178C-400D-BF9E-778047B434AA}"/>
    <cellStyle name="20% - Accent4 2 5" xfId="271" xr:uid="{A1442F02-F3F5-4DDE-ACDE-C934B271B6CD}"/>
    <cellStyle name="20% - Accent4 3" xfId="78" xr:uid="{DDECCE9A-D69E-4C8A-BC40-CEE65BFB7F65}"/>
    <cellStyle name="20% - Accent4 3 2" xfId="135" xr:uid="{21C5D3C6-39B5-40AF-9471-1D9615D5D42C}"/>
    <cellStyle name="20% - Accent4 3 3" xfId="178" xr:uid="{AB132120-C065-47FE-BD13-4206C9AB643B}"/>
    <cellStyle name="20% - Accent4 3 4" xfId="210" xr:uid="{B1A6BDC3-AD5F-4762-A6BF-97405835C5FE}"/>
    <cellStyle name="20% - Accent4 3 5" xfId="270" xr:uid="{15C45E54-CBA4-46D5-9CD4-9E56D02CA30C}"/>
    <cellStyle name="20% - Accent4 4" xfId="87" xr:uid="{A8799527-F085-47BE-AF17-65BBA40CC5DA}"/>
    <cellStyle name="20% - Accent4 5" xfId="109" xr:uid="{5483CBFB-EC76-43C5-A0A5-ADC027ED9500}"/>
    <cellStyle name="20% - Accent4 6" xfId="152" xr:uid="{4BD1DB0F-47D5-42A1-B47A-EDB35FB42964}"/>
    <cellStyle name="20% - Accent4 7" xfId="227" xr:uid="{DC2967E0-BF7E-4020-9021-BF5460818D9D}"/>
    <cellStyle name="20% - Accent5" xfId="30" builtinId="46" customBuiltin="1"/>
    <cellStyle name="20% - Accent5 2" xfId="66" xr:uid="{3C720418-4AA4-41BD-A76F-2783110E5D08}"/>
    <cellStyle name="20% - Accent5 2 2" xfId="123" xr:uid="{EED2B8AC-F138-4E68-AF68-F75E570C41D6}"/>
    <cellStyle name="20% - Accent5 2 3" xfId="166" xr:uid="{A43B43B9-8FC9-412F-B630-7DDBFF551E08}"/>
    <cellStyle name="20% - Accent5 2 4" xfId="198" xr:uid="{93F13694-0B4E-4601-A1B6-551A0C74D943}"/>
    <cellStyle name="20% - Accent5 2 5" xfId="273" xr:uid="{AC83002B-5C74-478F-B7C1-0229124ED3D2}"/>
    <cellStyle name="20% - Accent5 3" xfId="80" xr:uid="{C503308D-C895-4D4D-8704-2BABD54D7C56}"/>
    <cellStyle name="20% - Accent5 3 2" xfId="137" xr:uid="{05B8E8A1-A346-4BFB-9B76-383F5A102898}"/>
    <cellStyle name="20% - Accent5 3 3" xfId="180" xr:uid="{01F55FBC-2DE0-459E-8914-66CC5FD7495D}"/>
    <cellStyle name="20% - Accent5 3 4" xfId="212" xr:uid="{1BD2A9A5-5A9F-4FDC-B976-4377900AC0D6}"/>
    <cellStyle name="20% - Accent5 3 5" xfId="272" xr:uid="{765CD400-2D1F-4A4D-9820-968A5F8B5537}"/>
    <cellStyle name="20% - Accent5 4" xfId="88" xr:uid="{EA50BF1F-2CEA-4F04-800B-D91104349072}"/>
    <cellStyle name="20% - Accent5 5" xfId="104" xr:uid="{E6109DBD-59F1-421E-83F3-D28E661AF59D}"/>
    <cellStyle name="20% - Accent5 6" xfId="147" xr:uid="{F5D2B5ED-5F11-492F-90DE-9B57D54BE9F4}"/>
    <cellStyle name="20% - Accent5 7" xfId="229" xr:uid="{D2EF6A92-250B-4225-A966-2DBA9F24C17E}"/>
    <cellStyle name="20% - Accent6" xfId="33" builtinId="50" customBuiltin="1"/>
    <cellStyle name="20% - Accent6 2" xfId="68" xr:uid="{C6B38DEF-6D7B-4926-A103-670772D4B14A}"/>
    <cellStyle name="20% - Accent6 2 2" xfId="125" xr:uid="{F5F951B0-31E4-42A3-9DED-6B6D92C4D0BA}"/>
    <cellStyle name="20% - Accent6 2 3" xfId="168" xr:uid="{68453E86-579F-4B3C-9DA6-03C06B8EA9A4}"/>
    <cellStyle name="20% - Accent6 2 4" xfId="200" xr:uid="{53F763C1-99CB-46FC-8694-EC16463990B0}"/>
    <cellStyle name="20% - Accent6 2 5" xfId="275" xr:uid="{6C7A1D40-09BF-4328-99E3-038830CB0A9A}"/>
    <cellStyle name="20% - Accent6 3" xfId="82" xr:uid="{A4F5A5B7-710D-4E74-9F67-D221EAB3378D}"/>
    <cellStyle name="20% - Accent6 3 2" xfId="139" xr:uid="{094FE458-8FF7-42C8-B8E0-D1B95EC4D849}"/>
    <cellStyle name="20% - Accent6 3 3" xfId="182" xr:uid="{FEAFB4EC-7F31-4E9D-A6C6-A7930D41B4A2}"/>
    <cellStyle name="20% - Accent6 3 4" xfId="214" xr:uid="{09F989CF-AA75-4C01-BBC3-11FA92711B3F}"/>
    <cellStyle name="20% - Accent6 3 5" xfId="274" xr:uid="{760C9BD8-3126-420E-9DB7-179FD649B561}"/>
    <cellStyle name="20% - Accent6 4" xfId="89" xr:uid="{B6853F72-5AF3-4BFF-84BA-383CD9F0EA7B}"/>
    <cellStyle name="20% - Accent6 5" xfId="103" xr:uid="{7004D577-6AA5-4644-AB77-0774823D476C}"/>
    <cellStyle name="20% - Accent6 6" xfId="146" xr:uid="{A14226C7-6C75-4DA1-8D81-E9C85AFB0A4D}"/>
    <cellStyle name="20% - Accent6 7" xfId="231" xr:uid="{A5AFEEC6-F073-46F3-B3F6-3947F9C16EDF}"/>
    <cellStyle name="40% - Accent1" xfId="19" builtinId="31" customBuiltin="1"/>
    <cellStyle name="40% - Accent1 2" xfId="59" xr:uid="{F42CACB0-F5B8-4293-9807-79EC0DABE5CD}"/>
    <cellStyle name="40% - Accent1 2 2" xfId="116" xr:uid="{DE4A9570-D2BD-402D-A919-C2E12A7783CC}"/>
    <cellStyle name="40% - Accent1 2 3" xfId="159" xr:uid="{C6E37109-5262-4468-ABBC-48E95BC028F1}"/>
    <cellStyle name="40% - Accent1 2 4" xfId="191" xr:uid="{34935884-77D0-4B6E-9B77-19DCE9C4F3F1}"/>
    <cellStyle name="40% - Accent1 2 5" xfId="277" xr:uid="{EA76DE65-8EF1-4E1B-A875-2E9A3501E3C3}"/>
    <cellStyle name="40% - Accent1 3" xfId="73" xr:uid="{A3DCDA07-0427-4EBA-BC63-1115776F43A1}"/>
    <cellStyle name="40% - Accent1 3 2" xfId="130" xr:uid="{FF3EBEB5-1C77-4E51-A819-50007F13F630}"/>
    <cellStyle name="40% - Accent1 3 3" xfId="173" xr:uid="{DA856940-B775-4E39-85FB-4954D19738B9}"/>
    <cellStyle name="40% - Accent1 3 4" xfId="205" xr:uid="{646CA823-DD26-43C5-AB50-2EE79E9EB8C7}"/>
    <cellStyle name="40% - Accent1 3 5" xfId="276" xr:uid="{067505FD-E619-42B2-8865-C862C130684C}"/>
    <cellStyle name="40% - Accent1 4" xfId="90" xr:uid="{72B8D054-C2E8-458E-AB57-AC14D53BCA87}"/>
    <cellStyle name="40% - Accent1 5" xfId="102" xr:uid="{4AE4B9EC-A8BC-4262-977F-B70679DB9490}"/>
    <cellStyle name="40% - Accent1 6" xfId="145" xr:uid="{9B4A1ED0-3B9A-40BF-BEAA-3CCBC63BABDC}"/>
    <cellStyle name="40% - Accent1 7" xfId="222" xr:uid="{33433CC3-4C1E-4C89-A07E-A7D897E8B262}"/>
    <cellStyle name="40% - Accent2" xfId="22" builtinId="35" customBuiltin="1"/>
    <cellStyle name="40% - Accent2 2" xfId="61" xr:uid="{301A5917-A3A6-4A9F-81DB-842E733F7110}"/>
    <cellStyle name="40% - Accent2 2 2" xfId="118" xr:uid="{D2972B03-CE4A-467E-BF1C-ED26F80AB858}"/>
    <cellStyle name="40% - Accent2 2 3" xfId="161" xr:uid="{BBB1EADE-B59F-40B4-A372-1F514195D11D}"/>
    <cellStyle name="40% - Accent2 2 4" xfId="193" xr:uid="{EFA07A10-AB96-4ADA-9F29-03AF2A3D6DD6}"/>
    <cellStyle name="40% - Accent2 2 5" xfId="279" xr:uid="{E085E0AD-6F7E-4CC4-A5E2-C980CFB2A22C}"/>
    <cellStyle name="40% - Accent2 3" xfId="75" xr:uid="{6F083B1B-995C-497D-93F9-6BFB1082BE6C}"/>
    <cellStyle name="40% - Accent2 3 2" xfId="132" xr:uid="{2606BD1D-F0D7-4FAD-826A-007E74E99CCF}"/>
    <cellStyle name="40% - Accent2 3 3" xfId="175" xr:uid="{0FD7521E-D274-456A-8125-20855048C710}"/>
    <cellStyle name="40% - Accent2 3 4" xfId="207" xr:uid="{03064CD2-92A4-4391-8C26-7EE9429BD5FA}"/>
    <cellStyle name="40% - Accent2 3 5" xfId="278" xr:uid="{9EAA14A2-592D-48C6-A274-B84EE5EA9257}"/>
    <cellStyle name="40% - Accent2 4" xfId="91" xr:uid="{A923AA57-8982-40A2-BF00-A965869145C6}"/>
    <cellStyle name="40% - Accent2 5" xfId="101" xr:uid="{67004CAC-5F79-4A83-B9B2-C07711F3B0BD}"/>
    <cellStyle name="40% - Accent2 6" xfId="144" xr:uid="{751802BF-983B-49ED-A7B3-C672BCB943A2}"/>
    <cellStyle name="40% - Accent2 7" xfId="224" xr:uid="{744DC697-6232-4FFF-B753-33EDE4D9CFD3}"/>
    <cellStyle name="40% - Accent3" xfId="25" builtinId="39" customBuiltin="1"/>
    <cellStyle name="40% - Accent3 2" xfId="63" xr:uid="{1C357BFF-B557-4888-AF4B-9BC83667F776}"/>
    <cellStyle name="40% - Accent3 2 2" xfId="120" xr:uid="{4775FBBE-177A-46C5-A2DC-832423E14F09}"/>
    <cellStyle name="40% - Accent3 2 3" xfId="163" xr:uid="{67EB73D6-774C-4AB5-A21E-A28F5B8B6631}"/>
    <cellStyle name="40% - Accent3 2 4" xfId="195" xr:uid="{587A6459-1D42-46C9-B8F3-BCFFF748C98E}"/>
    <cellStyle name="40% - Accent3 2 5" xfId="281" xr:uid="{12D4611F-6E6B-4167-92E1-07EA77877717}"/>
    <cellStyle name="40% - Accent3 3" xfId="77" xr:uid="{C8D46A80-5100-45D4-9720-8B2AF1DE3110}"/>
    <cellStyle name="40% - Accent3 3 2" xfId="134" xr:uid="{E2F8F906-41C9-464D-9551-65B210C2BEEA}"/>
    <cellStyle name="40% - Accent3 3 3" xfId="177" xr:uid="{3C5DB735-3ADA-4FC0-88A6-C522E8AE6721}"/>
    <cellStyle name="40% - Accent3 3 4" xfId="209" xr:uid="{C9E0A40B-E563-47EC-B26D-FEFE8BD6354D}"/>
    <cellStyle name="40% - Accent3 3 5" xfId="280" xr:uid="{6BEA5AA5-C02F-41B0-9F48-871218189D19}"/>
    <cellStyle name="40% - Accent3 4" xfId="92" xr:uid="{56476A6A-081A-4875-B7CB-981A6E266DB1}"/>
    <cellStyle name="40% - Accent3 5" xfId="100" xr:uid="{8D946C30-6B9A-4DAF-A38F-1A5CE959E801}"/>
    <cellStyle name="40% - Accent3 6" xfId="143" xr:uid="{81A037F8-D43A-405D-A6B3-F0E68D9F6216}"/>
    <cellStyle name="40% - Accent3 7" xfId="226" xr:uid="{12A24994-A193-4EB3-A438-DECE9F817100}"/>
    <cellStyle name="40% - Accent4" xfId="28" builtinId="43" customBuiltin="1"/>
    <cellStyle name="40% - Accent4 2" xfId="65" xr:uid="{05771C26-09A8-4302-9AC9-5F86FFF9A863}"/>
    <cellStyle name="40% - Accent4 2 2" xfId="122" xr:uid="{2322BE35-19B6-4425-BC52-32D5C412FD13}"/>
    <cellStyle name="40% - Accent4 2 3" xfId="165" xr:uid="{E776403C-E5F1-4762-BB9A-511593C8A537}"/>
    <cellStyle name="40% - Accent4 2 4" xfId="197" xr:uid="{FB42B8C0-4300-41D0-B39C-CA027A17EDF3}"/>
    <cellStyle name="40% - Accent4 2 5" xfId="283" xr:uid="{33C8ACF2-8B73-4179-8617-F035903E26AB}"/>
    <cellStyle name="40% - Accent4 3" xfId="79" xr:uid="{AB6CCCF7-4131-468B-A53E-7FBB8890DF83}"/>
    <cellStyle name="40% - Accent4 3 2" xfId="136" xr:uid="{F2E57999-CF56-4DDF-B748-0001F99BC4CC}"/>
    <cellStyle name="40% - Accent4 3 3" xfId="179" xr:uid="{D206F15A-8DCA-4887-BCAE-92F0AEF5282F}"/>
    <cellStyle name="40% - Accent4 3 4" xfId="211" xr:uid="{585B678B-962B-4625-BD90-B1114CEFA59C}"/>
    <cellStyle name="40% - Accent4 3 5" xfId="282" xr:uid="{C77D0DCA-A86E-4A8B-94D8-70478AB99E6B}"/>
    <cellStyle name="40% - Accent4 4" xfId="93" xr:uid="{44435AFD-B7EB-4E83-986F-2D5E4AD42AE9}"/>
    <cellStyle name="40% - Accent4 5" xfId="99" xr:uid="{9B4FA88B-D183-4BE6-AA31-D399810820EB}"/>
    <cellStyle name="40% - Accent4 6" xfId="142" xr:uid="{8AF86D40-E41E-4C9E-8C7A-164596F9342C}"/>
    <cellStyle name="40% - Accent4 7" xfId="228" xr:uid="{8DD286E1-E7C4-4569-856E-36F953F6CC6F}"/>
    <cellStyle name="40% - Accent5" xfId="31" builtinId="47" customBuiltin="1"/>
    <cellStyle name="40% - Accent5 2" xfId="67" xr:uid="{C5AD3030-075B-44C7-9E4D-1AD86C6A140D}"/>
    <cellStyle name="40% - Accent5 2 2" xfId="124" xr:uid="{00FF8749-BEB5-4C11-B3A3-50A34C5F5D58}"/>
    <cellStyle name="40% - Accent5 2 3" xfId="167" xr:uid="{0B47DA74-4C05-4494-B1E2-15BD97D92ABC}"/>
    <cellStyle name="40% - Accent5 2 4" xfId="199" xr:uid="{D5DE8E6F-5C65-4821-9157-BDB8EFE1FED5}"/>
    <cellStyle name="40% - Accent5 2 5" xfId="285" xr:uid="{5577B149-01CC-4099-9957-F13BDE26DE9A}"/>
    <cellStyle name="40% - Accent5 3" xfId="81" xr:uid="{80E225B2-5FCD-4936-A851-8171037035CA}"/>
    <cellStyle name="40% - Accent5 3 2" xfId="138" xr:uid="{89EB4FF9-8F98-4F29-A9CF-50189C6AAC3C}"/>
    <cellStyle name="40% - Accent5 3 3" xfId="181" xr:uid="{65579BE4-B3F4-49A0-BFBF-A46A87A46076}"/>
    <cellStyle name="40% - Accent5 3 4" xfId="213" xr:uid="{D1F4FD11-5993-487C-8035-9137861CE979}"/>
    <cellStyle name="40% - Accent5 3 5" xfId="284" xr:uid="{4803F6AF-8B14-420F-9EAF-100AF1C3D9D8}"/>
    <cellStyle name="40% - Accent5 4" xfId="94" xr:uid="{49A2FE5A-EBE4-45B3-9246-4B4963B04842}"/>
    <cellStyle name="40% - Accent5 5" xfId="98" xr:uid="{5C584690-73EA-4061-BB72-90046F27B09D}"/>
    <cellStyle name="40% - Accent5 6" xfId="141" xr:uid="{B60AD496-091C-45B7-928F-44E7967DF8CA}"/>
    <cellStyle name="40% - Accent5 7" xfId="230" xr:uid="{5AD31D87-9B33-49D5-B39A-42670ABD46B4}"/>
    <cellStyle name="40% - Accent6" xfId="34" builtinId="51" customBuiltin="1"/>
    <cellStyle name="40% - Accent6 2" xfId="69" xr:uid="{25C64EBD-DC42-44CF-B11A-24ABA76ACE43}"/>
    <cellStyle name="40% - Accent6 2 2" xfId="126" xr:uid="{60CD9AB9-42BE-4266-A1D9-041B54317A4A}"/>
    <cellStyle name="40% - Accent6 2 3" xfId="169" xr:uid="{85AE7A86-7A7A-463D-AC6A-999A21F91C94}"/>
    <cellStyle name="40% - Accent6 2 4" xfId="201" xr:uid="{F9012E5D-B024-4CC4-8438-E4090E0FFA5A}"/>
    <cellStyle name="40% - Accent6 2 5" xfId="287" xr:uid="{1CBB1EAD-5AE9-4C05-BF86-E247B26D9F8D}"/>
    <cellStyle name="40% - Accent6 3" xfId="83" xr:uid="{F9BA20CC-AEB4-48CF-9051-479D05C5C2A9}"/>
    <cellStyle name="40% - Accent6 3 2" xfId="140" xr:uid="{487B5D9D-5D13-4E93-8E9D-1A0C9A087D2B}"/>
    <cellStyle name="40% - Accent6 3 3" xfId="183" xr:uid="{9B6DD145-ECED-429D-BCB4-771FC402CE5F}"/>
    <cellStyle name="40% - Accent6 3 4" xfId="215" xr:uid="{9D85BAFE-7655-4824-AFDB-0889B6591309}"/>
    <cellStyle name="40% - Accent6 3 5" xfId="286" xr:uid="{E6600B63-06FE-414A-9C15-6BB120DD240A}"/>
    <cellStyle name="40% - Accent6 4" xfId="95" xr:uid="{5B4D6823-654C-4751-A6C7-0D29BBE99AFA}"/>
    <cellStyle name="40% - Accent6 5" xfId="97" xr:uid="{FD1ACE39-9575-484D-AB42-8F098C976702}"/>
    <cellStyle name="40% - Accent6 6" xfId="96" xr:uid="{7FA62E93-3138-4F51-A837-0654D0DDE828}"/>
    <cellStyle name="40% - Accent6 7" xfId="232" xr:uid="{EB393C88-EB39-43C9-A96F-31ED31E8EF83}"/>
    <cellStyle name="60% - Accent1 2" xfId="289" xr:uid="{F2064EEB-BFF6-4FF5-AA60-7508CAF5FE01}"/>
    <cellStyle name="60% - Accent1 3" xfId="288" xr:uid="{6AD0C304-37BD-4B0F-B2FE-18941307640D}"/>
    <cellStyle name="60% - Accent1 4" xfId="37" xr:uid="{45CB3433-D727-42D4-80B7-D563A2E67A39}"/>
    <cellStyle name="60% - Accent2 2" xfId="291" xr:uid="{F868369B-D30D-4AEC-A0A8-7A8DD4BE69A2}"/>
    <cellStyle name="60% - Accent2 3" xfId="290" xr:uid="{EB55612F-BFD5-4D78-A9C6-8523424357DB}"/>
    <cellStyle name="60% - Accent2 4" xfId="38" xr:uid="{A1E5CDC5-1115-4464-9DB4-776EA0D604DF}"/>
    <cellStyle name="60% - Accent3 2" xfId="293" xr:uid="{AF74BE5A-3764-48BC-B200-1FBE37B153A2}"/>
    <cellStyle name="60% - Accent3 3" xfId="292" xr:uid="{62D0DFFA-09DA-4921-BD4E-8A9F15784410}"/>
    <cellStyle name="60% - Accent3 4" xfId="39" xr:uid="{8BCCAB7F-3BD4-4E5F-A44D-69CB9A3BC38E}"/>
    <cellStyle name="60% - Accent4 2" xfId="295" xr:uid="{65930FDC-CE7D-4A84-B120-81448F6C1BAF}"/>
    <cellStyle name="60% - Accent4 3" xfId="294" xr:uid="{18629CFE-B08C-4BB6-8260-FAA4A1784F98}"/>
    <cellStyle name="60% - Accent4 4" xfId="40" xr:uid="{3A4611E3-6236-40B0-9E1B-45EC7C7C3E44}"/>
    <cellStyle name="60% - Accent5 2" xfId="297" xr:uid="{EDB95268-E554-4546-9F35-F47ECD823AD8}"/>
    <cellStyle name="60% - Accent5 3" xfId="296" xr:uid="{02021817-0C2A-4E8E-ACF0-5F8DB63AECC0}"/>
    <cellStyle name="60% - Accent5 4" xfId="41" xr:uid="{F2B12C6A-8871-44AD-BE07-1203FED1B7D2}"/>
    <cellStyle name="60% - Accent6 2" xfId="299" xr:uid="{9C24A31B-370E-42F2-B24C-A3C2CD7DCE4F}"/>
    <cellStyle name="60% - Accent6 3" xfId="298" xr:uid="{9198B934-704C-4BAF-ADA4-D2B1653E6778}"/>
    <cellStyle name="60% - Accent6 4" xfId="42" xr:uid="{A018858F-E698-42CD-99E2-101C21061B31}"/>
    <cellStyle name="Accent1" xfId="17" builtinId="29" customBuiltin="1"/>
    <cellStyle name="Accent1 2" xfId="301" xr:uid="{5CCD6D0A-B254-46BD-9777-456F6416CD57}"/>
    <cellStyle name="Accent1 3" xfId="300" xr:uid="{5F974286-413D-4BDF-85D0-DE82D5355ADD}"/>
    <cellStyle name="Accent2" xfId="20" builtinId="33" customBuiltin="1"/>
    <cellStyle name="Accent2 2" xfId="303" xr:uid="{3C11834A-AA71-4B16-BC7C-11F6C3265D5B}"/>
    <cellStyle name="Accent2 3" xfId="302" xr:uid="{C0D482BB-C959-4F0B-813C-D0563D5EBB4F}"/>
    <cellStyle name="Accent3" xfId="23" builtinId="37" customBuiltin="1"/>
    <cellStyle name="Accent3 2" xfId="305" xr:uid="{5B60CA50-DFCF-4104-92C4-7CE6F3D1F390}"/>
    <cellStyle name="Accent3 3" xfId="304" xr:uid="{DF0812DE-106A-4C37-81F8-FE0730FF28D4}"/>
    <cellStyle name="Accent4" xfId="26" builtinId="41" customBuiltin="1"/>
    <cellStyle name="Accent4 2" xfId="307" xr:uid="{5ACC32A5-ECC2-412B-A4E4-1DDD675780F0}"/>
    <cellStyle name="Accent4 3" xfId="306" xr:uid="{92C9F250-2E37-46CA-AFE9-F98ECCA3F166}"/>
    <cellStyle name="Accent5" xfId="29" builtinId="45" customBuiltin="1"/>
    <cellStyle name="Accent5 2" xfId="309" xr:uid="{4B64D889-611D-4F6C-8B6A-7F309F0D2CA0}"/>
    <cellStyle name="Accent5 3" xfId="308" xr:uid="{B93F26AE-9C55-4E2D-B2A3-CA44B88D3A50}"/>
    <cellStyle name="Accent6" xfId="32" builtinId="49" customBuiltin="1"/>
    <cellStyle name="Accent6 2" xfId="311" xr:uid="{415A2F52-0F70-405D-A797-172336348ECE}"/>
    <cellStyle name="Accent6 3" xfId="310" xr:uid="{1A7766E2-9049-499C-A394-AD7650DB429D}"/>
    <cellStyle name="APPS_DEG_Header" xfId="407" xr:uid="{DD024AB5-55BE-4F7F-9EF1-B7FD3B45021B}"/>
    <cellStyle name="Bad" xfId="8" builtinId="27" customBuiltin="1"/>
    <cellStyle name="Bad 2" xfId="313" xr:uid="{570D86FB-6645-4984-B2E8-44936C830A35}"/>
    <cellStyle name="Bad 3" xfId="312" xr:uid="{A9325F87-4674-4085-BCBD-4EB62CE4AF95}"/>
    <cellStyle name="Calculation" xfId="11" builtinId="22" customBuiltin="1"/>
    <cellStyle name="Calculation 2" xfId="315" xr:uid="{D1E3A7C3-2F55-4DA1-8A4F-D18C8A7FD07A}"/>
    <cellStyle name="Calculation 3" xfId="314" xr:uid="{C6C9F61B-864F-4986-83B2-C6F19617181D}"/>
    <cellStyle name="Check Cell" xfId="13" builtinId="23" customBuiltin="1"/>
    <cellStyle name="Check Cell 2" xfId="317" xr:uid="{B44017C3-158E-43E7-88A6-E92A5C64C792}"/>
    <cellStyle name="Check Cell 3" xfId="316" xr:uid="{15CB3864-A123-42BD-856D-6B33E52BBB99}"/>
    <cellStyle name="Co #" xfId="43" xr:uid="{DA2FEDAA-0C6F-4BEC-9D09-2AFBCD22554F}"/>
    <cellStyle name="Comma" xfId="1" builtinId="3"/>
    <cellStyle name="Comma [0] 2" xfId="257" xr:uid="{55C9482A-6AEC-46FF-B7DE-1954F2649116}"/>
    <cellStyle name="Comma [0] 3" xfId="254" xr:uid="{8AE73608-4658-4390-B4D9-A303192D8B53}"/>
    <cellStyle name="Comma 10" xfId="261" xr:uid="{E799A02D-FEB5-42C3-BEB2-5B6054379F5C}"/>
    <cellStyle name="Comma 10 2" xfId="363" xr:uid="{C80CC11B-F67E-4A97-AB86-73C027CEB9F2}"/>
    <cellStyle name="Comma 11" xfId="262" xr:uid="{8B832BBF-DEE2-4E90-A648-778219B97F43}"/>
    <cellStyle name="Comma 12" xfId="259" xr:uid="{1F935F20-C7D7-43A6-9998-ED15ED1208AB}"/>
    <cellStyle name="Comma 12 2" xfId="370" xr:uid="{F3526D18-7229-41EC-A03A-B397F919567D}"/>
    <cellStyle name="Comma 13" xfId="378" xr:uid="{DB7AD0E0-1E36-4069-92AB-AFF753D5DAD6}"/>
    <cellStyle name="Comma 14" xfId="382" xr:uid="{F61717F3-D1D4-4EAF-8C13-0510B5DB4618}"/>
    <cellStyle name="Comma 15" xfId="318" xr:uid="{24EBD2AB-6792-4AFC-A5FB-15C2534ACD48}"/>
    <cellStyle name="Comma 16" xfId="390" xr:uid="{A883291A-8FE3-43CF-B678-F68F4A20AB8B}"/>
    <cellStyle name="Comma 17" xfId="389" xr:uid="{367C2EA9-0DB0-4D9E-96B2-660705C42F69}"/>
    <cellStyle name="Comma 18" xfId="392" xr:uid="{A5BE4C85-BC0A-4F31-AFC6-09C2AE61038C}"/>
    <cellStyle name="Comma 19" xfId="234" xr:uid="{13FD56ED-9CA9-4710-86D3-A8555B44330D}"/>
    <cellStyle name="Comma 2" xfId="218" xr:uid="{71A05C9D-4A7D-4815-BC6C-3E5B02AF1EFD}"/>
    <cellStyle name="Comma 2 2" xfId="245" xr:uid="{FAAC0370-A590-4028-8438-7E0B38F7E49B}"/>
    <cellStyle name="Comma 2 2 2" xfId="319" xr:uid="{41C57684-8288-46DA-9CD1-FB8805A59021}"/>
    <cellStyle name="Comma 2 3" xfId="253" xr:uid="{54377020-3405-4309-A6BA-9814EA594050}"/>
    <cellStyle name="Comma 2 3 2" xfId="366" xr:uid="{3341FB80-B47F-4E35-AD26-4292E0ECFAEA}"/>
    <cellStyle name="Comma 2 4" xfId="372" xr:uid="{C12F0831-2F5B-4CB5-BF36-C7BFA8464F1E}"/>
    <cellStyle name="Comma 2 5" xfId="377" xr:uid="{75901756-F476-42DF-B32F-A4F4A2B4F867}"/>
    <cellStyle name="Comma 2 6" xfId="384" xr:uid="{B92E8C39-96A3-432D-8E23-21CD87D82CD4}"/>
    <cellStyle name="Comma 2 7" xfId="243" xr:uid="{43B96ED7-D9E1-443C-B71B-E1DBCC5EBFD7}"/>
    <cellStyle name="Comma 2 8" xfId="398" xr:uid="{D5EC3426-21EF-4C12-A99D-C9A34DE53146}"/>
    <cellStyle name="Comma 20" xfId="44" xr:uid="{AF6259BE-92CB-44DC-B4DF-D3769F6CD426}"/>
    <cellStyle name="Comma 21" xfId="36" xr:uid="{B75E04C5-F8FE-43A9-893E-774ED0FCE6A3}"/>
    <cellStyle name="Comma 22" xfId="394" xr:uid="{E55AE886-C83D-4FF7-B23E-2A381B6CD8C0}"/>
    <cellStyle name="Comma 23" xfId="399" xr:uid="{A7E59EBB-7890-4BC1-8B74-5F820614A57F}"/>
    <cellStyle name="Comma 24" xfId="404" xr:uid="{8B94CFF5-C39E-40A4-AC65-CC804F53C0BD}"/>
    <cellStyle name="Comma 25" xfId="400" xr:uid="{D978AE72-9559-4F3D-AD06-D5E1C1FAD3BF}"/>
    <cellStyle name="Comma 26" xfId="403" xr:uid="{E737630B-C951-45F6-8624-362B49E26257}"/>
    <cellStyle name="Comma 27" xfId="402" xr:uid="{1D62551D-2C4E-4239-9F5D-C0DBE453CCCC}"/>
    <cellStyle name="Comma 28" xfId="401" xr:uid="{75E77A2D-97A4-4861-BF67-1CC95B9710C2}"/>
    <cellStyle name="Comma 3" xfId="242" xr:uid="{19C59890-C3BD-4F21-ADBC-0DDE3920D511}"/>
    <cellStyle name="Comma 3 2" xfId="249" xr:uid="{D6C018F0-37FD-45C5-B279-39C2AE371514}"/>
    <cellStyle name="Comma 3 3" xfId="256" xr:uid="{50287183-DBC5-4E8A-B2A1-ACCD6AE05F5D}"/>
    <cellStyle name="Comma 4" xfId="216" xr:uid="{FE24BC64-51B4-4AE2-96A4-352ECA046D8D}"/>
    <cellStyle name="Comma 4 2" xfId="380" xr:uid="{5DEE00E0-EC3D-4B96-ADCD-412C1593C0E4}"/>
    <cellStyle name="Comma 5" xfId="246" xr:uid="{19669412-6866-478F-8BDB-CAE9F15AD517}"/>
    <cellStyle name="Comma 5 2" xfId="320" xr:uid="{82D0BB23-0294-41D5-9BB9-8D44C3A8EC0C}"/>
    <cellStyle name="Comma 6" xfId="250" xr:uid="{FB5A5545-6ADE-41ED-9107-B620D3FE761A}"/>
    <cellStyle name="Comma 6 2" xfId="321" xr:uid="{64395B4E-711D-4EEA-9310-AC509B7F0887}"/>
    <cellStyle name="Comma 7" xfId="252" xr:uid="{3A812F7B-E131-4B19-8C60-4DD0C9826E27}"/>
    <cellStyle name="Comma 7 2" xfId="322" xr:uid="{725F6278-6BF7-4443-9306-34A7AADF5808}"/>
    <cellStyle name="Comma 8" xfId="260" xr:uid="{6323A9B5-F1AB-416D-9031-645251404FE6}"/>
    <cellStyle name="Comma 8 2" xfId="323" xr:uid="{D593911D-D67C-40F2-B640-E007B6C2F011}"/>
    <cellStyle name="Comma 9" xfId="263" xr:uid="{AAE55A21-CF2C-4DCD-9AE3-2AEA25FF895B}"/>
    <cellStyle name="Comma 9 2" xfId="368" xr:uid="{F55C3970-6C85-474B-AE92-77F99F6E9458}"/>
    <cellStyle name="Comma 9 3" xfId="374" xr:uid="{D0E66257-9B09-466E-8B4A-CEF505F7BD1A}"/>
    <cellStyle name="Comma 9 4" xfId="361" xr:uid="{87669DFD-2932-4A2E-B468-F8886FD2A7A0}"/>
    <cellStyle name="Currency 2" xfId="324" xr:uid="{3DAC1C87-6366-489F-AD40-A6E7A0A897CC}"/>
    <cellStyle name="Currency 2 12" xfId="386" xr:uid="{EDE0087B-05FB-4911-B576-A77525655666}"/>
    <cellStyle name="Currency 3" xfId="325" xr:uid="{64F4ED1D-54FA-4868-A390-78FA662A0793}"/>
    <cellStyle name="Currency 4" xfId="379" xr:uid="{AFA93BAA-067E-42C2-8F0D-6C51B44879E0}"/>
    <cellStyle name="Currency 5" xfId="388" xr:uid="{73FE64C7-94B0-4BEA-AE5F-A8F151D4A99A}"/>
    <cellStyle name="Currency 6" xfId="393" xr:uid="{B847DAB2-1974-4350-ACD8-57E0379ACDCD}"/>
    <cellStyle name="Currency 7" xfId="406" xr:uid="{F1419A9B-A7FD-4757-93C0-940CC08DDB80}"/>
    <cellStyle name="Date" xfId="45" xr:uid="{FC93C55B-DC5E-4611-955A-1306DBED1250}"/>
    <cellStyle name="Date-Regulatory" xfId="46" xr:uid="{A1B3806C-D4F8-483E-9432-51FC22431BED}"/>
    <cellStyle name="Euro" xfId="47" xr:uid="{C761780B-2F2F-4194-9818-3DE9228B3C9C}"/>
    <cellStyle name="Explanatory Text" xfId="15" builtinId="53" customBuiltin="1"/>
    <cellStyle name="Explanatory Text 2" xfId="327" xr:uid="{F39D7797-2076-455C-AA48-0099B3767F29}"/>
    <cellStyle name="Explanatory Text 3" xfId="326" xr:uid="{82BF92BF-14A2-49B3-B907-0EC2C0DAD3B1}"/>
    <cellStyle name="Good" xfId="7" builtinId="26" customBuiltin="1"/>
    <cellStyle name="Good 2" xfId="329" xr:uid="{260C1E1D-F65D-409D-A844-DDF5C279647D}"/>
    <cellStyle name="Good 3" xfId="328" xr:uid="{2D455291-B918-4B8B-97A6-A4F8BEC2170E}"/>
    <cellStyle name="Heading 1" xfId="3" builtinId="16" customBuiltin="1"/>
    <cellStyle name="Heading 1 2" xfId="331" xr:uid="{3D518650-C73C-43C7-AB29-821CA9909F0F}"/>
    <cellStyle name="Heading 1 3" xfId="330" xr:uid="{BB8FD62D-E368-4992-A538-0C001C04C86A}"/>
    <cellStyle name="Heading 2" xfId="4" builtinId="17" customBuiltin="1"/>
    <cellStyle name="Heading 2 2" xfId="333" xr:uid="{F2646FC2-A621-45D2-B44E-523407FACFE5}"/>
    <cellStyle name="Heading 2 3" xfId="332" xr:uid="{194EF197-7D2B-4D29-9734-E7B1880AD145}"/>
    <cellStyle name="Heading 3" xfId="5" builtinId="18" customBuiltin="1"/>
    <cellStyle name="Heading 3 2" xfId="335" xr:uid="{918CBED5-22AD-4444-AC80-782EC5592EA4}"/>
    <cellStyle name="Heading 3 3" xfId="334" xr:uid="{52CA74B5-60E2-42D2-9851-B5351A80EC80}"/>
    <cellStyle name="Heading 4" xfId="6" builtinId="19" customBuiltin="1"/>
    <cellStyle name="Heading 4 2" xfId="337" xr:uid="{346ADAED-9F73-40AF-9173-1B43F076D122}"/>
    <cellStyle name="Heading 4 3" xfId="336" xr:uid="{8C471078-7AEF-40B0-9E58-670FFD6C1EDC}"/>
    <cellStyle name="Input" xfId="9" builtinId="20" customBuiltin="1"/>
    <cellStyle name="Input 2" xfId="339" xr:uid="{0EC6EF4F-8A9B-4DEA-8D77-D977AE5A7E50}"/>
    <cellStyle name="Input 3" xfId="338" xr:uid="{550D1F18-8C1C-4FC2-8044-07BC7BC43D0A}"/>
    <cellStyle name="Linked Cell" xfId="12" builtinId="24" customBuiltin="1"/>
    <cellStyle name="Linked Cell 2" xfId="341" xr:uid="{100AB69B-BB89-478F-84C6-9D9A65786347}"/>
    <cellStyle name="Linked Cell 3" xfId="340" xr:uid="{158CBED8-A450-4FF2-9525-6F545511B908}"/>
    <cellStyle name="Neutral 2" xfId="343" xr:uid="{BF5CE968-2157-4EAD-AFC1-CF01A2D8D423}"/>
    <cellStyle name="Neutral 3" xfId="342" xr:uid="{B1EACF44-A493-4C4B-8FB8-4ED1E85DA76C}"/>
    <cellStyle name="Neutral 4" xfId="48" xr:uid="{4CB0C90F-5B1F-4C29-9160-0641FF8F603D}"/>
    <cellStyle name="Normal" xfId="0" builtinId="0"/>
    <cellStyle name="Normal 10" xfId="373" xr:uid="{92E6E63D-C73B-4283-9AAE-C83CBABE7F60}"/>
    <cellStyle name="Normal 10 10" xfId="383" xr:uid="{A4C7882A-CB44-4F81-A90F-348311F0A049}"/>
    <cellStyle name="Normal 11" xfId="376" xr:uid="{B8CDF29D-913B-4381-AD48-5C88F6FBE691}"/>
    <cellStyle name="Normal 12" xfId="381" xr:uid="{3AECC01A-9863-4866-9DE8-7681E8329412}"/>
    <cellStyle name="Normal 12 3" xfId="387" xr:uid="{6F7710D7-B605-4A4F-9ADF-45A232368F7B}"/>
    <cellStyle name="Normal 13" xfId="391" xr:uid="{864CA0E3-F793-4A47-BAA4-D650214493BF}"/>
    <cellStyle name="Normal 14" xfId="35" xr:uid="{5D6C1A86-C842-488A-9DF5-68DA38A0A2E2}"/>
    <cellStyle name="Normal 15" xfId="396" xr:uid="{F209442F-8240-466D-BEE3-7BAE9469D603}"/>
    <cellStyle name="Normal 2" xfId="49" xr:uid="{81B38E78-5ACE-4D9D-95E7-027F379DFD0C}"/>
    <cellStyle name="Normal 2 2" xfId="236" xr:uid="{187DD151-40F4-4B14-ADDA-83053477D017}"/>
    <cellStyle name="Normal 2 2 2" xfId="397" xr:uid="{A4B7BCAE-8436-4CAD-AAEA-EE1DF9C0BE8F}"/>
    <cellStyle name="Normal 2 2 3" xfId="405" xr:uid="{024AEA11-9515-41BE-AEED-2094146734E3}"/>
    <cellStyle name="Normal 2 3" xfId="247" xr:uid="{61AF3C25-213E-450D-985E-334F8B6FE205}"/>
    <cellStyle name="Normal 2 3 2" xfId="365" xr:uid="{C85B2717-3645-451A-9498-33E518C324B4}"/>
    <cellStyle name="Normal 2 4" xfId="255" xr:uid="{251DE2EE-5670-44CF-9C3B-74262103D557}"/>
    <cellStyle name="Normal 2 4 2" xfId="371" xr:uid="{800E9C2C-6663-43D5-AD97-00732366853D}"/>
    <cellStyle name="Normal 2 5" xfId="244" xr:uid="{8FE3EF00-4B57-4AC5-B7F3-68E271ED93DD}"/>
    <cellStyle name="Normal 2 6" xfId="395" xr:uid="{B6668F57-27F4-41F6-9C1B-D4C4871F99A0}"/>
    <cellStyle name="Normal 23" xfId="408" xr:uid="{2AD8D451-11FB-472D-905B-EE68E4F0FE6D}"/>
    <cellStyle name="Normal 25" xfId="235" xr:uid="{4A4AC528-43F7-4CB2-B706-F053D9F72AB7}"/>
    <cellStyle name="Normal 25 2" xfId="344" xr:uid="{728C13D6-E34E-4C2F-B81F-A53136CFE890}"/>
    <cellStyle name="Normal 3" xfId="56" xr:uid="{FC27FD6F-B4D5-4D49-AF29-27C4DB7D27C7}"/>
    <cellStyle name="Normal 3 2" xfId="113" xr:uid="{39352FEC-4132-45F6-B354-F73A88FFD862}"/>
    <cellStyle name="Normal 3 2 2" xfId="345" xr:uid="{F92640E7-5E22-449E-A7F4-A373F5F35119}"/>
    <cellStyle name="Normal 3 3" xfId="156" xr:uid="{5A44BFF4-7DB9-4116-8528-FA90DDE7CB8F}"/>
    <cellStyle name="Normal 3 4" xfId="188" xr:uid="{1DEE6B02-48C9-4AA8-88E0-09AD8B6DB8BD}"/>
    <cellStyle name="Normal 3 5" xfId="241" xr:uid="{6F5C6AA0-E2BA-4DD0-95CB-89A4BB31F2E5}"/>
    <cellStyle name="Normal 4" xfId="70" xr:uid="{E2F62D54-1757-4401-834D-24AC6B0C2CF2}"/>
    <cellStyle name="Normal 4 2" xfId="127" xr:uid="{7A262D90-BECC-46D3-9482-48EBA9636117}"/>
    <cellStyle name="Normal 4 2 2" xfId="369" xr:uid="{62D6E7D9-2BD7-4BAE-9F31-77DF9B034F38}"/>
    <cellStyle name="Normal 4 3" xfId="170" xr:uid="{3A12900D-8797-4105-8ED8-5C34D1790487}"/>
    <cellStyle name="Normal 4 3 2" xfId="375" xr:uid="{C57956E0-F0DA-41BD-85D6-7DAE40634FB3}"/>
    <cellStyle name="Normal 4 4" xfId="202" xr:uid="{01E18B6C-E157-4C44-8EC5-6344CE69B619}"/>
    <cellStyle name="Normal 4 4 2" xfId="360" xr:uid="{CFD44827-36F8-476B-81A9-D21D9082363F}"/>
    <cellStyle name="Normal 4 5" xfId="237" xr:uid="{C81511BF-B9BF-4A9D-ADEC-ABA6B2830D74}"/>
    <cellStyle name="Normal 5" xfId="217" xr:uid="{46BB694B-F6B7-45C6-815D-FF10770B6A90}"/>
    <cellStyle name="Normal 5 2" xfId="258" xr:uid="{2D053874-E7AE-489B-AB84-AE9BF7A2924E}"/>
    <cellStyle name="Normal 5 3" xfId="346" xr:uid="{C6854469-64B4-44A0-B635-3D07129F2313}"/>
    <cellStyle name="Normal 5 4" xfId="248" xr:uid="{C4D4FA5F-96F3-4474-8C73-26B86A9D6AF0}"/>
    <cellStyle name="Normal 6" xfId="219" xr:uid="{C7ED5DCD-91A9-4D52-B4D5-75E5BB645C61}"/>
    <cellStyle name="Normal 6 2" xfId="362" xr:uid="{1F089081-27F4-48ED-A00B-62481A3CEF5E}"/>
    <cellStyle name="Normal 6 3" xfId="251" xr:uid="{BB431E4E-C231-4684-8E31-25859996B129}"/>
    <cellStyle name="Normal 7" xfId="364" xr:uid="{37DA7C60-16ED-44A3-B827-8A9293F59086}"/>
    <cellStyle name="Normal 8" xfId="347" xr:uid="{3D628246-388C-4A94-9FA2-0B3718A9386B}"/>
    <cellStyle name="Normal 9" xfId="233" xr:uid="{476ACE01-E4F9-4FB9-BF2E-8F3F0429D8A9}"/>
    <cellStyle name="Note 2" xfId="50" xr:uid="{592A9107-688B-4AF9-88BC-709824A7EA4F}"/>
    <cellStyle name="Note 2 2" xfId="105" xr:uid="{D2CAFF67-E136-4ECF-B2BB-62B36382FF02}"/>
    <cellStyle name="Note 2 3" xfId="148" xr:uid="{0DB9ABAA-E714-428D-A3CC-69E9854178BA}"/>
    <cellStyle name="Note 2 4" xfId="184" xr:uid="{D98D288A-4AB2-430C-8DAD-1FE6B7DE4CF3}"/>
    <cellStyle name="Note 2 5" xfId="349" xr:uid="{204127F7-1744-41D8-AD74-5E4768BFBB42}"/>
    <cellStyle name="Note 3" xfId="51" xr:uid="{BEDB2442-5FDD-45DA-9274-9BC420B5C77B}"/>
    <cellStyle name="Note 3 2" xfId="106" xr:uid="{BBED0907-34DA-4EC9-BB5D-0B9558E47C60}"/>
    <cellStyle name="Note 3 3" xfId="149" xr:uid="{E3BD0BAE-A53F-4A1E-96FA-ADE774A33512}"/>
    <cellStyle name="Note 3 4" xfId="185" xr:uid="{E25102FA-BFFC-4524-B712-303B33F99D9E}"/>
    <cellStyle name="Note 3 5" xfId="348" xr:uid="{E0DD3F23-0FE1-4D91-8633-F308718CE6AC}"/>
    <cellStyle name="Note 4" xfId="52" xr:uid="{5CF82A45-DF88-41D0-B257-9D91CE2AA73D}"/>
    <cellStyle name="Note 4 2" xfId="107" xr:uid="{84E4E1C7-EC02-40DA-A7B9-7230B040303B}"/>
    <cellStyle name="Note 4 3" xfId="150" xr:uid="{0EA6012C-AAA1-48F6-B9C5-F72B2FEE29D3}"/>
    <cellStyle name="Note 4 4" xfId="186" xr:uid="{62201B29-030C-48F0-B982-724B62E02B1D}"/>
    <cellStyle name="Note 5" xfId="53" xr:uid="{7BE08051-4307-4522-81FE-D5678EFCB52C}"/>
    <cellStyle name="Note 5 2" xfId="108" xr:uid="{65CF3931-BDC5-4C85-98ED-0AA4F8FA6EE0}"/>
    <cellStyle name="Note 5 3" xfId="151" xr:uid="{EFEF1DC2-4CC8-4D4D-8737-54F52E330670}"/>
    <cellStyle name="Note 5 4" xfId="187" xr:uid="{3D441DC2-08A5-4849-90CE-8E53AA207FD5}"/>
    <cellStyle name="Note 6" xfId="57" xr:uid="{D65E8A19-E676-4688-8BC2-1D3520F39C34}"/>
    <cellStyle name="Note 6 2" xfId="114" xr:uid="{174CEC17-3182-430C-8F1F-DD41827B14AF}"/>
    <cellStyle name="Note 6 3" xfId="157" xr:uid="{7B809B90-2080-40E0-BE50-9AC4CECA814D}"/>
    <cellStyle name="Note 6 4" xfId="189" xr:uid="{D02010F4-D87F-4602-B641-2CF635222E72}"/>
    <cellStyle name="Note 7" xfId="71" xr:uid="{A09EF98D-5EF2-4969-864F-E483E0D60757}"/>
    <cellStyle name="Note 7 2" xfId="128" xr:uid="{0986EFA9-E518-4C94-90E7-7B71568464F2}"/>
    <cellStyle name="Note 7 3" xfId="171" xr:uid="{A3733423-AE79-4B67-87FE-95D0F2D506C0}"/>
    <cellStyle name="Note 7 4" xfId="203" xr:uid="{0860ABFE-499D-40E8-978C-2F28D5031707}"/>
    <cellStyle name="Note 8" xfId="220" xr:uid="{0A7AAB27-7CF2-41BC-BA8E-6787109B6626}"/>
    <cellStyle name="Output" xfId="10" builtinId="21" customBuiltin="1"/>
    <cellStyle name="Output 2" xfId="351" xr:uid="{6F0B4A4F-9374-4047-A23F-2701AED9FCB9}"/>
    <cellStyle name="Output 3" xfId="350" xr:uid="{304B3F53-6F30-47D7-ACE3-91259C5BC28B}"/>
    <cellStyle name="Percent" xfId="2" builtinId="5"/>
    <cellStyle name="Percent 2" xfId="353" xr:uid="{46926F56-9C42-4D69-9CAF-91C91049A225}"/>
    <cellStyle name="Percent 2 2" xfId="367" xr:uid="{DE324EFF-A9E7-489C-AFAE-70FBA8089F1C}"/>
    <cellStyle name="Percent 3" xfId="352" xr:uid="{D7698683-FEAC-4F9E-A07F-5807F0B47C89}"/>
    <cellStyle name="Percent 4" xfId="385" xr:uid="{5AC24FD3-B749-44E4-9B81-5A0A514C0B19}"/>
    <cellStyle name="Percent 5" xfId="54" xr:uid="{1FF6DA46-ED5C-4436-AE73-CC4979F3D107}"/>
    <cellStyle name="Style 21" xfId="238" xr:uid="{EA2F3F4B-9780-438B-B07F-8EBC492C13F2}"/>
    <cellStyle name="Style 22" xfId="239" xr:uid="{FEF9CC86-F2C4-482A-B36C-AB5E6A8D512C}"/>
    <cellStyle name="Style 24" xfId="240" xr:uid="{160ACA4F-108F-4C00-AA89-4F82EA358C4A}"/>
    <cellStyle name="Title 2" xfId="355" xr:uid="{A243074B-0D90-4BAC-836E-CE45706396F9}"/>
    <cellStyle name="Title 3" xfId="354" xr:uid="{FCF64DC9-71EE-42D0-8F0D-B2663CD3A459}"/>
    <cellStyle name="Title 4" xfId="55" xr:uid="{224B6637-490E-421E-A05F-ED2166D9DAB3}"/>
    <cellStyle name="Total" xfId="16" builtinId="25" customBuiltin="1"/>
    <cellStyle name="Total 2" xfId="357" xr:uid="{45B137D5-A80D-4069-979F-AF519DE2A278}"/>
    <cellStyle name="Total 3" xfId="356" xr:uid="{3FF0AEA8-6CB7-4247-8BAD-72D1BF7F5709}"/>
    <cellStyle name="Warning Text" xfId="14" builtinId="11" customBuiltin="1"/>
    <cellStyle name="Warning Text 2" xfId="359" xr:uid="{C8D31BB8-BB8D-4FD8-94B7-992A76545AB1}"/>
    <cellStyle name="Warning Text 3" xfId="358" xr:uid="{642C6C4B-0207-4451-A8BB-1C20B39C8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DC42-ECEE-405B-8471-0D5042171B35}">
  <sheetPr>
    <pageSetUpPr fitToPage="1"/>
  </sheetPr>
  <dimension ref="A1:N20"/>
  <sheetViews>
    <sheetView tabSelected="1" zoomScaleNormal="100" workbookViewId="0">
      <selection activeCell="V4" sqref="V4"/>
    </sheetView>
  </sheetViews>
  <sheetFormatPr defaultRowHeight="14.5"/>
  <cols>
    <col min="3" max="3" width="13.26953125" bestFit="1" customWidth="1"/>
    <col min="5" max="5" width="10.81640625" bestFit="1" customWidth="1"/>
    <col min="7" max="7" width="13.54296875" bestFit="1" customWidth="1"/>
    <col min="9" max="9" width="10.81640625" bestFit="1" customWidth="1"/>
    <col min="11" max="11" width="10.81640625" bestFit="1" customWidth="1"/>
    <col min="13" max="13" width="10.81640625" bestFit="1" customWidth="1"/>
  </cols>
  <sheetData>
    <row r="1" spans="1:14" ht="16" thickTop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15.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</row>
    <row r="3" spans="1:14" ht="15.5" customHeight="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</row>
    <row r="4" spans="1:14" ht="15.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</row>
    <row r="5" spans="1:14" ht="15.5" customHeight="1">
      <c r="A5" s="43" t="s">
        <v>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.5" customHeight="1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 ht="15.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</row>
    <row r="8" spans="1:14" ht="16" thickBot="1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/>
    </row>
    <row r="9" spans="1:14" ht="15" thickTop="1">
      <c r="A9" s="1"/>
      <c r="B9" s="4"/>
      <c r="C9" s="49">
        <v>2017</v>
      </c>
      <c r="D9" s="50"/>
      <c r="E9" s="49">
        <v>2018</v>
      </c>
      <c r="F9" s="50"/>
      <c r="G9" s="49">
        <v>2019</v>
      </c>
      <c r="H9" s="50"/>
      <c r="I9" s="49">
        <v>2020</v>
      </c>
      <c r="J9" s="50"/>
      <c r="K9" s="49">
        <v>2021</v>
      </c>
      <c r="L9" s="50"/>
      <c r="M9" s="49" t="s">
        <v>55</v>
      </c>
      <c r="N9" s="55"/>
    </row>
    <row r="10" spans="1:14">
      <c r="A10" s="2"/>
      <c r="B10" s="5"/>
      <c r="C10" s="51"/>
      <c r="D10" s="52"/>
      <c r="E10" s="51"/>
      <c r="F10" s="52"/>
      <c r="G10" s="51"/>
      <c r="H10" s="52"/>
      <c r="I10" s="51"/>
      <c r="J10" s="52"/>
      <c r="K10" s="51"/>
      <c r="L10" s="52"/>
      <c r="M10" s="51"/>
      <c r="N10" s="56"/>
    </row>
    <row r="11" spans="1:14" ht="15" thickBot="1">
      <c r="A11" s="2" t="s">
        <v>5</v>
      </c>
      <c r="B11" s="5"/>
      <c r="C11" s="53"/>
      <c r="D11" s="54"/>
      <c r="E11" s="53"/>
      <c r="F11" s="54"/>
      <c r="G11" s="53"/>
      <c r="H11" s="54"/>
      <c r="I11" s="53"/>
      <c r="J11" s="54"/>
      <c r="K11" s="53"/>
      <c r="L11" s="54"/>
      <c r="M11" s="53"/>
      <c r="N11" s="57"/>
    </row>
    <row r="12" spans="1:14" ht="23.5" thickBot="1">
      <c r="A12" s="3" t="s">
        <v>6</v>
      </c>
      <c r="B12" s="6" t="s">
        <v>7</v>
      </c>
      <c r="C12" s="7" t="s">
        <v>8</v>
      </c>
      <c r="D12" s="8" t="s">
        <v>9</v>
      </c>
      <c r="E12" s="7" t="s">
        <v>8</v>
      </c>
      <c r="F12" s="7" t="s">
        <v>9</v>
      </c>
      <c r="G12" s="7" t="s">
        <v>8</v>
      </c>
      <c r="H12" s="7" t="s">
        <v>9</v>
      </c>
      <c r="I12" s="7" t="s">
        <v>8</v>
      </c>
      <c r="J12" s="7" t="s">
        <v>9</v>
      </c>
      <c r="K12" s="7" t="s">
        <v>8</v>
      </c>
      <c r="L12" s="7" t="s">
        <v>9</v>
      </c>
      <c r="M12" s="7" t="s">
        <v>8</v>
      </c>
      <c r="N12" s="9" t="s">
        <v>9</v>
      </c>
    </row>
    <row r="13" spans="1:14" ht="23.5" thickBot="1">
      <c r="A13" s="3">
        <v>1</v>
      </c>
      <c r="B13" s="10" t="s">
        <v>10</v>
      </c>
      <c r="C13" s="30">
        <f>227213069.2/1000-C14</f>
        <v>170213.0692</v>
      </c>
      <c r="D13" s="26">
        <f>C13/C18</f>
        <v>0.35942592761578007</v>
      </c>
      <c r="E13" s="29">
        <f>272768134.6/1000-E14</f>
        <v>260768.13460000005</v>
      </c>
      <c r="F13" s="26">
        <f>E13/E18</f>
        <v>0.48608168805459612</v>
      </c>
      <c r="G13" s="29">
        <f>292819272/1000-G14</f>
        <v>251819.272</v>
      </c>
      <c r="H13" s="26">
        <f>G13/G18</f>
        <v>0.43104824087030269</v>
      </c>
      <c r="I13" s="29">
        <f>342453483/1000</f>
        <v>342453.48300000001</v>
      </c>
      <c r="J13" s="25">
        <f>I13/I18</f>
        <v>0.51618035151718855</v>
      </c>
      <c r="K13" s="29">
        <f>333498571/1000</f>
        <v>333498.571</v>
      </c>
      <c r="L13" s="25">
        <f>K13/K18</f>
        <v>0.47844606588095995</v>
      </c>
      <c r="M13" s="29">
        <f>366529287.25/1000-M14</f>
        <v>333529.28724999999</v>
      </c>
      <c r="N13" s="25">
        <f>M13/M18</f>
        <v>0.46562714011638096</v>
      </c>
    </row>
    <row r="14" spans="1:14" ht="23.5" thickBot="1">
      <c r="A14" s="3">
        <v>2</v>
      </c>
      <c r="B14" s="10" t="s">
        <v>11</v>
      </c>
      <c r="C14" s="30">
        <f>57000000/1000</f>
        <v>57000</v>
      </c>
      <c r="D14" s="26">
        <f>C14/C18</f>
        <v>0.12036254307844572</v>
      </c>
      <c r="E14" s="29">
        <v>12000</v>
      </c>
      <c r="F14" s="26">
        <f>E14/E18</f>
        <v>2.2368454894239796E-2</v>
      </c>
      <c r="G14" s="29">
        <v>41000</v>
      </c>
      <c r="H14" s="26">
        <f>G14/G18</f>
        <v>7.018119675797653E-2</v>
      </c>
      <c r="I14" s="29">
        <f>9000000/1000</f>
        <v>9000</v>
      </c>
      <c r="J14" s="25">
        <f>I14/I18</f>
        <v>1.3565705692223014E-2</v>
      </c>
      <c r="K14" s="29">
        <v>18000</v>
      </c>
      <c r="L14" s="25">
        <f>K14/K18</f>
        <v>2.5823286618692223E-2</v>
      </c>
      <c r="M14" s="29">
        <v>33000</v>
      </c>
      <c r="N14" s="25">
        <f>M14/M18</f>
        <v>4.6070004078301738E-2</v>
      </c>
    </row>
    <row r="15" spans="1:14" ht="30.5" thickBot="1">
      <c r="A15" s="3">
        <v>3</v>
      </c>
      <c r="B15" s="11" t="s">
        <v>12</v>
      </c>
      <c r="C15" s="30"/>
      <c r="D15" s="30"/>
      <c r="E15" s="29"/>
      <c r="F15" s="30"/>
      <c r="G15" s="29"/>
      <c r="H15" s="30"/>
      <c r="I15" s="29"/>
      <c r="J15" s="24"/>
      <c r="K15" s="29"/>
      <c r="L15" s="24"/>
      <c r="M15" s="29"/>
      <c r="N15" s="24"/>
    </row>
    <row r="16" spans="1:14" ht="23.5" thickBot="1">
      <c r="A16" s="3">
        <v>4</v>
      </c>
      <c r="B16" s="10" t="s">
        <v>13</v>
      </c>
      <c r="C16" s="30">
        <f>246356187/1000</f>
        <v>246356.18700000001</v>
      </c>
      <c r="D16" s="26">
        <f>C16/C18</f>
        <v>0.52021152930577419</v>
      </c>
      <c r="E16" s="29">
        <f>263701642/1000</f>
        <v>263701.64199999999</v>
      </c>
      <c r="F16" s="26">
        <f>E16/E18</f>
        <v>0.49154985705116422</v>
      </c>
      <c r="G16" s="29">
        <f>291382792/1000</f>
        <v>291382.79200000002</v>
      </c>
      <c r="H16" s="26">
        <f>G16/G18</f>
        <v>0.49877056237172079</v>
      </c>
      <c r="I16" s="29">
        <f>311984174/1000</f>
        <v>311984.174</v>
      </c>
      <c r="J16" s="25">
        <f>I16/I18</f>
        <v>0.47025394279058835</v>
      </c>
      <c r="K16" s="29">
        <f>345546707/1000</f>
        <v>345546.70699999999</v>
      </c>
      <c r="L16" s="25">
        <f>K16/K18</f>
        <v>0.49573064750034795</v>
      </c>
      <c r="M16" s="29">
        <f>349771930/1000</f>
        <v>349771.93</v>
      </c>
      <c r="N16" s="25">
        <f>M16/M18</f>
        <v>0.48830285580531729</v>
      </c>
    </row>
    <row r="17" spans="1:14" ht="35" thickBot="1">
      <c r="A17" s="3">
        <v>5</v>
      </c>
      <c r="B17" s="10" t="s">
        <v>14</v>
      </c>
      <c r="C17" s="30"/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7"/>
    </row>
    <row r="18" spans="1:14" ht="35" thickBot="1">
      <c r="A18" s="12">
        <v>6</v>
      </c>
      <c r="B18" s="13" t="s">
        <v>15</v>
      </c>
      <c r="C18" s="28">
        <f>SUM(C13:C17)</f>
        <v>473569.2562</v>
      </c>
      <c r="D18" s="41">
        <f t="shared" ref="D18:L18" si="0">SUM(D13:D17)</f>
        <v>1</v>
      </c>
      <c r="E18" s="28">
        <f t="shared" si="0"/>
        <v>536469.77659999998</v>
      </c>
      <c r="F18" s="41">
        <f t="shared" si="0"/>
        <v>1.0000000000000002</v>
      </c>
      <c r="G18" s="28">
        <f t="shared" si="0"/>
        <v>584202.06400000001</v>
      </c>
      <c r="H18" s="41">
        <f t="shared" ref="H18" si="1">SUM(H13:H17)</f>
        <v>1</v>
      </c>
      <c r="I18" s="28">
        <f t="shared" ref="I18" si="2">SUM(I13:I17)</f>
        <v>663437.65700000001</v>
      </c>
      <c r="J18" s="41">
        <f t="shared" si="0"/>
        <v>1</v>
      </c>
      <c r="K18" s="28">
        <f t="shared" ref="K18" si="3">SUM(K13:K16)</f>
        <v>697045.27799999993</v>
      </c>
      <c r="L18" s="41">
        <f t="shared" si="0"/>
        <v>1.0000000000000002</v>
      </c>
      <c r="M18" s="28">
        <f>SUM(M13:M16)</f>
        <v>716301.21724999999</v>
      </c>
      <c r="N18" s="42">
        <v>1</v>
      </c>
    </row>
    <row r="19" spans="1:14" ht="15" thickTop="1">
      <c r="A19" s="14"/>
    </row>
    <row r="20" spans="1:14">
      <c r="A20" s="15" t="s">
        <v>16</v>
      </c>
    </row>
  </sheetData>
  <mergeCells count="14">
    <mergeCell ref="A6:N6"/>
    <mergeCell ref="A1:N1"/>
    <mergeCell ref="A2:N2"/>
    <mergeCell ref="A3:N3"/>
    <mergeCell ref="A4:N4"/>
    <mergeCell ref="A5:N5"/>
    <mergeCell ref="A7:N7"/>
    <mergeCell ref="A8:N8"/>
    <mergeCell ref="C9:D11"/>
    <mergeCell ref="E9:F11"/>
    <mergeCell ref="G9:H11"/>
    <mergeCell ref="I9:J11"/>
    <mergeCell ref="K9:L11"/>
    <mergeCell ref="M9:N11"/>
  </mergeCells>
  <pageMargins left="0.7" right="0.7" top="0.75" bottom="0.75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4AEF3-4252-4486-AB49-1EF249FEE35B}">
  <dimension ref="A1:I32"/>
  <sheetViews>
    <sheetView topLeftCell="A7" zoomScaleNormal="100" workbookViewId="0">
      <selection activeCell="U16" sqref="U16"/>
    </sheetView>
  </sheetViews>
  <sheetFormatPr defaultRowHeight="14.5"/>
  <cols>
    <col min="3" max="3" width="11.6328125" bestFit="1" customWidth="1"/>
    <col min="4" max="4" width="11.81640625" bestFit="1" customWidth="1"/>
    <col min="5" max="5" width="12.36328125" bestFit="1" customWidth="1"/>
    <col min="7" max="7" width="11.6328125" bestFit="1" customWidth="1"/>
    <col min="8" max="8" width="11.7265625" bestFit="1" customWidth="1"/>
    <col min="9" max="9" width="11.81640625" bestFit="1" customWidth="1"/>
    <col min="15" max="15" width="12" bestFit="1" customWidth="1"/>
  </cols>
  <sheetData>
    <row r="1" spans="1:9" ht="16" thickTop="1">
      <c r="A1" s="58" t="s">
        <v>17</v>
      </c>
      <c r="B1" s="59"/>
      <c r="C1" s="59"/>
      <c r="D1" s="59"/>
      <c r="E1" s="59"/>
      <c r="F1" s="59"/>
      <c r="G1" s="59"/>
      <c r="H1" s="59"/>
      <c r="I1" s="60"/>
    </row>
    <row r="2" spans="1:9" ht="15.5" customHeight="1">
      <c r="A2" s="43" t="s">
        <v>1</v>
      </c>
      <c r="B2" s="44"/>
      <c r="C2" s="44"/>
      <c r="D2" s="44"/>
      <c r="E2" s="44"/>
      <c r="F2" s="44"/>
      <c r="G2" s="44"/>
      <c r="H2" s="44"/>
      <c r="I2" s="45"/>
    </row>
    <row r="3" spans="1:9" ht="15.5" customHeight="1">
      <c r="A3" s="43" t="s">
        <v>2</v>
      </c>
      <c r="B3" s="44"/>
      <c r="C3" s="44"/>
      <c r="D3" s="44"/>
      <c r="E3" s="44"/>
      <c r="F3" s="44"/>
      <c r="G3" s="44"/>
      <c r="H3" s="44"/>
      <c r="I3" s="45"/>
    </row>
    <row r="4" spans="1:9" ht="15.5">
      <c r="A4" s="43"/>
      <c r="B4" s="44"/>
      <c r="C4" s="44"/>
      <c r="D4" s="44"/>
      <c r="E4" s="44"/>
      <c r="F4" s="44"/>
      <c r="G4" s="44"/>
      <c r="H4" s="44"/>
      <c r="I4" s="45"/>
    </row>
    <row r="5" spans="1:9" ht="15.5" customHeight="1">
      <c r="A5" s="43" t="s">
        <v>3</v>
      </c>
      <c r="B5" s="44"/>
      <c r="C5" s="44"/>
      <c r="D5" s="44"/>
      <c r="E5" s="44"/>
      <c r="F5" s="44"/>
      <c r="G5" s="44"/>
      <c r="H5" s="44"/>
      <c r="I5" s="45"/>
    </row>
    <row r="6" spans="1:9" ht="15.5" customHeight="1">
      <c r="A6" s="43" t="s">
        <v>54</v>
      </c>
      <c r="B6" s="44"/>
      <c r="C6" s="44"/>
      <c r="D6" s="44"/>
      <c r="E6" s="44"/>
      <c r="F6" s="44"/>
      <c r="G6" s="44"/>
      <c r="H6" s="44"/>
      <c r="I6" s="45"/>
    </row>
    <row r="7" spans="1:9" ht="15.5">
      <c r="A7" s="43"/>
      <c r="B7" s="44"/>
      <c r="C7" s="44"/>
      <c r="D7" s="44"/>
      <c r="E7" s="44"/>
      <c r="F7" s="44"/>
      <c r="G7" s="44"/>
      <c r="H7" s="44"/>
      <c r="I7" s="45"/>
    </row>
    <row r="8" spans="1:9" ht="16" thickBot="1">
      <c r="A8" s="46" t="s">
        <v>4</v>
      </c>
      <c r="B8" s="47"/>
      <c r="C8" s="47"/>
      <c r="D8" s="47"/>
      <c r="E8" s="47"/>
      <c r="F8" s="47"/>
      <c r="G8" s="47"/>
      <c r="H8" s="47"/>
      <c r="I8" s="48"/>
    </row>
    <row r="9" spans="1:9" ht="15.5" thickTop="1" thickBot="1">
      <c r="A9" s="16"/>
      <c r="B9" s="19"/>
      <c r="C9" s="19"/>
      <c r="D9" s="19"/>
      <c r="E9" s="19"/>
      <c r="F9" s="19"/>
      <c r="G9" s="19"/>
      <c r="H9" s="19"/>
    </row>
    <row r="10" spans="1:9" ht="20.5" thickTop="1">
      <c r="A10" s="17"/>
      <c r="B10" s="20"/>
      <c r="C10" s="20"/>
      <c r="D10" s="20" t="s">
        <v>10</v>
      </c>
      <c r="E10" s="20" t="s">
        <v>11</v>
      </c>
      <c r="F10" s="20" t="s">
        <v>25</v>
      </c>
      <c r="G10" s="20" t="s">
        <v>27</v>
      </c>
      <c r="H10" s="20" t="s">
        <v>29</v>
      </c>
      <c r="I10" s="21" t="s">
        <v>31</v>
      </c>
    </row>
    <row r="11" spans="1:9">
      <c r="A11" s="17"/>
      <c r="B11" s="20" t="s">
        <v>19</v>
      </c>
      <c r="C11" s="20" t="s">
        <v>21</v>
      </c>
      <c r="D11" s="20" t="s">
        <v>23</v>
      </c>
      <c r="E11" s="20" t="s">
        <v>24</v>
      </c>
      <c r="F11" s="20" t="s">
        <v>26</v>
      </c>
      <c r="G11" s="20" t="s">
        <v>28</v>
      </c>
      <c r="H11" s="20" t="s">
        <v>30</v>
      </c>
      <c r="I11" s="22" t="s">
        <v>32</v>
      </c>
    </row>
    <row r="12" spans="1:9" ht="15" thickBot="1">
      <c r="A12" s="18" t="s">
        <v>18</v>
      </c>
      <c r="B12" s="20" t="s">
        <v>20</v>
      </c>
      <c r="C12" s="20" t="s">
        <v>22</v>
      </c>
      <c r="D12" s="36"/>
      <c r="E12" s="36"/>
      <c r="F12" s="36"/>
      <c r="G12" s="36"/>
      <c r="H12" s="36"/>
      <c r="I12" s="37"/>
    </row>
    <row r="13" spans="1:9" ht="69.5" thickBot="1">
      <c r="A13" s="34">
        <v>1</v>
      </c>
      <c r="B13" s="38" t="s">
        <v>33</v>
      </c>
      <c r="C13" s="31">
        <f>'E1'!I18</f>
        <v>663437.65700000001</v>
      </c>
      <c r="D13" s="31">
        <f>'E1'!I13</f>
        <v>342453.48300000001</v>
      </c>
      <c r="E13" s="31">
        <f>'E1'!I14</f>
        <v>9000</v>
      </c>
      <c r="F13" s="31"/>
      <c r="G13" s="31">
        <v>0.11</v>
      </c>
      <c r="H13" s="31">
        <f>88719030/1000</f>
        <v>88719.03</v>
      </c>
      <c r="I13" s="31">
        <f>'E1'!I16-'E2'!H13</f>
        <v>223265.144</v>
      </c>
    </row>
    <row r="14" spans="1:9" ht="15" thickBot="1">
      <c r="A14" s="34">
        <v>2</v>
      </c>
      <c r="B14" s="38" t="s">
        <v>34</v>
      </c>
      <c r="C14" s="32">
        <f>(SUM(D14:I14))</f>
        <v>664503.67099999997</v>
      </c>
      <c r="D14" s="31">
        <v>342464.147</v>
      </c>
      <c r="E14" s="31">
        <v>8000</v>
      </c>
      <c r="F14" s="31">
        <v>0</v>
      </c>
      <c r="G14" s="31">
        <v>0.11</v>
      </c>
      <c r="H14" s="31">
        <v>90774.27</v>
      </c>
      <c r="I14" s="31">
        <f>+I13</f>
        <v>223265.144</v>
      </c>
    </row>
    <row r="15" spans="1:9" ht="15" thickBot="1">
      <c r="A15" s="34">
        <v>3</v>
      </c>
      <c r="B15" s="38" t="s">
        <v>35</v>
      </c>
      <c r="C15" s="32">
        <f t="shared" ref="C15:C25" si="0">(SUM(D15:I15))</f>
        <v>663873.52848999994</v>
      </c>
      <c r="D15" s="31">
        <v>342396</v>
      </c>
      <c r="E15" s="31">
        <v>7000</v>
      </c>
      <c r="F15" s="31">
        <v>0</v>
      </c>
      <c r="G15" s="31">
        <v>0.11</v>
      </c>
      <c r="H15" s="31">
        <v>91212.274489999996</v>
      </c>
      <c r="I15" s="31">
        <f>+I14</f>
        <v>223265.144</v>
      </c>
    </row>
    <row r="16" spans="1:9" ht="15" thickBot="1">
      <c r="A16" s="34">
        <v>4</v>
      </c>
      <c r="B16" s="38" t="s">
        <v>36</v>
      </c>
      <c r="C16" s="32">
        <f t="shared" si="0"/>
        <v>658052.93048999994</v>
      </c>
      <c r="D16" s="31">
        <f>333406.422+9000</f>
        <v>342406.42200000002</v>
      </c>
      <c r="E16" s="31">
        <v>0</v>
      </c>
      <c r="F16" s="31">
        <v>0</v>
      </c>
      <c r="G16" s="31">
        <v>0.11</v>
      </c>
      <c r="H16" s="31">
        <v>92381.254489999992</v>
      </c>
      <c r="I16" s="31">
        <f>+I15</f>
        <v>223265.144</v>
      </c>
    </row>
    <row r="17" spans="1:9" ht="15" thickBot="1">
      <c r="A17" s="34">
        <v>5</v>
      </c>
      <c r="B17" s="38" t="s">
        <v>37</v>
      </c>
      <c r="C17" s="32">
        <f t="shared" si="0"/>
        <v>668803.03249000001</v>
      </c>
      <c r="D17" s="31">
        <v>342416.66100000002</v>
      </c>
      <c r="E17" s="31">
        <v>8000</v>
      </c>
      <c r="F17" s="31">
        <v>0</v>
      </c>
      <c r="G17" s="31">
        <v>0.11</v>
      </c>
      <c r="H17" s="31">
        <v>95121.11748999999</v>
      </c>
      <c r="I17" s="31">
        <f>+I16</f>
        <v>223265.144</v>
      </c>
    </row>
    <row r="18" spans="1:9" ht="15" thickBot="1">
      <c r="A18" s="34">
        <v>6</v>
      </c>
      <c r="B18" s="38" t="s">
        <v>38</v>
      </c>
      <c r="C18" s="32">
        <f t="shared" si="0"/>
        <v>680332.52049000002</v>
      </c>
      <c r="D18" s="31">
        <v>342426.9</v>
      </c>
      <c r="E18" s="31">
        <v>17000</v>
      </c>
      <c r="F18" s="31">
        <v>0</v>
      </c>
      <c r="G18" s="31">
        <v>0.11</v>
      </c>
      <c r="H18" s="31">
        <v>97640.36649</v>
      </c>
      <c r="I18" s="31">
        <f>+I17</f>
        <v>223265.144</v>
      </c>
    </row>
    <row r="19" spans="1:9" ht="15" thickBot="1">
      <c r="A19" s="34">
        <v>7</v>
      </c>
      <c r="B19" s="38" t="s">
        <v>39</v>
      </c>
      <c r="C19" s="32">
        <f t="shared" si="0"/>
        <v>676516.81348999997</v>
      </c>
      <c r="D19" s="31">
        <v>342437</v>
      </c>
      <c r="E19" s="31">
        <v>10000</v>
      </c>
      <c r="F19" s="31">
        <v>0</v>
      </c>
      <c r="G19" s="31">
        <v>0.11</v>
      </c>
      <c r="H19" s="31">
        <v>100814.55949</v>
      </c>
      <c r="I19" s="31">
        <f>+I18</f>
        <v>223265.144</v>
      </c>
    </row>
    <row r="20" spans="1:9" ht="15" thickBot="1">
      <c r="A20" s="34">
        <v>8</v>
      </c>
      <c r="B20" s="38" t="s">
        <v>40</v>
      </c>
      <c r="C20" s="32">
        <f t="shared" si="0"/>
        <v>679743.20248999994</v>
      </c>
      <c r="D20" s="31">
        <v>333447</v>
      </c>
      <c r="E20" s="31">
        <v>20000</v>
      </c>
      <c r="F20" s="31">
        <v>0</v>
      </c>
      <c r="G20" s="31">
        <v>0.11</v>
      </c>
      <c r="H20" s="31">
        <v>103030.94849</v>
      </c>
      <c r="I20" s="31">
        <f>+I19</f>
        <v>223265.144</v>
      </c>
    </row>
    <row r="21" spans="1:9" ht="15" thickBot="1">
      <c r="A21" s="34">
        <v>9</v>
      </c>
      <c r="B21" s="38" t="s">
        <v>41</v>
      </c>
      <c r="C21" s="32">
        <f t="shared" si="0"/>
        <v>692954.34739000001</v>
      </c>
      <c r="D21" s="33">
        <f>(333457616)/1000</f>
        <v>333457.61599999998</v>
      </c>
      <c r="E21" s="33">
        <v>17000</v>
      </c>
      <c r="F21" s="31">
        <v>0</v>
      </c>
      <c r="G21" s="31">
        <v>0.11</v>
      </c>
      <c r="H21" s="31">
        <v>105231.47748999999</v>
      </c>
      <c r="I21" s="31">
        <v>237265.14389999997</v>
      </c>
    </row>
    <row r="22" spans="1:9" ht="15" thickBot="1">
      <c r="A22" s="34">
        <v>10</v>
      </c>
      <c r="B22" s="38" t="s">
        <v>42</v>
      </c>
      <c r="C22" s="32">
        <f t="shared" si="0"/>
        <v>685620.91824000003</v>
      </c>
      <c r="D22" s="31">
        <f>(341467854.75)/1000-E22</f>
        <v>333467.85475</v>
      </c>
      <c r="E22" s="31">
        <v>8000</v>
      </c>
      <c r="F22" s="31">
        <v>0</v>
      </c>
      <c r="G22" s="31">
        <v>0.11</v>
      </c>
      <c r="H22" s="31">
        <v>106887.80949</v>
      </c>
      <c r="I22" s="31">
        <f>(344152953.49/1000-H22)</f>
        <v>237265.14399999997</v>
      </c>
    </row>
    <row r="23" spans="1:9" ht="15" thickBot="1">
      <c r="A23" s="34">
        <v>11</v>
      </c>
      <c r="B23" s="38" t="s">
        <v>43</v>
      </c>
      <c r="C23" s="32">
        <f t="shared" si="0"/>
        <v>687209.28649999993</v>
      </c>
      <c r="D23" s="31">
        <f>(341478093.5)/1000-E23</f>
        <v>333478.09350000002</v>
      </c>
      <c r="E23" s="31">
        <v>8000</v>
      </c>
      <c r="F23" s="31">
        <v>0</v>
      </c>
      <c r="G23" s="31">
        <v>0.11</v>
      </c>
      <c r="H23" s="31">
        <v>108465.939</v>
      </c>
      <c r="I23" s="31">
        <f>(345731083/1000-H23)</f>
        <v>237265.14399999997</v>
      </c>
    </row>
    <row r="24" spans="1:9" ht="15" thickBot="1">
      <c r="A24" s="34">
        <v>12</v>
      </c>
      <c r="B24" s="38" t="s">
        <v>44</v>
      </c>
      <c r="C24" s="32">
        <f t="shared" si="0"/>
        <v>692971.10624999995</v>
      </c>
      <c r="D24" s="31">
        <f>(346488332.25)/1000-E24</f>
        <v>333488.33224999998</v>
      </c>
      <c r="E24" s="31">
        <v>13000</v>
      </c>
      <c r="F24" s="31">
        <v>0</v>
      </c>
      <c r="G24" s="31">
        <v>0.11</v>
      </c>
      <c r="H24" s="31">
        <v>109217.52</v>
      </c>
      <c r="I24" s="31">
        <f>(346482664/1000-H24)</f>
        <v>237265.14399999997</v>
      </c>
    </row>
    <row r="25" spans="1:9" ht="15" thickBot="1">
      <c r="A25" s="34">
        <v>13</v>
      </c>
      <c r="B25" s="38" t="s">
        <v>45</v>
      </c>
      <c r="C25" s="32">
        <f t="shared" si="0"/>
        <v>697045.38799999992</v>
      </c>
      <c r="D25" s="31">
        <f>(351498571)/1000-E25</f>
        <v>333498.571</v>
      </c>
      <c r="E25" s="31">
        <v>18000</v>
      </c>
      <c r="F25" s="31">
        <v>0</v>
      </c>
      <c r="G25" s="31">
        <v>0.11</v>
      </c>
      <c r="H25" s="31">
        <v>108281.56299999999</v>
      </c>
      <c r="I25" s="31">
        <f>(345546707/1000-H25)</f>
        <v>237265.144</v>
      </c>
    </row>
    <row r="26" spans="1:9" ht="35" thickBot="1">
      <c r="A26" s="34">
        <v>14</v>
      </c>
      <c r="B26" s="38" t="s">
        <v>46</v>
      </c>
      <c r="C26" s="32">
        <f>SUM(C13:C25)</f>
        <v>8811064.4023199994</v>
      </c>
      <c r="D26" s="32">
        <f t="shared" ref="D26:H26" si="1">SUM(D13:D25)</f>
        <v>4397838.0805000002</v>
      </c>
      <c r="E26" s="32">
        <f t="shared" si="1"/>
        <v>143000</v>
      </c>
      <c r="F26" s="32">
        <f t="shared" si="1"/>
        <v>0</v>
      </c>
      <c r="G26" s="32">
        <f t="shared" si="1"/>
        <v>1.4300000000000004</v>
      </c>
      <c r="H26" s="32">
        <f t="shared" si="1"/>
        <v>1297778.12992</v>
      </c>
      <c r="I26" s="32">
        <f>SUM(I13:I25)</f>
        <v>2972446.8718999997</v>
      </c>
    </row>
    <row r="27" spans="1:9" ht="35" thickBot="1">
      <c r="A27" s="34">
        <v>15</v>
      </c>
      <c r="B27" s="38" t="s">
        <v>47</v>
      </c>
      <c r="C27" s="32">
        <f>C26/13</f>
        <v>677774.1847938461</v>
      </c>
      <c r="D27" s="32">
        <f t="shared" ref="D27:I27" si="2">D26/13</f>
        <v>338295.2369615385</v>
      </c>
      <c r="E27" s="32">
        <f t="shared" si="2"/>
        <v>11000</v>
      </c>
      <c r="F27" s="32">
        <f t="shared" si="2"/>
        <v>0</v>
      </c>
      <c r="G27" s="32">
        <f t="shared" si="2"/>
        <v>0.11000000000000003</v>
      </c>
      <c r="H27" s="32">
        <f>H26/13</f>
        <v>99829.086916923072</v>
      </c>
      <c r="I27" s="32">
        <f t="shared" si="2"/>
        <v>228649.75937692306</v>
      </c>
    </row>
    <row r="28" spans="1:9" ht="35" thickBot="1">
      <c r="A28" s="34">
        <v>16</v>
      </c>
      <c r="B28" s="38" t="s">
        <v>48</v>
      </c>
      <c r="C28" s="39"/>
      <c r="D28" s="40">
        <f>D27/$C$27</f>
        <v>0.4991267660399834</v>
      </c>
      <c r="E28" s="40">
        <f t="shared" ref="E28:H28" si="3">E27/$C$27</f>
        <v>1.6229594231810102E-2</v>
      </c>
      <c r="F28" s="40">
        <f t="shared" si="3"/>
        <v>0</v>
      </c>
      <c r="G28" s="40">
        <f t="shared" si="3"/>
        <v>1.6229594231810107E-7</v>
      </c>
      <c r="H28" s="40">
        <f t="shared" si="3"/>
        <v>0.14728959756306947</v>
      </c>
      <c r="I28" s="40">
        <f>I27/$C$27</f>
        <v>0.33735389235349805</v>
      </c>
    </row>
    <row r="29" spans="1:9" ht="46.5" thickBot="1">
      <c r="A29" s="35">
        <v>17</v>
      </c>
      <c r="B29" s="38" t="s">
        <v>49</v>
      </c>
      <c r="C29" s="39"/>
      <c r="D29" s="40">
        <f>D25/$C$25</f>
        <v>0.47844599037788921</v>
      </c>
      <c r="E29" s="40">
        <f t="shared" ref="E29:I29" si="4">E25/$C$25</f>
        <v>2.5823282543546506E-2</v>
      </c>
      <c r="F29" s="40">
        <f t="shared" si="4"/>
        <v>0</v>
      </c>
      <c r="G29" s="40">
        <f t="shared" si="4"/>
        <v>1.5780894887722867E-7</v>
      </c>
      <c r="H29" s="40">
        <f t="shared" si="4"/>
        <v>0.15534363308921284</v>
      </c>
      <c r="I29" s="40">
        <f t="shared" si="4"/>
        <v>0.34038693618040267</v>
      </c>
    </row>
    <row r="30" spans="1:9" ht="15" thickTop="1">
      <c r="A30" s="23"/>
    </row>
    <row r="31" spans="1:9">
      <c r="A31" s="15" t="s">
        <v>50</v>
      </c>
      <c r="B31" s="15" t="s">
        <v>51</v>
      </c>
    </row>
    <row r="32" spans="1:9">
      <c r="C32" s="15" t="s">
        <v>52</v>
      </c>
    </row>
  </sheetData>
  <mergeCells count="8">
    <mergeCell ref="A7:I7"/>
    <mergeCell ref="A8:I8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scale="93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19F9EB-CC04-48FE-8975-348BE3E3ACF1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2.xml><?xml version="1.0" encoding="utf-8"?>
<ds:datastoreItem xmlns:ds="http://schemas.openxmlformats.org/officeDocument/2006/customXml" ds:itemID="{3EAEE6B2-8D8B-4EA7-85D3-514192F199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6BDCD-4478-4DAB-A74F-36D2712CC5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E1</vt:lpstr>
      <vt:lpstr>E2</vt:lpstr>
      <vt:lpstr>'E2'!Print_Area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Kilbane</dc:creator>
  <cp:lastModifiedBy>Dante Destefano</cp:lastModifiedBy>
  <dcterms:created xsi:type="dcterms:W3CDTF">2022-06-15T18:09:56Z</dcterms:created>
  <dcterms:modified xsi:type="dcterms:W3CDTF">2022-06-24T18:23:45Z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