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i\Google Drive\Wood Creek\"/>
    </mc:Choice>
  </mc:AlternateContent>
  <xr:revisionPtr revIDLastSave="0" documentId="8_{500C0392-D734-4804-8576-18AA99BC0B26}" xr6:coauthVersionLast="47" xr6:coauthVersionMax="47" xr10:uidLastSave="{00000000-0000-0000-0000-000000000000}"/>
  <bookViews>
    <workbookView xWindow="-120" yWindow="-120" windowWidth="29040" windowHeight="15840" xr2:uid="{30AF5819-8B40-4BEE-A392-85C26AADE5EC}"/>
  </bookViews>
  <sheets>
    <sheet name="SAO" sheetId="3" r:id="rId1"/>
    <sheet name="Adj" sheetId="16" r:id="rId2"/>
    <sheet name="DeprAdj" sheetId="1" r:id="rId3"/>
    <sheet name="DSch" sheetId="5" r:id="rId4"/>
    <sheet name="Sys" sheetId="25" r:id="rId5"/>
    <sheet name="Fac" sheetId="26" r:id="rId6"/>
    <sheet name="Al_DeprW" sheetId="27" r:id="rId7"/>
    <sheet name="Al_Plnt" sheetId="28" r:id="rId8"/>
    <sheet name="Mtrx" sheetId="29" r:id="rId9"/>
    <sheet name="Whol" sheetId="30" r:id="rId10"/>
    <sheet name="AlocOM_R" sheetId="32" r:id="rId11"/>
    <sheet name="AlocSum" sheetId="33" r:id="rId12"/>
    <sheet name="Units" sheetId="35" r:id="rId13"/>
    <sheet name="CalcRet" sheetId="34" r:id="rId14"/>
    <sheet name="Rates" sheetId="2" r:id="rId15"/>
    <sheet name="Usage" sheetId="31" r:id="rId16"/>
    <sheet name="ExBA" sheetId="10" r:id="rId17"/>
    <sheet name="PropBA" sheetId="15" r:id="rId18"/>
    <sheet name="CoAlloc" sheetId="23" r:id="rId19"/>
    <sheet name="Trk_Off" sheetId="24" r:id="rId20"/>
  </sheets>
  <definedNames>
    <definedName name="_xlnm.Print_Area" localSheetId="6">Al_DeprW!$B$1:$J$32</definedName>
    <definedName name="_xlnm.Print_Area" localSheetId="7">Al_Plnt!$B$1:$K$39</definedName>
    <definedName name="_xlnm.Print_Area" localSheetId="10">AlocOM_R!$B$3:$J$34</definedName>
    <definedName name="_xlnm.Print_Area" localSheetId="11">AlocSum!$B$2:$I$25</definedName>
    <definedName name="_xlnm.Print_Area" localSheetId="13">CalcRet!$B$2:$H$45</definedName>
    <definedName name="_xlnm.Print_Area" localSheetId="18">CoAlloc!$Q$1:$Y$26</definedName>
    <definedName name="_xlnm.Print_Area" localSheetId="2">DeprAdj!$B$2:$M$64</definedName>
    <definedName name="_xlnm.Print_Area" localSheetId="3">DSch!$B$2:$N$25</definedName>
    <definedName name="_xlnm.Print_Area" localSheetId="16">ExBA!$A$1:$I$107</definedName>
    <definedName name="_xlnm.Print_Area" localSheetId="5">Fac!$B$1:$I$44</definedName>
    <definedName name="_xlnm.Print_Area" localSheetId="17">PropBA!$A$1:$I$113</definedName>
    <definedName name="_xlnm.Print_Area" localSheetId="14">Rates!$B$2:$M$44</definedName>
    <definedName name="_xlnm.Print_Area" localSheetId="0">SAO!$B$2:$J$58</definedName>
    <definedName name="_xlnm.Print_Area" localSheetId="4">Sys!$B$1:$I$41</definedName>
    <definedName name="_xlnm.Print_Area" localSheetId="19">Trk_Off!$B$7:$P$53</definedName>
    <definedName name="_xlnm.Print_Area" localSheetId="12">Units!$B$2:$K$42</definedName>
    <definedName name="_xlnm.Print_Area" localSheetId="15">Usage!$Q$3:$U$21</definedName>
    <definedName name="_xlnm.Print_Area" localSheetId="9">Whol!$B$2:$I$63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2" l="1"/>
  <c r="R15" i="2"/>
  <c r="R14" i="2"/>
  <c r="R13" i="2"/>
  <c r="R12" i="2"/>
  <c r="H51" i="29" l="1"/>
  <c r="G51" i="29"/>
  <c r="F51" i="29"/>
  <c r="E51" i="29"/>
  <c r="P25" i="16"/>
  <c r="G29" i="3"/>
  <c r="P20" i="16"/>
  <c r="J51" i="29" l="1"/>
  <c r="V20" i="31"/>
  <c r="K44" i="34"/>
  <c r="K43" i="34"/>
  <c r="K42" i="34"/>
  <c r="K41" i="34"/>
  <c r="K40" i="34"/>
  <c r="K39" i="34"/>
  <c r="E34" i="34" l="1"/>
  <c r="D34" i="34"/>
  <c r="H40" i="35"/>
  <c r="H39" i="35"/>
  <c r="H38" i="35"/>
  <c r="H37" i="35"/>
  <c r="H36" i="35"/>
  <c r="H35" i="35"/>
  <c r="H41" i="35" s="1"/>
  <c r="G41" i="35"/>
  <c r="D19" i="35"/>
  <c r="F18" i="35"/>
  <c r="F19" i="35" s="1"/>
  <c r="E18" i="35"/>
  <c r="G18" i="35" s="1"/>
  <c r="H18" i="35" s="1"/>
  <c r="E19" i="35"/>
  <c r="F17" i="35"/>
  <c r="F16" i="35"/>
  <c r="F15" i="35"/>
  <c r="D15" i="35"/>
  <c r="E15" i="35" s="1"/>
  <c r="F14" i="35"/>
  <c r="D14" i="35"/>
  <c r="E14" i="35" s="1"/>
  <c r="E11" i="35"/>
  <c r="J20" i="35"/>
  <c r="E17" i="35"/>
  <c r="E16" i="35"/>
  <c r="E12" i="35"/>
  <c r="G12" i="35" s="1"/>
  <c r="H12" i="35" s="1"/>
  <c r="D20" i="35" l="1"/>
  <c r="G16" i="35"/>
  <c r="H16" i="35" s="1"/>
  <c r="G19" i="35"/>
  <c r="I19" i="35" s="1"/>
  <c r="G15" i="35"/>
  <c r="I15" i="35" s="1"/>
  <c r="G14" i="35"/>
  <c r="H14" i="35" s="1"/>
  <c r="E20" i="35"/>
  <c r="F20" i="35"/>
  <c r="G17" i="35"/>
  <c r="I17" i="35" s="1"/>
  <c r="I20" i="35" s="1"/>
  <c r="G27" i="35" s="1"/>
  <c r="G11" i="35"/>
  <c r="G20" i="35" l="1"/>
  <c r="H11" i="35"/>
  <c r="H20" i="35" s="1"/>
  <c r="G26" i="35" s="1"/>
  <c r="G29" i="35" l="1"/>
  <c r="D85" i="15" l="1"/>
  <c r="C85" i="15"/>
  <c r="B92" i="15"/>
  <c r="B91" i="15"/>
  <c r="B90" i="15"/>
  <c r="G82" i="15"/>
  <c r="F82" i="15"/>
  <c r="E82" i="15"/>
  <c r="B76" i="15"/>
  <c r="F67" i="15"/>
  <c r="D55" i="15"/>
  <c r="C55" i="15"/>
  <c r="D54" i="15"/>
  <c r="C54" i="15"/>
  <c r="B61" i="15"/>
  <c r="F52" i="15"/>
  <c r="B62" i="15"/>
  <c r="G35" i="15"/>
  <c r="B46" i="15"/>
  <c r="B45" i="15"/>
  <c r="E85" i="15" l="1"/>
  <c r="F85" i="15"/>
  <c r="F55" i="15"/>
  <c r="D20" i="33"/>
  <c r="C22" i="15" l="1"/>
  <c r="D22" i="15"/>
  <c r="C23" i="10"/>
  <c r="D23" i="10"/>
  <c r="K16" i="31" l="1"/>
  <c r="K14" i="31"/>
  <c r="D84" i="15" s="1"/>
  <c r="K9" i="31"/>
  <c r="K7" i="31"/>
  <c r="K6" i="31"/>
  <c r="J16" i="31"/>
  <c r="J14" i="31"/>
  <c r="C84" i="15" s="1"/>
  <c r="E84" i="15" s="1"/>
  <c r="J9" i="31"/>
  <c r="J7" i="31"/>
  <c r="J6" i="31"/>
  <c r="C83" i="15" s="1"/>
  <c r="C86" i="15" s="1"/>
  <c r="C90" i="15" s="1"/>
  <c r="C93" i="15" s="1"/>
  <c r="E10" i="15" s="1"/>
  <c r="H15" i="31"/>
  <c r="H21" i="31"/>
  <c r="H13" i="31"/>
  <c r="H12" i="31"/>
  <c r="H11" i="31"/>
  <c r="H10" i="31"/>
  <c r="C69" i="15" s="1"/>
  <c r="H9" i="31"/>
  <c r="H8" i="31"/>
  <c r="H7" i="31"/>
  <c r="H6" i="31"/>
  <c r="C68" i="15" s="1"/>
  <c r="I21" i="31"/>
  <c r="D70" i="15" s="1"/>
  <c r="I15" i="31"/>
  <c r="I13" i="31"/>
  <c r="I12" i="31"/>
  <c r="I11" i="31"/>
  <c r="I10" i="31"/>
  <c r="D69" i="15" s="1"/>
  <c r="I9" i="31"/>
  <c r="I8" i="31"/>
  <c r="I7" i="31"/>
  <c r="I6" i="31"/>
  <c r="D68" i="15" s="1"/>
  <c r="G22" i="31"/>
  <c r="F22" i="31"/>
  <c r="E15" i="31"/>
  <c r="E9" i="31"/>
  <c r="E8" i="31"/>
  <c r="E7" i="31"/>
  <c r="D37" i="15" s="1"/>
  <c r="E6" i="31"/>
  <c r="E21" i="31"/>
  <c r="D39" i="15" s="1"/>
  <c r="D15" i="31"/>
  <c r="D21" i="31"/>
  <c r="C39" i="15" s="1"/>
  <c r="G39" i="15" s="1"/>
  <c r="D9" i="31"/>
  <c r="D8" i="31"/>
  <c r="D7" i="31"/>
  <c r="C37" i="15" s="1"/>
  <c r="D6" i="31"/>
  <c r="D5" i="31"/>
  <c r="E5" i="31"/>
  <c r="O5" i="31" s="1"/>
  <c r="C20" i="31"/>
  <c r="O20" i="31" s="1"/>
  <c r="C19" i="31"/>
  <c r="O19" i="31" s="1"/>
  <c r="C17" i="31"/>
  <c r="O17" i="31" s="1"/>
  <c r="C16" i="31"/>
  <c r="O16" i="31" s="1"/>
  <c r="C15" i="31"/>
  <c r="C14" i="31"/>
  <c r="O14" i="31" s="1"/>
  <c r="C13" i="31"/>
  <c r="C12" i="31"/>
  <c r="C11" i="31"/>
  <c r="C10" i="31"/>
  <c r="C9" i="31"/>
  <c r="C8" i="31"/>
  <c r="C7" i="31"/>
  <c r="C6" i="31"/>
  <c r="B20" i="31"/>
  <c r="N20" i="31" s="1"/>
  <c r="B19" i="31"/>
  <c r="N19" i="31" s="1"/>
  <c r="B17" i="31"/>
  <c r="N17" i="31" s="1"/>
  <c r="B16" i="31"/>
  <c r="N16" i="31" s="1"/>
  <c r="B15" i="31"/>
  <c r="B14" i="31"/>
  <c r="B13" i="31"/>
  <c r="B12" i="31"/>
  <c r="B11" i="31"/>
  <c r="B10" i="31"/>
  <c r="B9" i="31"/>
  <c r="B8" i="31"/>
  <c r="B7" i="31"/>
  <c r="B6" i="31"/>
  <c r="B5" i="31"/>
  <c r="C18" i="31"/>
  <c r="O18" i="31" s="1"/>
  <c r="M22" i="31"/>
  <c r="L22" i="31"/>
  <c r="B18" i="31"/>
  <c r="N18" i="31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N21" i="31" l="1"/>
  <c r="W21" i="31" s="1"/>
  <c r="C70" i="15"/>
  <c r="F70" i="15" s="1"/>
  <c r="K22" i="31"/>
  <c r="D83" i="15"/>
  <c r="O15" i="31"/>
  <c r="T5" i="31"/>
  <c r="N10" i="31"/>
  <c r="O12" i="31"/>
  <c r="N5" i="31"/>
  <c r="O8" i="31"/>
  <c r="N15" i="31"/>
  <c r="N6" i="31"/>
  <c r="N7" i="31"/>
  <c r="J22" i="31"/>
  <c r="O21" i="31"/>
  <c r="X21" i="31" s="1"/>
  <c r="X27" i="31" s="1"/>
  <c r="O6" i="31"/>
  <c r="X7" i="31" s="1"/>
  <c r="X25" i="31" s="1"/>
  <c r="O7" i="31"/>
  <c r="N11" i="31"/>
  <c r="N14" i="31"/>
  <c r="N8" i="31"/>
  <c r="N12" i="31"/>
  <c r="O9" i="31"/>
  <c r="O10" i="31"/>
  <c r="O11" i="31"/>
  <c r="N13" i="31"/>
  <c r="I22" i="31"/>
  <c r="O13" i="31"/>
  <c r="H22" i="31"/>
  <c r="N9" i="31"/>
  <c r="D22" i="31"/>
  <c r="C22" i="31"/>
  <c r="B22" i="31"/>
  <c r="E22" i="31"/>
  <c r="W27" i="31" l="1"/>
  <c r="V21" i="31"/>
  <c r="Y25" i="31"/>
  <c r="E83" i="15"/>
  <c r="D86" i="15"/>
  <c r="W20" i="31"/>
  <c r="W26" i="31" s="1"/>
  <c r="Y26" i="31" s="1"/>
  <c r="Y27" i="31"/>
  <c r="AA27" i="31" s="1"/>
  <c r="AA28" i="31" s="1"/>
  <c r="F28" i="35" s="1"/>
  <c r="H28" i="35" s="1"/>
  <c r="G10" i="34" s="1"/>
  <c r="Z27" i="31"/>
  <c r="Y21" i="31"/>
  <c r="R5" i="31"/>
  <c r="R6" i="31" s="1"/>
  <c r="R7" i="31" s="1"/>
  <c r="R8" i="31" s="1"/>
  <c r="R9" i="31" s="1"/>
  <c r="R10" i="31" s="1"/>
  <c r="R11" i="31" s="1"/>
  <c r="R12" i="31" s="1"/>
  <c r="R13" i="31" s="1"/>
  <c r="R14" i="31" s="1"/>
  <c r="R15" i="31" s="1"/>
  <c r="R16" i="31" s="1"/>
  <c r="R17" i="31" s="1"/>
  <c r="R18" i="31" s="1"/>
  <c r="R19" i="31" s="1"/>
  <c r="R20" i="31" s="1"/>
  <c r="R21" i="31" s="1"/>
  <c r="W7" i="31"/>
  <c r="X20" i="31"/>
  <c r="X26" i="31" s="1"/>
  <c r="Z26" i="31" s="1"/>
  <c r="Z28" i="31" s="1"/>
  <c r="F27" i="35" s="1"/>
  <c r="H27" i="35" s="1"/>
  <c r="F10" i="34" s="1"/>
  <c r="O22" i="31"/>
  <c r="Z7" i="31" s="1"/>
  <c r="N22" i="31"/>
  <c r="T6" i="31"/>
  <c r="T7" i="31" s="1"/>
  <c r="T8" i="31" s="1"/>
  <c r="T9" i="31" s="1"/>
  <c r="T10" i="31" s="1"/>
  <c r="T11" i="31" s="1"/>
  <c r="T12" i="31" s="1"/>
  <c r="T13" i="31" s="1"/>
  <c r="T14" i="31" s="1"/>
  <c r="T15" i="31" s="1"/>
  <c r="T16" i="31" s="1"/>
  <c r="T17" i="31" s="1"/>
  <c r="T18" i="31" s="1"/>
  <c r="T19" i="31" s="1"/>
  <c r="T20" i="31" s="1"/>
  <c r="T21" i="31" s="1"/>
  <c r="G21" i="34" l="1"/>
  <c r="G14" i="34"/>
  <c r="F14" i="34"/>
  <c r="F21" i="34"/>
  <c r="Y28" i="31"/>
  <c r="F26" i="35" s="1"/>
  <c r="Y7" i="31"/>
  <c r="W25" i="31"/>
  <c r="G83" i="15"/>
  <c r="H83" i="15" s="1"/>
  <c r="X28" i="31"/>
  <c r="Y20" i="31"/>
  <c r="Z20" i="31"/>
  <c r="Z21" i="31"/>
  <c r="U21" i="31"/>
  <c r="U10" i="31"/>
  <c r="U17" i="31"/>
  <c r="U9" i="31"/>
  <c r="U20" i="31"/>
  <c r="U12" i="31"/>
  <c r="U8" i="31"/>
  <c r="U13" i="31"/>
  <c r="U7" i="31"/>
  <c r="U5" i="31"/>
  <c r="U18" i="31"/>
  <c r="U16" i="31"/>
  <c r="U6" i="31"/>
  <c r="U19" i="31"/>
  <c r="U15" i="31"/>
  <c r="U11" i="31"/>
  <c r="U14" i="31"/>
  <c r="S10" i="31"/>
  <c r="S9" i="31"/>
  <c r="S13" i="31"/>
  <c r="S8" i="31"/>
  <c r="S14" i="31"/>
  <c r="S7" i="31"/>
  <c r="S11" i="31"/>
  <c r="S6" i="31"/>
  <c r="S5" i="31"/>
  <c r="S12" i="31"/>
  <c r="S20" i="31"/>
  <c r="S19" i="31"/>
  <c r="S18" i="31"/>
  <c r="S17" i="31"/>
  <c r="S16" i="31"/>
  <c r="S15" i="31"/>
  <c r="S21" i="31"/>
  <c r="G16" i="25"/>
  <c r="G15" i="25"/>
  <c r="G14" i="25"/>
  <c r="G13" i="25"/>
  <c r="G24" i="25"/>
  <c r="H20" i="25"/>
  <c r="H19" i="25"/>
  <c r="H17" i="25"/>
  <c r="H16" i="25"/>
  <c r="H14" i="25"/>
  <c r="H13" i="25"/>
  <c r="H18" i="25"/>
  <c r="G60" i="30"/>
  <c r="E50" i="30"/>
  <c r="E49" i="30"/>
  <c r="E48" i="30"/>
  <c r="E47" i="30"/>
  <c r="E46" i="30"/>
  <c r="J50" i="30" s="1"/>
  <c r="E30" i="30"/>
  <c r="E29" i="30"/>
  <c r="E28" i="30"/>
  <c r="E24" i="30"/>
  <c r="E23" i="30"/>
  <c r="J6" i="29"/>
  <c r="H24" i="25" l="1"/>
  <c r="F29" i="35"/>
  <c r="H26" i="35"/>
  <c r="F24" i="28"/>
  <c r="I23" i="28"/>
  <c r="E22" i="28"/>
  <c r="J21" i="28"/>
  <c r="J20" i="28"/>
  <c r="J19" i="28"/>
  <c r="G18" i="28"/>
  <c r="H17" i="28"/>
  <c r="H25" i="28" s="1"/>
  <c r="F16" i="28"/>
  <c r="G15" i="28"/>
  <c r="G25" i="28" s="1"/>
  <c r="E14" i="28"/>
  <c r="E13" i="28"/>
  <c r="M11" i="28"/>
  <c r="F11" i="28"/>
  <c r="H11" i="28"/>
  <c r="I10" i="28"/>
  <c r="P24" i="5"/>
  <c r="D38" i="28"/>
  <c r="D57" i="28"/>
  <c r="D56" i="28"/>
  <c r="D25" i="28"/>
  <c r="D15" i="28"/>
  <c r="D12" i="28"/>
  <c r="D11" i="28"/>
  <c r="C31" i="28"/>
  <c r="C30" i="28"/>
  <c r="C29" i="28"/>
  <c r="C28" i="28"/>
  <c r="C27" i="28"/>
  <c r="C24" i="28"/>
  <c r="C23" i="28"/>
  <c r="C21" i="28"/>
  <c r="C20" i="28"/>
  <c r="C19" i="28"/>
  <c r="C18" i="28"/>
  <c r="C17" i="28"/>
  <c r="C16" i="28"/>
  <c r="C15" i="28"/>
  <c r="C14" i="28"/>
  <c r="C12" i="28"/>
  <c r="L29" i="27"/>
  <c r="F20" i="27"/>
  <c r="I19" i="27"/>
  <c r="J18" i="27"/>
  <c r="J17" i="27"/>
  <c r="J16" i="27"/>
  <c r="G15" i="27"/>
  <c r="H14" i="27"/>
  <c r="H21" i="27" s="1"/>
  <c r="F13" i="27"/>
  <c r="G12" i="27"/>
  <c r="G21" i="27" s="1"/>
  <c r="F12" i="27"/>
  <c r="E11" i="27"/>
  <c r="F10" i="27"/>
  <c r="I10" i="27"/>
  <c r="I21" i="27" s="1"/>
  <c r="F21" i="27"/>
  <c r="E21" i="27"/>
  <c r="D28" i="27"/>
  <c r="D27" i="27"/>
  <c r="D26" i="27"/>
  <c r="D25" i="27"/>
  <c r="D24" i="27"/>
  <c r="D20" i="27"/>
  <c r="D23" i="27"/>
  <c r="D19" i="27"/>
  <c r="D18" i="27"/>
  <c r="D17" i="27"/>
  <c r="D16" i="27"/>
  <c r="D15" i="27"/>
  <c r="D14" i="27"/>
  <c r="D13" i="27"/>
  <c r="D12" i="27"/>
  <c r="D11" i="27"/>
  <c r="D10" i="27"/>
  <c r="D21" i="27" s="1"/>
  <c r="H29" i="35" l="1"/>
  <c r="E10" i="34"/>
  <c r="J25" i="28"/>
  <c r="E12" i="28"/>
  <c r="E25" i="28" s="1"/>
  <c r="F12" i="28"/>
  <c r="F25" i="28" s="1"/>
  <c r="J21" i="27"/>
  <c r="F22" i="27"/>
  <c r="F29" i="27" s="1"/>
  <c r="F31" i="27" s="1"/>
  <c r="H9" i="26"/>
  <c r="F27" i="26" s="1"/>
  <c r="H13" i="26"/>
  <c r="F41" i="26" s="1"/>
  <c r="H12" i="26"/>
  <c r="F22" i="26" s="1"/>
  <c r="F24" i="25"/>
  <c r="E24" i="25"/>
  <c r="F14" i="25"/>
  <c r="F13" i="25"/>
  <c r="E22" i="25"/>
  <c r="E21" i="25"/>
  <c r="E20" i="25"/>
  <c r="E19" i="25"/>
  <c r="E18" i="25"/>
  <c r="E17" i="25"/>
  <c r="E16" i="25"/>
  <c r="E15" i="25"/>
  <c r="E14" i="25"/>
  <c r="E13" i="25"/>
  <c r="D24" i="25"/>
  <c r="D39" i="29"/>
  <c r="G37" i="29"/>
  <c r="F37" i="29"/>
  <c r="E37" i="29"/>
  <c r="D37" i="29"/>
  <c r="H36" i="29"/>
  <c r="G36" i="29"/>
  <c r="F36" i="29"/>
  <c r="D36" i="29"/>
  <c r="H35" i="29"/>
  <c r="G35" i="29"/>
  <c r="F35" i="29"/>
  <c r="E35" i="29"/>
  <c r="D35" i="29"/>
  <c r="E22" i="30" s="1"/>
  <c r="J24" i="30" s="1"/>
  <c r="H26" i="29"/>
  <c r="H23" i="29"/>
  <c r="J23" i="29" s="1"/>
  <c r="H22" i="29"/>
  <c r="J22" i="29" s="1"/>
  <c r="H21" i="29"/>
  <c r="J21" i="29" s="1"/>
  <c r="H15" i="29"/>
  <c r="J15" i="29" s="1"/>
  <c r="H14" i="29"/>
  <c r="H13" i="29"/>
  <c r="J13" i="29" s="1"/>
  <c r="F12" i="29"/>
  <c r="E12" i="29"/>
  <c r="J12" i="29" s="1"/>
  <c r="J25" i="29"/>
  <c r="J24" i="29"/>
  <c r="J20" i="29"/>
  <c r="J19" i="29"/>
  <c r="J18" i="29"/>
  <c r="J17" i="29"/>
  <c r="J16" i="29"/>
  <c r="J14" i="29"/>
  <c r="J11" i="29"/>
  <c r="J10" i="29"/>
  <c r="F5" i="29"/>
  <c r="E5" i="29"/>
  <c r="E6" i="29" s="1"/>
  <c r="H30" i="30"/>
  <c r="G17" i="32" s="1"/>
  <c r="H17" i="32" s="1"/>
  <c r="G42" i="29"/>
  <c r="F42" i="29"/>
  <c r="E42" i="29"/>
  <c r="D42" i="29"/>
  <c r="H41" i="29"/>
  <c r="G41" i="29"/>
  <c r="F41" i="29"/>
  <c r="E41" i="29"/>
  <c r="D41" i="29"/>
  <c r="G40" i="29"/>
  <c r="F40" i="29"/>
  <c r="E40" i="29"/>
  <c r="D40" i="29"/>
  <c r="C27" i="29"/>
  <c r="I8" i="29"/>
  <c r="H6" i="29"/>
  <c r="D32" i="28"/>
  <c r="L34" i="27"/>
  <c r="K39" i="25"/>
  <c r="G37" i="25"/>
  <c r="F35" i="25"/>
  <c r="H14" i="26" s="1"/>
  <c r="F43" i="26" s="1"/>
  <c r="F22" i="25"/>
  <c r="F21" i="25"/>
  <c r="F20" i="25"/>
  <c r="F19" i="25"/>
  <c r="F18" i="25"/>
  <c r="F17" i="25"/>
  <c r="F16" i="25"/>
  <c r="H15" i="25"/>
  <c r="F15" i="25"/>
  <c r="D10" i="34" l="1"/>
  <c r="E21" i="34"/>
  <c r="E14" i="34"/>
  <c r="E26" i="28"/>
  <c r="I12" i="28"/>
  <c r="I25" i="28" s="1"/>
  <c r="M25" i="28" s="1"/>
  <c r="G50" i="30"/>
  <c r="H50" i="30" s="1"/>
  <c r="H23" i="32" s="1"/>
  <c r="H42" i="26"/>
  <c r="F40" i="25"/>
  <c r="G40" i="25" s="1"/>
  <c r="H8" i="26" s="1"/>
  <c r="D24" i="26" s="1"/>
  <c r="H27" i="29"/>
  <c r="J26" i="29"/>
  <c r="J41" i="29"/>
  <c r="E27" i="29"/>
  <c r="F6" i="29"/>
  <c r="J5" i="29"/>
  <c r="D6" i="29"/>
  <c r="J35" i="29"/>
  <c r="G6" i="29"/>
  <c r="G27" i="29" s="1"/>
  <c r="D35" i="28"/>
  <c r="D31" i="27"/>
  <c r="D37" i="26"/>
  <c r="F33" i="26"/>
  <c r="D39" i="26"/>
  <c r="F35" i="26"/>
  <c r="H11" i="26"/>
  <c r="F20" i="26" s="1"/>
  <c r="H21" i="26" s="1"/>
  <c r="F38" i="26" s="1"/>
  <c r="H10" i="26" l="1"/>
  <c r="D14" i="34"/>
  <c r="E15" i="34" s="1"/>
  <c r="E11" i="34"/>
  <c r="G11" i="34"/>
  <c r="F11" i="34"/>
  <c r="D11" i="34" s="1"/>
  <c r="F49" i="30"/>
  <c r="F41" i="30"/>
  <c r="F38" i="30"/>
  <c r="F31" i="30"/>
  <c r="F19" i="30"/>
  <c r="F24" i="30"/>
  <c r="F20" i="30"/>
  <c r="F14" i="30"/>
  <c r="F55" i="30"/>
  <c r="F48" i="30"/>
  <c r="G48" i="30" s="1"/>
  <c r="H48" i="30" s="1"/>
  <c r="F54" i="30"/>
  <c r="G54" i="30" s="1"/>
  <c r="H54" i="30" s="1"/>
  <c r="F24" i="26"/>
  <c r="H24" i="26" s="1"/>
  <c r="D27" i="26" s="1"/>
  <c r="H27" i="26" s="1"/>
  <c r="F31" i="26" s="1"/>
  <c r="H30" i="26" s="1"/>
  <c r="D33" i="26" s="1"/>
  <c r="E33" i="28"/>
  <c r="L21" i="27"/>
  <c r="F27" i="29"/>
  <c r="D27" i="29"/>
  <c r="I27" i="29" s="1"/>
  <c r="I26" i="28"/>
  <c r="I33" i="28" s="1"/>
  <c r="I35" i="28" s="1"/>
  <c r="I36" i="28" s="1"/>
  <c r="I38" i="28" s="1"/>
  <c r="E55" i="30" s="1"/>
  <c r="J26" i="28"/>
  <c r="J33" i="28" s="1"/>
  <c r="J35" i="28" s="1"/>
  <c r="J36" i="28" s="1"/>
  <c r="J38" i="28" s="1"/>
  <c r="E56" i="30" s="1"/>
  <c r="G56" i="30" s="1"/>
  <c r="H56" i="30" s="1"/>
  <c r="G26" i="28"/>
  <c r="G33" i="28" s="1"/>
  <c r="G35" i="28" s="1"/>
  <c r="G36" i="28" s="1"/>
  <c r="G38" i="28" s="1"/>
  <c r="E53" i="30" s="1"/>
  <c r="H26" i="28"/>
  <c r="H33" i="28" s="1"/>
  <c r="H35" i="28" s="1"/>
  <c r="H36" i="28" s="1"/>
  <c r="H38" i="28" s="1"/>
  <c r="E54" i="30" s="1"/>
  <c r="J22" i="27"/>
  <c r="J29" i="27" s="1"/>
  <c r="J31" i="27" s="1"/>
  <c r="E22" i="27"/>
  <c r="E29" i="27" s="1"/>
  <c r="H22" i="27"/>
  <c r="H29" i="27" s="1"/>
  <c r="H31" i="27" s="1"/>
  <c r="I22" i="27"/>
  <c r="I29" i="27" s="1"/>
  <c r="I31" i="27" s="1"/>
  <c r="G22" i="27"/>
  <c r="G29" i="27" s="1"/>
  <c r="G31" i="27" s="1"/>
  <c r="H38" i="26"/>
  <c r="F18" i="26"/>
  <c r="H17" i="26"/>
  <c r="D35" i="26" s="1"/>
  <c r="F15" i="34" l="1"/>
  <c r="G15" i="34"/>
  <c r="F33" i="30"/>
  <c r="F36" i="30"/>
  <c r="F29" i="30"/>
  <c r="G29" i="30" s="1"/>
  <c r="H29" i="30" s="1"/>
  <c r="F17" i="30"/>
  <c r="G55" i="30"/>
  <c r="H55" i="30" s="1"/>
  <c r="D27" i="33" s="1"/>
  <c r="F12" i="30"/>
  <c r="F53" i="30"/>
  <c r="G53" i="30" s="1"/>
  <c r="H53" i="30" s="1"/>
  <c r="G24" i="30"/>
  <c r="H24" i="30" s="1"/>
  <c r="I15" i="32" s="1"/>
  <c r="F23" i="30"/>
  <c r="G23" i="30" s="1"/>
  <c r="H23" i="30" s="1"/>
  <c r="F47" i="30"/>
  <c r="G47" i="30" s="1"/>
  <c r="H47" i="30" s="1"/>
  <c r="G49" i="30"/>
  <c r="H49" i="30" s="1"/>
  <c r="I23" i="32" s="1"/>
  <c r="E35" i="28"/>
  <c r="J27" i="29"/>
  <c r="F26" i="28"/>
  <c r="M26" i="28" s="1"/>
  <c r="E31" i="27"/>
  <c r="L31" i="27" s="1"/>
  <c r="H34" i="26"/>
  <c r="F39" i="30" s="1"/>
  <c r="D15" i="34" l="1"/>
  <c r="E27" i="33"/>
  <c r="F27" i="33"/>
  <c r="F28" i="30"/>
  <c r="G28" i="30" s="1"/>
  <c r="H28" i="30" s="1"/>
  <c r="F26" i="30"/>
  <c r="F52" i="30"/>
  <c r="F35" i="30"/>
  <c r="F46" i="30"/>
  <c r="G46" i="30" s="1"/>
  <c r="H46" i="30" s="1"/>
  <c r="F22" i="30"/>
  <c r="G22" i="30" s="1"/>
  <c r="H22" i="30" s="1"/>
  <c r="F16" i="30"/>
  <c r="F11" i="30"/>
  <c r="E36" i="28"/>
  <c r="F33" i="28"/>
  <c r="M33" i="28" s="1"/>
  <c r="E17" i="32" l="1"/>
  <c r="F17" i="32" s="1"/>
  <c r="K50" i="30"/>
  <c r="E23" i="32"/>
  <c r="K24" i="30"/>
  <c r="F15" i="32"/>
  <c r="D15" i="32" s="1"/>
  <c r="E38" i="28"/>
  <c r="F35" i="28"/>
  <c r="M35" i="28" s="1"/>
  <c r="F23" i="32" l="1"/>
  <c r="D23" i="32" s="1"/>
  <c r="F36" i="28"/>
  <c r="M36" i="28" s="1"/>
  <c r="F38" i="28" l="1"/>
  <c r="M38" i="28" l="1"/>
  <c r="E52" i="30"/>
  <c r="I29" i="3"/>
  <c r="C36" i="29" s="1"/>
  <c r="E36" i="29" s="1"/>
  <c r="H29" i="16"/>
  <c r="K30" i="23"/>
  <c r="C31" i="23"/>
  <c r="C30" i="23"/>
  <c r="J32" i="23"/>
  <c r="J31" i="23"/>
  <c r="J30" i="23"/>
  <c r="J56" i="30" l="1"/>
  <c r="G52" i="30"/>
  <c r="H52" i="30" s="1"/>
  <c r="E26" i="30"/>
  <c r="J36" i="29"/>
  <c r="J34" i="23"/>
  <c r="P13" i="16"/>
  <c r="P14" i="16" s="1"/>
  <c r="G13" i="3" s="1"/>
  <c r="P12" i="16"/>
  <c r="B113" i="15"/>
  <c r="F13" i="15" s="1"/>
  <c r="B105" i="15"/>
  <c r="B104" i="15"/>
  <c r="D100" i="15"/>
  <c r="F11" i="15" s="1"/>
  <c r="C100" i="15"/>
  <c r="E11" i="15" s="1"/>
  <c r="E98" i="15"/>
  <c r="F97" i="15"/>
  <c r="E97" i="15"/>
  <c r="E99" i="15" s="1"/>
  <c r="B77" i="15"/>
  <c r="B75" i="15"/>
  <c r="D71" i="15"/>
  <c r="C71" i="15"/>
  <c r="C75" i="15" s="1"/>
  <c r="G67" i="15"/>
  <c r="E67" i="15"/>
  <c r="B60" i="15"/>
  <c r="D56" i="15"/>
  <c r="C56" i="15"/>
  <c r="E8" i="15" s="1"/>
  <c r="E53" i="15"/>
  <c r="G52" i="15"/>
  <c r="E52" i="15"/>
  <c r="B47" i="15"/>
  <c r="B44" i="15"/>
  <c r="D36" i="15"/>
  <c r="C36" i="15"/>
  <c r="C38" i="15" s="1"/>
  <c r="H35" i="15"/>
  <c r="F35" i="15"/>
  <c r="E35" i="15"/>
  <c r="B30" i="15"/>
  <c r="B29" i="15"/>
  <c r="B28" i="15"/>
  <c r="B27" i="15"/>
  <c r="D19" i="15"/>
  <c r="C19" i="15"/>
  <c r="H18" i="15"/>
  <c r="G18" i="15"/>
  <c r="F18" i="15"/>
  <c r="E18" i="15"/>
  <c r="F13" i="33" l="1"/>
  <c r="E13" i="33"/>
  <c r="K56" i="30"/>
  <c r="D13" i="33" s="1"/>
  <c r="J26" i="30"/>
  <c r="G26" i="30"/>
  <c r="H26" i="30" s="1"/>
  <c r="E16" i="32" s="1"/>
  <c r="D16" i="32" s="1"/>
  <c r="E69" i="15"/>
  <c r="G85" i="15"/>
  <c r="C60" i="15"/>
  <c r="C63" i="15" s="1"/>
  <c r="F69" i="15"/>
  <c r="F71" i="15" s="1"/>
  <c r="D76" i="15" s="1"/>
  <c r="E55" i="15"/>
  <c r="G55" i="15" s="1"/>
  <c r="G56" i="15" s="1"/>
  <c r="D62" i="15" s="1"/>
  <c r="E54" i="15"/>
  <c r="F38" i="15"/>
  <c r="E38" i="15"/>
  <c r="E36" i="15"/>
  <c r="I36" i="15" s="1"/>
  <c r="D38" i="15"/>
  <c r="G38" i="15" s="1"/>
  <c r="G40" i="15" s="1"/>
  <c r="D46" i="15" s="1"/>
  <c r="C20" i="15"/>
  <c r="C21" i="15" s="1"/>
  <c r="E19" i="15"/>
  <c r="I19" i="15" s="1"/>
  <c r="D20" i="15"/>
  <c r="G22" i="15"/>
  <c r="C40" i="15"/>
  <c r="C44" i="15" s="1"/>
  <c r="C48" i="15" s="1"/>
  <c r="E37" i="15"/>
  <c r="F37" i="15" s="1"/>
  <c r="F39" i="15"/>
  <c r="E39" i="15"/>
  <c r="H53" i="15"/>
  <c r="E70" i="15"/>
  <c r="L32" i="23"/>
  <c r="L31" i="23"/>
  <c r="E100" i="15"/>
  <c r="D104" i="15" s="1"/>
  <c r="C78" i="15"/>
  <c r="E9" i="15" s="1"/>
  <c r="F99" i="15"/>
  <c r="G99" i="15" s="1"/>
  <c r="C104" i="15"/>
  <c r="E22" i="15"/>
  <c r="E68" i="15"/>
  <c r="F22" i="15"/>
  <c r="F98" i="15"/>
  <c r="G98" i="15" s="1"/>
  <c r="E56" i="15" l="1"/>
  <c r="D60" i="15" s="1"/>
  <c r="H85" i="15"/>
  <c r="G86" i="15"/>
  <c r="D92" i="15" s="1"/>
  <c r="F84" i="15"/>
  <c r="F86" i="15" s="1"/>
  <c r="D91" i="15" s="1"/>
  <c r="E86" i="15"/>
  <c r="D90" i="15" s="1"/>
  <c r="G70" i="15"/>
  <c r="H70" i="15" s="1"/>
  <c r="H69" i="15"/>
  <c r="E20" i="15"/>
  <c r="F20" i="15" s="1"/>
  <c r="I20" i="15" s="1"/>
  <c r="F21" i="15"/>
  <c r="E21" i="15"/>
  <c r="E40" i="15"/>
  <c r="D44" i="15" s="1"/>
  <c r="F54" i="15"/>
  <c r="F56" i="15" s="1"/>
  <c r="D61" i="15" s="1"/>
  <c r="C23" i="15"/>
  <c r="E6" i="15" s="1"/>
  <c r="H39" i="15"/>
  <c r="I39" i="15" s="1"/>
  <c r="I38" i="15"/>
  <c r="D40" i="15"/>
  <c r="F7" i="15" s="1"/>
  <c r="E7" i="15"/>
  <c r="F40" i="15"/>
  <c r="D45" i="15" s="1"/>
  <c r="D21" i="15"/>
  <c r="D23" i="15" s="1"/>
  <c r="F6" i="15" s="1"/>
  <c r="I37" i="15"/>
  <c r="H22" i="15"/>
  <c r="H23" i="15" s="1"/>
  <c r="D30" i="15" s="1"/>
  <c r="F100" i="15"/>
  <c r="D105" i="15" s="1"/>
  <c r="D106" i="15" s="1"/>
  <c r="K34" i="23"/>
  <c r="L30" i="23"/>
  <c r="E71" i="15"/>
  <c r="D75" i="15" s="1"/>
  <c r="G100" i="15"/>
  <c r="G68" i="15"/>
  <c r="G71" i="15" s="1"/>
  <c r="D77" i="15" s="1"/>
  <c r="H55" i="15"/>
  <c r="C106" i="15"/>
  <c r="E23" i="15" l="1"/>
  <c r="D27" i="15" s="1"/>
  <c r="D93" i="15"/>
  <c r="F10" i="15" s="1"/>
  <c r="H84" i="15"/>
  <c r="H86" i="15" s="1"/>
  <c r="H40" i="15"/>
  <c r="D47" i="15" s="1"/>
  <c r="D48" i="15" s="1"/>
  <c r="E12" i="15"/>
  <c r="H54" i="15"/>
  <c r="H56" i="15" s="1"/>
  <c r="D63" i="15"/>
  <c r="F8" i="15" s="1"/>
  <c r="C27" i="15"/>
  <c r="C31" i="15" s="1"/>
  <c r="F23" i="15"/>
  <c r="D28" i="15" s="1"/>
  <c r="I40" i="15"/>
  <c r="G21" i="15"/>
  <c r="I22" i="15"/>
  <c r="L34" i="23"/>
  <c r="M30" i="23" s="1"/>
  <c r="H68" i="15"/>
  <c r="H71" i="15" s="1"/>
  <c r="D78" i="15"/>
  <c r="F9" i="15" s="1"/>
  <c r="F12" i="15" l="1"/>
  <c r="G23" i="15"/>
  <c r="D29" i="15" s="1"/>
  <c r="D31" i="15" s="1"/>
  <c r="I21" i="15"/>
  <c r="I23" i="15" s="1"/>
  <c r="M31" i="23"/>
  <c r="M32" i="23"/>
  <c r="I13" i="3"/>
  <c r="D18" i="33" s="1"/>
  <c r="I52" i="3"/>
  <c r="W21" i="23"/>
  <c r="G18" i="33" l="1"/>
  <c r="S4" i="23"/>
  <c r="D22" i="24"/>
  <c r="M19" i="23"/>
  <c r="S9" i="23" l="1"/>
  <c r="J51" i="24"/>
  <c r="J42" i="24"/>
  <c r="J34" i="24"/>
  <c r="F35" i="24" s="1"/>
  <c r="F39" i="24" s="1"/>
  <c r="F47" i="24" l="1"/>
  <c r="C35" i="24"/>
  <c r="C46" i="24" s="1"/>
  <c r="F46" i="24"/>
  <c r="F50" i="24"/>
  <c r="F48" i="24"/>
  <c r="F38" i="24"/>
  <c r="F41" i="24"/>
  <c r="F49" i="24"/>
  <c r="F40" i="24"/>
  <c r="C41" i="24"/>
  <c r="H35" i="24"/>
  <c r="C38" i="24"/>
  <c r="D35" i="24"/>
  <c r="J35" i="24" l="1"/>
  <c r="D46" i="24"/>
  <c r="D52" i="24" s="1"/>
  <c r="P26" i="16"/>
  <c r="P27" i="16" s="1"/>
  <c r="G33" i="3" s="1"/>
  <c r="C50" i="24"/>
  <c r="C40" i="24"/>
  <c r="H47" i="24"/>
  <c r="H39" i="24"/>
  <c r="C49" i="24"/>
  <c r="C47" i="24"/>
  <c r="C39" i="24"/>
  <c r="C42" i="24" s="1"/>
  <c r="D39" i="24"/>
  <c r="D47" i="24"/>
  <c r="C48" i="24"/>
  <c r="D49" i="24"/>
  <c r="D40" i="24"/>
  <c r="D41" i="24"/>
  <c r="D50" i="24"/>
  <c r="D48" i="24"/>
  <c r="D38" i="24"/>
  <c r="H41" i="24"/>
  <c r="H49" i="24"/>
  <c r="H40" i="24"/>
  <c r="H48" i="24"/>
  <c r="H38" i="24"/>
  <c r="H46" i="24"/>
  <c r="K46" i="24" s="1"/>
  <c r="H50" i="24"/>
  <c r="F42" i="24"/>
  <c r="F51" i="24"/>
  <c r="K50" i="24" l="1"/>
  <c r="C51" i="24"/>
  <c r="K48" i="24"/>
  <c r="K49" i="24"/>
  <c r="K51" i="24" s="1"/>
  <c r="H42" i="24"/>
  <c r="D42" i="24"/>
  <c r="H51" i="24"/>
  <c r="D51" i="24"/>
  <c r="S3" i="23"/>
  <c r="K25" i="23"/>
  <c r="C23" i="23"/>
  <c r="J8" i="24"/>
  <c r="D12" i="24"/>
  <c r="F12" i="24"/>
  <c r="H12" i="24"/>
  <c r="D13" i="24"/>
  <c r="F13" i="24"/>
  <c r="H13" i="24"/>
  <c r="D14" i="24"/>
  <c r="F14" i="24"/>
  <c r="H14" i="24"/>
  <c r="D15" i="24"/>
  <c r="F15" i="24"/>
  <c r="H15" i="24"/>
  <c r="F22" i="24"/>
  <c r="H22" i="24"/>
  <c r="L22" i="24"/>
  <c r="D23" i="24"/>
  <c r="F23" i="24"/>
  <c r="H23" i="24"/>
  <c r="D24" i="24"/>
  <c r="F24" i="24"/>
  <c r="H24" i="24"/>
  <c r="D25" i="24"/>
  <c r="F25" i="24"/>
  <c r="H25" i="24"/>
  <c r="D26" i="24"/>
  <c r="F26" i="24"/>
  <c r="H26" i="24"/>
  <c r="F16" i="24" l="1"/>
  <c r="H16" i="24"/>
  <c r="D16" i="24"/>
  <c r="D43" i="24" s="1"/>
  <c r="G32" i="3" s="1"/>
  <c r="I33" i="3" s="1"/>
  <c r="C39" i="29" s="1"/>
  <c r="D9" i="23"/>
  <c r="E9" i="23" s="1"/>
  <c r="C25" i="23"/>
  <c r="L25" i="23"/>
  <c r="K26" i="23" s="1"/>
  <c r="D20" i="23"/>
  <c r="J20" i="23" s="1"/>
  <c r="D21" i="23"/>
  <c r="E21" i="23" s="1"/>
  <c r="D22" i="23"/>
  <c r="J22" i="23" s="1"/>
  <c r="D14" i="23"/>
  <c r="I14" i="23" s="1"/>
  <c r="D13" i="23"/>
  <c r="E13" i="23" s="1"/>
  <c r="D16" i="23"/>
  <c r="E16" i="23" s="1"/>
  <c r="D17" i="23"/>
  <c r="G17" i="23" s="1"/>
  <c r="D15" i="23"/>
  <c r="G15" i="23" s="1"/>
  <c r="D10" i="23"/>
  <c r="J10" i="23" s="1"/>
  <c r="J13" i="23"/>
  <c r="D7" i="23"/>
  <c r="J7" i="23" s="1"/>
  <c r="J9" i="23"/>
  <c r="D12" i="23"/>
  <c r="D11" i="23"/>
  <c r="E11" i="23" s="1"/>
  <c r="F21" i="23"/>
  <c r="G21" i="23"/>
  <c r="H21" i="23"/>
  <c r="I21" i="23"/>
  <c r="J17" i="23"/>
  <c r="J14" i="23"/>
  <c r="D18" i="23"/>
  <c r="H18" i="23" s="1"/>
  <c r="D8" i="23"/>
  <c r="D19" i="23"/>
  <c r="E19" i="23" s="1"/>
  <c r="I9" i="23"/>
  <c r="H9" i="23"/>
  <c r="G9" i="23"/>
  <c r="F9" i="23"/>
  <c r="E20" i="23"/>
  <c r="G20" i="23"/>
  <c r="F20" i="23"/>
  <c r="H20" i="23"/>
  <c r="I20" i="23"/>
  <c r="D27" i="24"/>
  <c r="D53" i="24" s="1"/>
  <c r="G30" i="3" s="1"/>
  <c r="H37" i="29" s="1"/>
  <c r="F27" i="24"/>
  <c r="H27" i="24"/>
  <c r="E31" i="30" l="1"/>
  <c r="J37" i="29"/>
  <c r="E39" i="29"/>
  <c r="G39" i="29"/>
  <c r="E37" i="30" s="1"/>
  <c r="H37" i="30" s="1"/>
  <c r="G19" i="32" s="1"/>
  <c r="H19" i="32" s="1"/>
  <c r="H39" i="29"/>
  <c r="E38" i="30" s="1"/>
  <c r="G38" i="30" s="1"/>
  <c r="H38" i="30" s="1"/>
  <c r="I19" i="32" s="1"/>
  <c r="F39" i="29"/>
  <c r="E36" i="30" s="1"/>
  <c r="G36" i="30" s="1"/>
  <c r="H36" i="30" s="1"/>
  <c r="F19" i="32" s="1"/>
  <c r="F22" i="23"/>
  <c r="G16" i="23"/>
  <c r="K27" i="24"/>
  <c r="H15" i="23"/>
  <c r="E22" i="23"/>
  <c r="I13" i="23"/>
  <c r="I22" i="23"/>
  <c r="I15" i="23"/>
  <c r="H22" i="23"/>
  <c r="G14" i="23"/>
  <c r="C26" i="23"/>
  <c r="H13" i="23"/>
  <c r="G22" i="23"/>
  <c r="K22" i="23" s="1"/>
  <c r="H14" i="23"/>
  <c r="J11" i="23"/>
  <c r="F16" i="23"/>
  <c r="H16" i="23"/>
  <c r="H10" i="23"/>
  <c r="F13" i="23"/>
  <c r="H17" i="23"/>
  <c r="I17" i="23"/>
  <c r="F17" i="23"/>
  <c r="G13" i="23"/>
  <c r="F15" i="23"/>
  <c r="E17" i="23"/>
  <c r="K17" i="23" s="1"/>
  <c r="J21" i="23"/>
  <c r="K21" i="23" s="1"/>
  <c r="J18" i="23"/>
  <c r="I10" i="23"/>
  <c r="F7" i="23"/>
  <c r="F11" i="23"/>
  <c r="E15" i="23"/>
  <c r="J15" i="23"/>
  <c r="I7" i="23"/>
  <c r="E7" i="23"/>
  <c r="H7" i="23"/>
  <c r="I16" i="23"/>
  <c r="J16" i="23"/>
  <c r="F14" i="23"/>
  <c r="E14" i="23"/>
  <c r="F18" i="23"/>
  <c r="E18" i="23"/>
  <c r="G7" i="23"/>
  <c r="I18" i="23"/>
  <c r="G10" i="23"/>
  <c r="E10" i="23"/>
  <c r="F10" i="23"/>
  <c r="G18" i="23"/>
  <c r="E12" i="23"/>
  <c r="T23" i="23" s="1"/>
  <c r="H12" i="23"/>
  <c r="J12" i="23"/>
  <c r="G12" i="23"/>
  <c r="F12" i="23"/>
  <c r="I12" i="23"/>
  <c r="H8" i="23"/>
  <c r="J8" i="23"/>
  <c r="E8" i="23"/>
  <c r="F8" i="23"/>
  <c r="G8" i="23"/>
  <c r="I8" i="23"/>
  <c r="H11" i="23"/>
  <c r="G11" i="23"/>
  <c r="D23" i="23"/>
  <c r="G19" i="23"/>
  <c r="I19" i="23"/>
  <c r="J19" i="23"/>
  <c r="H19" i="23"/>
  <c r="F19" i="23"/>
  <c r="I11" i="23"/>
  <c r="K9" i="23"/>
  <c r="K20" i="23"/>
  <c r="E35" i="30" l="1"/>
  <c r="J39" i="29"/>
  <c r="J31" i="30"/>
  <c r="G31" i="30"/>
  <c r="H31" i="30" s="1"/>
  <c r="S11" i="23"/>
  <c r="G39" i="3"/>
  <c r="K13" i="23"/>
  <c r="L13" i="23" s="1"/>
  <c r="T24" i="23"/>
  <c r="K15" i="23"/>
  <c r="L15" i="23" s="1"/>
  <c r="K14" i="23"/>
  <c r="L14" i="23" s="1"/>
  <c r="K16" i="23"/>
  <c r="L16" i="23" s="1"/>
  <c r="K7" i="23"/>
  <c r="K18" i="23"/>
  <c r="L18" i="23" s="1"/>
  <c r="E23" i="23"/>
  <c r="I23" i="23"/>
  <c r="J23" i="23"/>
  <c r="F23" i="23"/>
  <c r="K10" i="23"/>
  <c r="H23" i="23"/>
  <c r="K19" i="23"/>
  <c r="G23" i="23"/>
  <c r="K11" i="23"/>
  <c r="L11" i="23" s="1"/>
  <c r="K8" i="23"/>
  <c r="K12" i="23"/>
  <c r="I17" i="32" l="1"/>
  <c r="D17" i="32" s="1"/>
  <c r="K31" i="30"/>
  <c r="G35" i="30"/>
  <c r="H35" i="30" s="1"/>
  <c r="J38" i="30"/>
  <c r="S12" i="23"/>
  <c r="G34" i="3"/>
  <c r="L12" i="23"/>
  <c r="L19" i="23" s="1"/>
  <c r="M20" i="23" s="1"/>
  <c r="K23" i="23"/>
  <c r="S8" i="23"/>
  <c r="F22" i="1"/>
  <c r="E19" i="32" l="1"/>
  <c r="D19" i="32" s="1"/>
  <c r="K38" i="30"/>
  <c r="M22" i="23"/>
  <c r="S10" i="23" s="1"/>
  <c r="M21" i="23"/>
  <c r="S5" i="23" s="1"/>
  <c r="S6" i="23" s="1"/>
  <c r="J18" i="1"/>
  <c r="T22" i="23" l="1"/>
  <c r="S13" i="23"/>
  <c r="J59" i="1"/>
  <c r="K59" i="1" s="1"/>
  <c r="J56" i="1"/>
  <c r="K56" i="1" s="1"/>
  <c r="J53" i="1"/>
  <c r="K53" i="1" s="1"/>
  <c r="F50" i="1"/>
  <c r="J50" i="1" s="1"/>
  <c r="K50" i="1" s="1"/>
  <c r="F47" i="1"/>
  <c r="J47" i="1" s="1"/>
  <c r="K47" i="1" s="1"/>
  <c r="F44" i="1"/>
  <c r="J44" i="1" s="1"/>
  <c r="K44" i="1" s="1"/>
  <c r="J41" i="1"/>
  <c r="K41" i="1" s="1"/>
  <c r="F38" i="1"/>
  <c r="J38" i="1" s="1"/>
  <c r="K38" i="1" s="1"/>
  <c r="H34" i="1"/>
  <c r="J34" i="1" s="1"/>
  <c r="F34" i="1"/>
  <c r="F31" i="1"/>
  <c r="F28" i="1"/>
  <c r="H22" i="1"/>
  <c r="J21" i="1"/>
  <c r="K21" i="1" s="1"/>
  <c r="F12" i="1"/>
  <c r="H12" i="1"/>
  <c r="D106" i="10"/>
  <c r="D105" i="10"/>
  <c r="D104" i="10"/>
  <c r="D107" i="10" s="1"/>
  <c r="G13" i="10" s="1"/>
  <c r="B107" i="10"/>
  <c r="F13" i="10" s="1"/>
  <c r="I10" i="3" l="1"/>
  <c r="T17" i="23"/>
  <c r="T18" i="23"/>
  <c r="T19" i="23"/>
  <c r="H35" i="1"/>
  <c r="K18" i="1"/>
  <c r="D80" i="10"/>
  <c r="D79" i="10"/>
  <c r="D81" i="10" s="1"/>
  <c r="F10" i="10" s="1"/>
  <c r="C80" i="10"/>
  <c r="C79" i="10"/>
  <c r="D67" i="10"/>
  <c r="D66" i="10"/>
  <c r="C67" i="10"/>
  <c r="C66" i="10"/>
  <c r="D40" i="10"/>
  <c r="D39" i="10"/>
  <c r="D38" i="10"/>
  <c r="C40" i="10"/>
  <c r="C39" i="10"/>
  <c r="C38" i="10"/>
  <c r="D22" i="10"/>
  <c r="D21" i="10"/>
  <c r="D20" i="10"/>
  <c r="D19" i="10"/>
  <c r="C22" i="10"/>
  <c r="C21" i="10"/>
  <c r="C20" i="10"/>
  <c r="C19" i="10"/>
  <c r="B99" i="10"/>
  <c r="B98" i="10"/>
  <c r="D94" i="10"/>
  <c r="F11" i="10" s="1"/>
  <c r="C94" i="10"/>
  <c r="C98" i="10" s="1"/>
  <c r="F91" i="10"/>
  <c r="E91" i="10"/>
  <c r="E93" i="10" s="1"/>
  <c r="B86" i="10"/>
  <c r="B85" i="10"/>
  <c r="F78" i="10"/>
  <c r="E78" i="10"/>
  <c r="H18" i="10"/>
  <c r="I48" i="3"/>
  <c r="I47" i="3"/>
  <c r="P19" i="5"/>
  <c r="M17" i="5"/>
  <c r="M16" i="5"/>
  <c r="M15" i="5"/>
  <c r="M14" i="5"/>
  <c r="M13" i="5"/>
  <c r="L15" i="5"/>
  <c r="L19" i="5" s="1"/>
  <c r="J15" i="5"/>
  <c r="H15" i="5"/>
  <c r="F15" i="5"/>
  <c r="D15" i="5"/>
  <c r="L14" i="5"/>
  <c r="J14" i="5"/>
  <c r="H14" i="5"/>
  <c r="F14" i="5"/>
  <c r="D14" i="5"/>
  <c r="L13" i="5"/>
  <c r="J13" i="5"/>
  <c r="H13" i="5"/>
  <c r="F13" i="5"/>
  <c r="D13" i="5"/>
  <c r="K19" i="5"/>
  <c r="E19" i="5"/>
  <c r="I19" i="5"/>
  <c r="M12" i="5"/>
  <c r="C81" i="10" l="1"/>
  <c r="E80" i="10"/>
  <c r="T20" i="23"/>
  <c r="C85" i="10"/>
  <c r="E10" i="10"/>
  <c r="F80" i="10"/>
  <c r="G80" i="10" s="1"/>
  <c r="E11" i="10"/>
  <c r="F93" i="10"/>
  <c r="G93" i="10"/>
  <c r="C100" i="10"/>
  <c r="F98" i="10"/>
  <c r="E92" i="10"/>
  <c r="F92" i="10" s="1"/>
  <c r="F94" i="10" s="1"/>
  <c r="D99" i="10" s="1"/>
  <c r="F99" i="10" s="1"/>
  <c r="C87" i="10"/>
  <c r="F85" i="10"/>
  <c r="E79" i="10"/>
  <c r="H19" i="5"/>
  <c r="J19" i="5"/>
  <c r="G19" i="5"/>
  <c r="D19" i="5"/>
  <c r="C19" i="5"/>
  <c r="G24" i="3" l="1"/>
  <c r="G20" i="3"/>
  <c r="T25" i="23"/>
  <c r="G92" i="10"/>
  <c r="G94" i="10" s="1"/>
  <c r="E94" i="10"/>
  <c r="D98" i="10" s="1"/>
  <c r="D100" i="10" s="1"/>
  <c r="F100" i="10"/>
  <c r="G11" i="10" s="1"/>
  <c r="E81" i="10"/>
  <c r="F79" i="10"/>
  <c r="F81" i="10" s="1"/>
  <c r="F19" i="5"/>
  <c r="M19" i="5"/>
  <c r="M22" i="5" s="1"/>
  <c r="M24" i="5" s="1"/>
  <c r="U23" i="23" l="1"/>
  <c r="V23" i="23" s="1"/>
  <c r="U22" i="23"/>
  <c r="V22" i="23" s="1"/>
  <c r="U24" i="23"/>
  <c r="V24" i="23" s="1"/>
  <c r="W24" i="23" s="1"/>
  <c r="U17" i="23"/>
  <c r="V17" i="23" s="1"/>
  <c r="W17" i="23" s="1"/>
  <c r="M19" i="16" s="1"/>
  <c r="U18" i="23"/>
  <c r="V18" i="23" s="1"/>
  <c r="W18" i="23" s="1"/>
  <c r="U19" i="23"/>
  <c r="V19" i="23" s="1"/>
  <c r="U20" i="23"/>
  <c r="D86" i="10"/>
  <c r="F86" i="10" s="1"/>
  <c r="F87" i="10" s="1"/>
  <c r="G10" i="10" s="1"/>
  <c r="D85" i="10"/>
  <c r="D87" i="10" s="1"/>
  <c r="G79" i="10"/>
  <c r="G81" i="10" s="1"/>
  <c r="C14" i="16"/>
  <c r="G23" i="3"/>
  <c r="V20" i="23" l="1"/>
  <c r="W19" i="23"/>
  <c r="G21" i="3"/>
  <c r="W22" i="23"/>
  <c r="G40" i="3"/>
  <c r="W23" i="23"/>
  <c r="M13" i="16" s="1"/>
  <c r="I53" i="3"/>
  <c r="F34" i="3"/>
  <c r="F31" i="3"/>
  <c r="M7" i="16" l="1"/>
  <c r="M6" i="16" s="1"/>
  <c r="M16" i="16" s="1"/>
  <c r="X22" i="23"/>
  <c r="H31" i="16" s="1"/>
  <c r="W20" i="23"/>
  <c r="W25" i="23" s="1"/>
  <c r="V25" i="23"/>
  <c r="G25" i="3"/>
  <c r="E26" i="16"/>
  <c r="G26" i="16" s="1"/>
  <c r="H26" i="16" s="1"/>
  <c r="E25" i="16"/>
  <c r="G25" i="16" s="1"/>
  <c r="H25" i="16" s="1"/>
  <c r="E24" i="16"/>
  <c r="E23" i="16"/>
  <c r="M10" i="16" l="1"/>
  <c r="E27" i="16"/>
  <c r="E28" i="16" s="1"/>
  <c r="I10" i="2"/>
  <c r="I42" i="2"/>
  <c r="I38" i="2"/>
  <c r="I33" i="2"/>
  <c r="J34" i="2"/>
  <c r="I23" i="2"/>
  <c r="J24" i="2"/>
  <c r="G24" i="16" l="1"/>
  <c r="H24" i="16" s="1"/>
  <c r="B73" i="10" l="1"/>
  <c r="B72" i="10"/>
  <c r="D68" i="10"/>
  <c r="C68" i="10"/>
  <c r="F65" i="10"/>
  <c r="E65" i="10"/>
  <c r="E67" i="10" s="1"/>
  <c r="H23" i="10"/>
  <c r="B60" i="10"/>
  <c r="B59" i="10"/>
  <c r="D55" i="10"/>
  <c r="C55" i="10"/>
  <c r="C59" i="10" s="1"/>
  <c r="C61" i="10" s="1"/>
  <c r="E53" i="10"/>
  <c r="F52" i="10"/>
  <c r="E52" i="10"/>
  <c r="E54" i="10" s="1"/>
  <c r="F54" i="10" s="1"/>
  <c r="J31" i="1"/>
  <c r="J28" i="1"/>
  <c r="J25" i="1"/>
  <c r="J22" i="1"/>
  <c r="K22" i="1" s="1"/>
  <c r="J15" i="1"/>
  <c r="K15" i="1" s="1"/>
  <c r="K31" i="1" l="1"/>
  <c r="C72" i="10"/>
  <c r="C74" i="10" s="1"/>
  <c r="E66" i="10"/>
  <c r="F66" i="10" s="1"/>
  <c r="G66" i="10" s="1"/>
  <c r="F67" i="10"/>
  <c r="K34" i="1"/>
  <c r="J35" i="1"/>
  <c r="K35" i="1" s="1"/>
  <c r="E68" i="10"/>
  <c r="F72" i="10"/>
  <c r="E8" i="10"/>
  <c r="F59" i="10"/>
  <c r="G53" i="10"/>
  <c r="K28" i="1"/>
  <c r="K25" i="1"/>
  <c r="D72" i="10" l="1"/>
  <c r="E9" i="10"/>
  <c r="F68" i="10"/>
  <c r="G67" i="10"/>
  <c r="G68" i="10" s="1"/>
  <c r="D73" i="10" l="1"/>
  <c r="F73" i="10" l="1"/>
  <c r="F74" i="10" s="1"/>
  <c r="D74" i="10"/>
  <c r="F9" i="10" l="1"/>
  <c r="G9" i="10"/>
  <c r="I14" i="3" l="1"/>
  <c r="D19" i="33" s="1"/>
  <c r="G19" i="33" l="1"/>
  <c r="D33" i="33"/>
  <c r="I35" i="3"/>
  <c r="C41" i="29" s="1"/>
  <c r="E40" i="30" s="1"/>
  <c r="I34" i="3"/>
  <c r="C40" i="29" s="1"/>
  <c r="I23" i="3"/>
  <c r="C33" i="29" s="1"/>
  <c r="I31" i="3"/>
  <c r="C38" i="29" s="1"/>
  <c r="H38" i="29" s="1"/>
  <c r="I36" i="3"/>
  <c r="H33" i="29" l="1"/>
  <c r="J33" i="29" s="1"/>
  <c r="E20" i="30"/>
  <c r="H40" i="29"/>
  <c r="J40" i="29" s="1"/>
  <c r="E39" i="30"/>
  <c r="J38" i="29"/>
  <c r="E33" i="30"/>
  <c r="J40" i="30"/>
  <c r="G40" i="30"/>
  <c r="H40" i="30" s="1"/>
  <c r="J40" i="2"/>
  <c r="J39" i="2"/>
  <c r="J29" i="2"/>
  <c r="J18" i="2"/>
  <c r="J11" i="2"/>
  <c r="J20" i="30" l="1"/>
  <c r="G20" i="30"/>
  <c r="H20" i="30" s="1"/>
  <c r="G21" i="32"/>
  <c r="D21" i="32" s="1"/>
  <c r="K40" i="30"/>
  <c r="J33" i="30"/>
  <c r="G33" i="30"/>
  <c r="H33" i="30" s="1"/>
  <c r="J39" i="30"/>
  <c r="G39" i="30"/>
  <c r="H39" i="30" s="1"/>
  <c r="M12" i="16"/>
  <c r="G23" i="16"/>
  <c r="H23" i="16" s="1"/>
  <c r="M14" i="16" l="1"/>
  <c r="G41" i="3" s="1"/>
  <c r="I41" i="3" s="1"/>
  <c r="C50" i="29" s="1"/>
  <c r="C51" i="29"/>
  <c r="K39" i="30"/>
  <c r="I20" i="32"/>
  <c r="D20" i="32" s="1"/>
  <c r="I14" i="32"/>
  <c r="D14" i="32" s="1"/>
  <c r="K20" i="30"/>
  <c r="K33" i="30"/>
  <c r="I18" i="32"/>
  <c r="D18" i="32" s="1"/>
  <c r="M18" i="16"/>
  <c r="M20" i="16" s="1"/>
  <c r="G27" i="3" s="1"/>
  <c r="M8" i="16"/>
  <c r="G22" i="3" s="1"/>
  <c r="H27" i="16"/>
  <c r="H28" i="16" s="1"/>
  <c r="H30" i="16" s="1"/>
  <c r="H32" i="16" s="1"/>
  <c r="G26" i="3" s="1"/>
  <c r="B47" i="10"/>
  <c r="B46" i="10"/>
  <c r="B45" i="10"/>
  <c r="E38" i="10"/>
  <c r="H38" i="10" s="1"/>
  <c r="G37" i="10"/>
  <c r="F37" i="10"/>
  <c r="E37" i="10"/>
  <c r="I18" i="10"/>
  <c r="G18" i="10"/>
  <c r="G22" i="10" s="1"/>
  <c r="F37" i="3"/>
  <c r="C52" i="29" l="1"/>
  <c r="C42" i="29" s="1"/>
  <c r="I22" i="3"/>
  <c r="C32" i="29" s="1"/>
  <c r="I27" i="3"/>
  <c r="C34" i="29" s="1"/>
  <c r="E39" i="10"/>
  <c r="F40" i="10"/>
  <c r="E40" i="10"/>
  <c r="D41" i="10"/>
  <c r="C41" i="10"/>
  <c r="H42" i="29" l="1"/>
  <c r="J42" i="29" s="1"/>
  <c r="E41" i="30"/>
  <c r="H34" i="29"/>
  <c r="E19" i="30" s="1"/>
  <c r="G19" i="30" s="1"/>
  <c r="H19" i="30" s="1"/>
  <c r="I13" i="32" s="1"/>
  <c r="G34" i="29"/>
  <c r="E18" i="30" s="1"/>
  <c r="G18" i="30" s="1"/>
  <c r="H18" i="30" s="1"/>
  <c r="G13" i="32" s="1"/>
  <c r="H13" i="32" s="1"/>
  <c r="E34" i="29"/>
  <c r="F34" i="29"/>
  <c r="E17" i="30" s="1"/>
  <c r="G17" i="30" s="1"/>
  <c r="H17" i="30" s="1"/>
  <c r="D34" i="29"/>
  <c r="H32" i="29"/>
  <c r="E32" i="29"/>
  <c r="D32" i="29"/>
  <c r="F32" i="29"/>
  <c r="G32" i="29"/>
  <c r="G40" i="10"/>
  <c r="F55" i="10"/>
  <c r="D60" i="10" s="1"/>
  <c r="F60" i="10" s="1"/>
  <c r="E55" i="10"/>
  <c r="D59" i="10" s="1"/>
  <c r="F7" i="10"/>
  <c r="C45" i="10"/>
  <c r="F45" i="10" s="1"/>
  <c r="E7" i="10"/>
  <c r="E43" i="29" l="1"/>
  <c r="G41" i="30"/>
  <c r="H41" i="30" s="1"/>
  <c r="J41" i="30"/>
  <c r="F43" i="29"/>
  <c r="E12" i="30"/>
  <c r="G12" i="30" s="1"/>
  <c r="H12" i="30" s="1"/>
  <c r="E11" i="30"/>
  <c r="D43" i="29"/>
  <c r="J32" i="29"/>
  <c r="E16" i="30"/>
  <c r="J34" i="29"/>
  <c r="E14" i="30"/>
  <c r="G14" i="30" s="1"/>
  <c r="H14" i="30" s="1"/>
  <c r="I12" i="32" s="1"/>
  <c r="H43" i="29"/>
  <c r="G43" i="29"/>
  <c r="E13" i="30"/>
  <c r="G13" i="30" s="1"/>
  <c r="H13" i="30" s="1"/>
  <c r="F61" i="10"/>
  <c r="G8" i="10" s="1"/>
  <c r="D61" i="10"/>
  <c r="F8" i="10" s="1"/>
  <c r="G54" i="10"/>
  <c r="C48" i="10"/>
  <c r="I30" i="3"/>
  <c r="C37" i="29" s="1"/>
  <c r="K41" i="30" l="1"/>
  <c r="I22" i="32"/>
  <c r="D22" i="32" s="1"/>
  <c r="J43" i="29"/>
  <c r="J19" i="30"/>
  <c r="G16" i="30"/>
  <c r="H16" i="30" s="1"/>
  <c r="G12" i="32"/>
  <c r="G25" i="32" s="1"/>
  <c r="I43" i="29"/>
  <c r="J14" i="30"/>
  <c r="E43" i="30"/>
  <c r="E58" i="30" s="1"/>
  <c r="G11" i="30"/>
  <c r="G43" i="30" s="1"/>
  <c r="G55" i="10"/>
  <c r="H12" i="32" l="1"/>
  <c r="H25" i="32" s="1"/>
  <c r="I25" i="32"/>
  <c r="D26" i="32" s="1"/>
  <c r="H11" i="30"/>
  <c r="E12" i="32" s="1"/>
  <c r="F12" i="32" s="1"/>
  <c r="H43" i="30"/>
  <c r="G58" i="30"/>
  <c r="K19" i="30"/>
  <c r="E13" i="32"/>
  <c r="F13" i="32" s="1"/>
  <c r="D13" i="32" s="1"/>
  <c r="J43" i="30"/>
  <c r="J58" i="30" s="1"/>
  <c r="H61" i="1"/>
  <c r="K14" i="30" l="1"/>
  <c r="J44" i="30"/>
  <c r="K43" i="30"/>
  <c r="G62" i="30"/>
  <c r="L43" i="2" s="1"/>
  <c r="F25" i="32"/>
  <c r="M50" i="30"/>
  <c r="M56" i="30" s="1"/>
  <c r="H58" i="30"/>
  <c r="D32" i="33" s="1"/>
  <c r="D34" i="33" s="1"/>
  <c r="K58" i="30"/>
  <c r="E25" i="32"/>
  <c r="D12" i="32"/>
  <c r="D25" i="32" s="1"/>
  <c r="D27" i="32" s="1"/>
  <c r="E19" i="10"/>
  <c r="G23" i="10"/>
  <c r="B30" i="10"/>
  <c r="G29" i="32" l="1"/>
  <c r="G31" i="32" s="1"/>
  <c r="G33" i="32" s="1"/>
  <c r="G12" i="33" s="1"/>
  <c r="H29" i="32"/>
  <c r="H31" i="32" s="1"/>
  <c r="H33" i="32" s="1"/>
  <c r="H12" i="33" s="1"/>
  <c r="K25" i="32"/>
  <c r="E29" i="32"/>
  <c r="F29" i="32"/>
  <c r="F31" i="32" s="1"/>
  <c r="F33" i="32" s="1"/>
  <c r="F12" i="33" s="1"/>
  <c r="J60" i="30"/>
  <c r="J12" i="1"/>
  <c r="J61" i="1" s="1"/>
  <c r="E18" i="10"/>
  <c r="E22" i="10" s="1"/>
  <c r="F18" i="10"/>
  <c r="B28" i="10"/>
  <c r="B29" i="10"/>
  <c r="B32" i="10"/>
  <c r="C24" i="10"/>
  <c r="F42" i="3"/>
  <c r="F16" i="3"/>
  <c r="D15" i="16"/>
  <c r="D12" i="16"/>
  <c r="I15" i="3"/>
  <c r="F14" i="33" l="1"/>
  <c r="D29" i="32"/>
  <c r="E31" i="32"/>
  <c r="G28" i="33"/>
  <c r="G27" i="33" s="1"/>
  <c r="F22" i="10"/>
  <c r="F21" i="10"/>
  <c r="H22" i="10"/>
  <c r="H24" i="10" s="1"/>
  <c r="C28" i="10"/>
  <c r="F28" i="10" s="1"/>
  <c r="E6" i="10"/>
  <c r="I50" i="3"/>
  <c r="E20" i="10"/>
  <c r="F20" i="10" s="1"/>
  <c r="E21" i="10"/>
  <c r="E23" i="10"/>
  <c r="E15" i="16"/>
  <c r="E17" i="16" s="1"/>
  <c r="C16" i="16"/>
  <c r="D24" i="10"/>
  <c r="K12" i="1"/>
  <c r="K61" i="1" s="1"/>
  <c r="G38" i="3" s="1"/>
  <c r="F23" i="10"/>
  <c r="J19" i="10"/>
  <c r="F43" i="3"/>
  <c r="E33" i="32" l="1"/>
  <c r="D31" i="32"/>
  <c r="D33" i="32" s="1"/>
  <c r="K31" i="32"/>
  <c r="G13" i="33"/>
  <c r="H27" i="33"/>
  <c r="H13" i="33" s="1"/>
  <c r="H14" i="33" s="1"/>
  <c r="E12" i="10"/>
  <c r="D31" i="10"/>
  <c r="F31" i="10" s="1"/>
  <c r="I23" i="10"/>
  <c r="I24" i="10" s="1"/>
  <c r="J22" i="10"/>
  <c r="I28" i="3"/>
  <c r="C35" i="29" s="1"/>
  <c r="C43" i="29" s="1"/>
  <c r="G21" i="10"/>
  <c r="G24" i="10" s="1"/>
  <c r="C33" i="10"/>
  <c r="F6" i="10"/>
  <c r="G41" i="10"/>
  <c r="F39" i="10"/>
  <c r="F41" i="10" s="1"/>
  <c r="E41" i="10"/>
  <c r="F24" i="10"/>
  <c r="J20" i="10"/>
  <c r="E24" i="10"/>
  <c r="J27" i="33" l="1"/>
  <c r="K13" i="33"/>
  <c r="K17" i="33" s="1"/>
  <c r="G14" i="33"/>
  <c r="J30" i="33" s="1"/>
  <c r="E12" i="33"/>
  <c r="K33" i="32"/>
  <c r="F12" i="10"/>
  <c r="D45" i="10"/>
  <c r="D47" i="10"/>
  <c r="F47" i="10" s="1"/>
  <c r="D46" i="10"/>
  <c r="F46" i="10" s="1"/>
  <c r="D32" i="10"/>
  <c r="F32" i="10" s="1"/>
  <c r="D30" i="10"/>
  <c r="F30" i="10" s="1"/>
  <c r="D29" i="10"/>
  <c r="F29" i="10" s="1"/>
  <c r="F33" i="10" s="1"/>
  <c r="D28" i="10"/>
  <c r="F48" i="10"/>
  <c r="G7" i="10" s="1"/>
  <c r="H40" i="10"/>
  <c r="H39" i="10"/>
  <c r="I38" i="3"/>
  <c r="C44" i="29" s="1"/>
  <c r="C45" i="29" s="1"/>
  <c r="J23" i="10"/>
  <c r="J21" i="10"/>
  <c r="E14" i="33" l="1"/>
  <c r="D12" i="33"/>
  <c r="E15" i="33" s="1"/>
  <c r="E20" i="33" s="1"/>
  <c r="E22" i="33" s="1"/>
  <c r="K12" i="33"/>
  <c r="D33" i="10"/>
  <c r="D48" i="10"/>
  <c r="H41" i="10"/>
  <c r="G6" i="10"/>
  <c r="G12" i="10" s="1"/>
  <c r="J24" i="10"/>
  <c r="I37" i="3"/>
  <c r="I42" i="3" s="1"/>
  <c r="D17" i="34" l="1"/>
  <c r="D14" i="33"/>
  <c r="D22" i="33" s="1"/>
  <c r="H15" i="33"/>
  <c r="H20" i="33" s="1"/>
  <c r="H22" i="33" s="1"/>
  <c r="E33" i="34" s="1"/>
  <c r="E35" i="34" s="1"/>
  <c r="F15" i="33"/>
  <c r="G15" i="33"/>
  <c r="G20" i="33" s="1"/>
  <c r="G22" i="33" s="1"/>
  <c r="J14" i="33"/>
  <c r="K14" i="33"/>
  <c r="I9" i="3"/>
  <c r="G9" i="3" s="1"/>
  <c r="G14" i="10"/>
  <c r="I46" i="3"/>
  <c r="I49" i="3" s="1"/>
  <c r="I54" i="3" s="1"/>
  <c r="F20" i="33" l="1"/>
  <c r="F22" i="33"/>
  <c r="F43" i="34"/>
  <c r="F42" i="34"/>
  <c r="F44" i="34"/>
  <c r="F39" i="34"/>
  <c r="F40" i="34"/>
  <c r="F41" i="34"/>
  <c r="D33" i="34"/>
  <c r="J29" i="33"/>
  <c r="G17" i="34"/>
  <c r="F17" i="34"/>
  <c r="E17" i="34"/>
  <c r="I55" i="3"/>
  <c r="I56" i="3" s="1"/>
  <c r="G10" i="3"/>
  <c r="I16" i="3"/>
  <c r="I43" i="3" s="1"/>
  <c r="D35" i="34" l="1"/>
  <c r="J33" i="34"/>
  <c r="I17" i="34"/>
  <c r="I57" i="3"/>
  <c r="D18" i="34"/>
  <c r="J22" i="33"/>
  <c r="K22" i="33"/>
  <c r="E18" i="34" l="1"/>
  <c r="G18" i="34"/>
  <c r="G19" i="34" s="1"/>
  <c r="G23" i="34" s="1"/>
  <c r="G25" i="34" s="1"/>
  <c r="F18" i="34"/>
  <c r="F19" i="34" s="1"/>
  <c r="F23" i="34" s="1"/>
  <c r="F25" i="34" s="1"/>
  <c r="D19" i="34"/>
  <c r="D40" i="34"/>
  <c r="G40" i="34" s="1"/>
  <c r="D44" i="34"/>
  <c r="G44" i="34" s="1"/>
  <c r="D43" i="34"/>
  <c r="G43" i="34" s="1"/>
  <c r="D41" i="34"/>
  <c r="G41" i="34" s="1"/>
  <c r="D39" i="34"/>
  <c r="G39" i="34" s="1"/>
  <c r="D42" i="34"/>
  <c r="G42" i="34" s="1"/>
  <c r="C110" i="15"/>
  <c r="C112" i="15" s="1"/>
  <c r="D112" i="15" s="1"/>
  <c r="J34" i="34" l="1"/>
  <c r="L42" i="34"/>
  <c r="L39" i="34"/>
  <c r="L41" i="34"/>
  <c r="L43" i="34"/>
  <c r="L44" i="34"/>
  <c r="L40" i="34"/>
  <c r="L30" i="2"/>
  <c r="L20" i="2"/>
  <c r="L13" i="2"/>
  <c r="L35" i="2"/>
  <c r="L25" i="2"/>
  <c r="L21" i="2"/>
  <c r="L14" i="2"/>
  <c r="I18" i="34"/>
  <c r="E19" i="34"/>
  <c r="C111" i="15"/>
  <c r="D111" i="15" s="1"/>
  <c r="D110" i="15"/>
  <c r="E61" i="15" l="1"/>
  <c r="F61" i="15" s="1"/>
  <c r="E76" i="15"/>
  <c r="F76" i="15" s="1"/>
  <c r="E47" i="15"/>
  <c r="F47" i="15" s="1"/>
  <c r="E91" i="15"/>
  <c r="F91" i="15" s="1"/>
  <c r="E46" i="15"/>
  <c r="F46" i="15" s="1"/>
  <c r="D113" i="15"/>
  <c r="G13" i="15" s="1"/>
  <c r="E29" i="15"/>
  <c r="F29" i="15" s="1"/>
  <c r="L45" i="34"/>
  <c r="E23" i="34"/>
  <c r="E25" i="34" s="1"/>
  <c r="I19" i="34"/>
  <c r="L31" i="2"/>
  <c r="L36" i="2"/>
  <c r="L26" i="2"/>
  <c r="L40" i="2"/>
  <c r="E30" i="15"/>
  <c r="F30" i="15" s="1"/>
  <c r="L34" i="2" l="1"/>
  <c r="L39" i="2"/>
  <c r="L29" i="2"/>
  <c r="E62" i="15"/>
  <c r="F62" i="15" s="1"/>
  <c r="E77" i="15"/>
  <c r="F77" i="15" s="1"/>
  <c r="E92" i="15"/>
  <c r="F92" i="15" s="1"/>
  <c r="E105" i="15"/>
  <c r="F105" i="15" s="1"/>
  <c r="L12" i="2"/>
  <c r="L19" i="2"/>
  <c r="L11" i="2"/>
  <c r="L18" i="2"/>
  <c r="L24" i="2"/>
  <c r="S12" i="2" l="1"/>
  <c r="T12" i="2" s="1"/>
  <c r="U12" i="2" s="1"/>
  <c r="S13" i="2"/>
  <c r="T13" i="2" s="1"/>
  <c r="U13" i="2" s="1"/>
  <c r="S11" i="2"/>
  <c r="T11" i="2" s="1"/>
  <c r="U11" i="2" s="1"/>
  <c r="S14" i="2"/>
  <c r="T14" i="2" s="1"/>
  <c r="U14" i="2" s="1"/>
  <c r="S15" i="2"/>
  <c r="T15" i="2" s="1"/>
  <c r="U15" i="2" s="1"/>
  <c r="S16" i="2"/>
  <c r="T16" i="2" s="1"/>
  <c r="U16" i="2" s="1"/>
  <c r="E90" i="15"/>
  <c r="F90" i="15" s="1"/>
  <c r="F93" i="15" s="1"/>
  <c r="G10" i="15" s="1"/>
  <c r="E27" i="15"/>
  <c r="F27" i="15" s="1"/>
  <c r="E28" i="15"/>
  <c r="F28" i="15" s="1"/>
  <c r="E75" i="15"/>
  <c r="F75" i="15" s="1"/>
  <c r="F78" i="15" s="1"/>
  <c r="G9" i="15" s="1"/>
  <c r="E60" i="15"/>
  <c r="F60" i="15" s="1"/>
  <c r="F63" i="15" s="1"/>
  <c r="G8" i="15" s="1"/>
  <c r="E44" i="15"/>
  <c r="F44" i="15" s="1"/>
  <c r="E45" i="15"/>
  <c r="F45" i="15" s="1"/>
  <c r="E104" i="15"/>
  <c r="F104" i="15" s="1"/>
  <c r="F106" i="15" s="1"/>
  <c r="G11" i="15" s="1"/>
  <c r="F31" i="15" l="1"/>
  <c r="G6" i="15" s="1"/>
  <c r="F48" i="15"/>
  <c r="G7" i="15" s="1"/>
  <c r="G12" i="15" l="1"/>
  <c r="G1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  <author>AlanV</author>
  </authors>
  <commentList>
    <comment ref="M6" authorId="0" shapeId="0" xr:uid="{3CB3E936-880A-4709-A978-2BFB5F9860E4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3% across the board wage increase Feb '21</t>
        </r>
      </text>
    </comment>
    <comment ref="M16" authorId="0" shapeId="0" xr:uid="{A4223D7D-3C60-4321-A1AE-E92DF440C5DE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95.59% of payroll subject to CERS benefits</t>
        </r>
      </text>
    </comment>
    <comment ref="M17" authorId="0" shapeId="0" xr:uid="{1E910838-C337-43DD-BFCF-0FBE4A63D67C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new rate effective 7/1/21, per KPPA web site</t>
        </r>
      </text>
    </comment>
    <comment ref="O18" authorId="1" shapeId="0" xr:uid="{8225B732-E8E7-4697-8DA0-C806AD189402}">
      <text>
        <r>
          <rPr>
            <b/>
            <sz val="9"/>
            <color indexed="81"/>
            <rFont val="Tahoma"/>
            <family val="2"/>
          </rPr>
          <t>AlanV:</t>
        </r>
        <r>
          <rPr>
            <sz val="9"/>
            <color indexed="81"/>
            <rFont val="Tahoma"/>
            <family val="2"/>
          </rPr>
          <t xml:space="preserve">
Expenses are from trial balances for respective year.
</t>
        </r>
      </text>
    </comment>
    <comment ref="O23" authorId="1" shapeId="0" xr:uid="{F129ADE9-A917-4C4B-A406-CCD873A48124}">
      <text>
        <r>
          <rPr>
            <b/>
            <sz val="9"/>
            <color indexed="81"/>
            <rFont val="Tahoma"/>
            <family val="2"/>
          </rPr>
          <t>AlanV:</t>
        </r>
        <r>
          <rPr>
            <sz val="9"/>
            <color indexed="81"/>
            <rFont val="Tahoma"/>
            <family val="2"/>
          </rPr>
          <t xml:space="preserve">
Fuel expenses provided by Dewayne Lewis</t>
        </r>
      </text>
    </comment>
    <comment ref="P26" authorId="1" shapeId="0" xr:uid="{08983B34-6041-4ADA-83B2-19700897EFC9}">
      <text>
        <r>
          <rPr>
            <b/>
            <sz val="9"/>
            <color indexed="81"/>
            <rFont val="Tahoma"/>
            <family val="2"/>
          </rPr>
          <t>AlanV:</t>
        </r>
        <r>
          <rPr>
            <sz val="9"/>
            <color indexed="81"/>
            <rFont val="Tahoma"/>
            <family val="2"/>
          </rPr>
          <t xml:space="preserve">
From Tk-Office allocation sheet
</t>
        </r>
      </text>
    </comment>
    <comment ref="D46" authorId="0" shapeId="0" xr:uid="{807BC59E-BC40-49FA-91C9-DA84E64C450A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from Purch Water 2020 spreadsheet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F50" authorId="0" shapeId="0" xr:uid="{B4380E49-A944-459D-AFD9-BC2E4A94E6C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Swr allocation deducted from T&amp; 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T18" authorId="0" shapeId="0" xr:uid="{9A618054-D91B-4709-93D8-9F2A07BEEF9D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ded 1807 to balance with total reported
</t>
        </r>
      </text>
    </comment>
    <comment ref="C29" authorId="0" shapeId="0" xr:uid="{A687BBD9-5190-4DF5-A31C-3DF122ACF73E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From 11/10/21 email from Dewayne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L20" authorId="0" shapeId="0" xr:uid="{D84648FD-A51E-4397-A8EB-B53BE51912E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468,533 not = 473,783
not explained but immaterial</t>
        </r>
      </text>
    </comment>
    <comment ref="D22" authorId="0" shapeId="0" xr:uid="{66804327-B733-4CE6-938F-E4BC9D79BE21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added audit adjmt</t>
        </r>
      </text>
    </comment>
    <comment ref="D46" authorId="0" shapeId="0" xr:uid="{47379137-E877-4B10-9EF1-60AE524C0BB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added audit adjustment
</t>
        </r>
      </text>
    </comment>
  </commentList>
</comments>
</file>

<file path=xl/sharedStrings.xml><?xml version="1.0" encoding="utf-8"?>
<sst xmlns="http://schemas.openxmlformats.org/spreadsheetml/2006/main" count="1278" uniqueCount="601">
  <si>
    <t>Table B</t>
  </si>
  <si>
    <t>DEPRECIATION EXPENSE ADJUSTMENTS</t>
  </si>
  <si>
    <t>TOTALS</t>
  </si>
  <si>
    <t>Date in</t>
  </si>
  <si>
    <t>Service</t>
  </si>
  <si>
    <t>various</t>
  </si>
  <si>
    <t>Original</t>
  </si>
  <si>
    <t>Life</t>
  </si>
  <si>
    <t>Depr. Exp.</t>
  </si>
  <si>
    <t>Adjustment</t>
  </si>
  <si>
    <t>Operating Revenues</t>
  </si>
  <si>
    <t>Total Operating Revenues</t>
  </si>
  <si>
    <t>Operating Expenses</t>
  </si>
  <si>
    <t>Total Operating Expenses</t>
  </si>
  <si>
    <t>Pro Forma Operating Expenses</t>
  </si>
  <si>
    <t>Required Revenue Increase</t>
  </si>
  <si>
    <t>Percent Increase</t>
  </si>
  <si>
    <t>Operation and Maintenance</t>
  </si>
  <si>
    <t>Total Operation and Mnt. Expenses</t>
  </si>
  <si>
    <t>Depreciation Expense</t>
  </si>
  <si>
    <t>Taxes Other Than Income</t>
  </si>
  <si>
    <t>Salaries and Wages - Employees</t>
  </si>
  <si>
    <t>Salaries and Wages - Officers</t>
  </si>
  <si>
    <t>Employee Pensions and Benefits</t>
  </si>
  <si>
    <t>Purchased Power</t>
  </si>
  <si>
    <t>Contractual Services</t>
  </si>
  <si>
    <t>Miscellaneous Expenses</t>
  </si>
  <si>
    <t>Additional Working Capital</t>
  </si>
  <si>
    <t>Adjustments</t>
  </si>
  <si>
    <t>SCHEDULE OF ADJUSTED OPERATIONS</t>
  </si>
  <si>
    <t>Transportation Expenses</t>
  </si>
  <si>
    <t>Net Utility Operating Income</t>
  </si>
  <si>
    <t>Total Revenue Requirement</t>
  </si>
  <si>
    <t>Revenue from Sales at Present Rates</t>
  </si>
  <si>
    <t>Forfeited Discounts</t>
  </si>
  <si>
    <t>Misc. Service Revenues</t>
  </si>
  <si>
    <t>Other Water Revenues:</t>
  </si>
  <si>
    <t>Depreciation</t>
  </si>
  <si>
    <t>Expense</t>
  </si>
  <si>
    <t>DEBT SERVICE SCHDULE</t>
  </si>
  <si>
    <t>Principal</t>
  </si>
  <si>
    <t>Interest</t>
  </si>
  <si>
    <t>Totals</t>
  </si>
  <si>
    <t>REVENUE REQUIREMENTS</t>
  </si>
  <si>
    <t>Table A</t>
  </si>
  <si>
    <t>Ref.</t>
  </si>
  <si>
    <t>Revenue</t>
  </si>
  <si>
    <t>Avg. Annual Principal and Interest Payments</t>
  </si>
  <si>
    <t>Gallons Sold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</si>
  <si>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</si>
  <si>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</si>
  <si>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</si>
  <si>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</si>
  <si>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</si>
  <si>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</si>
  <si>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</si>
  <si>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</si>
  <si>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</si>
  <si>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Reported</t>
  </si>
  <si>
    <t>Interest Income</t>
  </si>
  <si>
    <t>Water Loss Adjustment:</t>
  </si>
  <si>
    <t>Produced &amp; Purchased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</si>
  <si>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</si>
  <si>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</si>
  <si>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</si>
  <si>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</si>
  <si>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</si>
  <si>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</t>
  </si>
  <si>
    <t>Line Brks.</t>
  </si>
  <si>
    <t>Line Leaks</t>
  </si>
  <si>
    <t xml:space="preserve">  water loss percentage</t>
  </si>
  <si>
    <t>check</t>
  </si>
  <si>
    <t xml:space="preserve">  allowable in rates</t>
  </si>
  <si>
    <t>Materials and Supplies</t>
  </si>
  <si>
    <t>NEXT</t>
  </si>
  <si>
    <t>First</t>
  </si>
  <si>
    <t>Next</t>
  </si>
  <si>
    <t>Over</t>
  </si>
  <si>
    <t>No. of Bills</t>
  </si>
  <si>
    <t>gallons</t>
  </si>
  <si>
    <t>Minimum Bill</t>
  </si>
  <si>
    <t>per 1,000 gallons</t>
  </si>
  <si>
    <t>Gallons</t>
  </si>
  <si>
    <t>Bill</t>
  </si>
  <si>
    <t>CURRENT RATE SCHEDULE</t>
  </si>
  <si>
    <t>CURRENT AND PROPOSED RATES</t>
  </si>
  <si>
    <t>Pro Forma</t>
  </si>
  <si>
    <t>Test Year</t>
  </si>
  <si>
    <t xml:space="preserve">  SUMMARY  </t>
  </si>
  <si>
    <t xml:space="preserve"> Health Ins. ded</t>
  </si>
  <si>
    <t>Cost *</t>
  </si>
  <si>
    <t>Health Insurance Adjustment</t>
  </si>
  <si>
    <t xml:space="preserve">   Plus:</t>
  </si>
  <si>
    <t xml:space="preserve">   Less: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</si>
  <si>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</si>
  <si>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</si>
  <si>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</si>
  <si>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</si>
  <si>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</si>
  <si>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</si>
  <si>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</si>
  <si>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</si>
  <si>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</si>
  <si>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</si>
  <si>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Revenue Required From Water Sales</t>
  </si>
  <si>
    <t>Table D</t>
  </si>
  <si>
    <t>5/8" x 3/4" METERS</t>
  </si>
  <si>
    <t>1" METERS</t>
  </si>
  <si>
    <t>2" METERS</t>
  </si>
  <si>
    <t xml:space="preserve">     5/8" X 3/4" Meters</t>
  </si>
  <si>
    <t xml:space="preserve">     1" Meters</t>
  </si>
  <si>
    <t xml:space="preserve">     2" Meters</t>
  </si>
  <si>
    <t>Dist. Contrib</t>
  </si>
  <si>
    <t>BLS avg.</t>
  </si>
  <si>
    <t>Empl. rate</t>
  </si>
  <si>
    <t>Premium</t>
  </si>
  <si>
    <t>Adj'mt.</t>
  </si>
  <si>
    <t>at 100% *</t>
  </si>
  <si>
    <t>Allowable monthly prem.</t>
  </si>
  <si>
    <t>Allowable annual prem.</t>
  </si>
  <si>
    <t>Less prem. pd. in test yr.</t>
  </si>
  <si>
    <t>5/8" x 3/4" Meters</t>
  </si>
  <si>
    <t>1" Meters</t>
  </si>
  <si>
    <t>2" Meters</t>
  </si>
  <si>
    <t>Pro Forma Salaries &amp; Wages Expense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</si>
  <si>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</si>
  <si>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</si>
  <si>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</si>
  <si>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</si>
  <si>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</si>
  <si>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</si>
  <si>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Total Pro Forma Pension Contribution</t>
  </si>
  <si>
    <t>Less: Test Year Pension Contribution</t>
  </si>
  <si>
    <t>Pension &amp; Benefits Adjustments</t>
  </si>
  <si>
    <t>Times: Percent Pension Contribution</t>
  </si>
  <si>
    <t>Wages applicable to CERS payments</t>
  </si>
  <si>
    <t>Salaries &amp; Wages and Associated Adjustments</t>
  </si>
  <si>
    <t xml:space="preserve"> GASB Liability</t>
  </si>
  <si>
    <t>Pro Forma Salaries &amp; Wages Adj'mt</t>
  </si>
  <si>
    <t>D</t>
  </si>
  <si>
    <t>L</t>
  </si>
  <si>
    <t>M</t>
  </si>
  <si>
    <t>Table C</t>
  </si>
  <si>
    <t>Percent</t>
  </si>
  <si>
    <t>Meter Size</t>
  </si>
  <si>
    <t>Proposed</t>
  </si>
  <si>
    <t>Bad Debt</t>
  </si>
  <si>
    <t>CY 2022 - 2026</t>
  </si>
  <si>
    <t>Other Water Revenues</t>
  </si>
  <si>
    <t>varies</t>
  </si>
  <si>
    <t>Meter Installations</t>
  </si>
  <si>
    <t>Asset Description</t>
  </si>
  <si>
    <t>1-1/2" METERS</t>
  </si>
  <si>
    <t xml:space="preserve">     1-1/2" Meters</t>
  </si>
  <si>
    <t xml:space="preserve"> Additional Late Fees</t>
  </si>
  <si>
    <t>Health (emp)</t>
  </si>
  <si>
    <t>Health (fam)</t>
  </si>
  <si>
    <t>CURRENT BILLING ANALYSIS - 2020 USAGE &amp; EXISTING RATES</t>
  </si>
  <si>
    <t>1-1/2" Meters</t>
  </si>
  <si>
    <t>3" Meters</t>
  </si>
  <si>
    <t>PROPOSED BILLING ANALYSIS - 2020 USAGE &amp; PROPOSED RATES</t>
  </si>
  <si>
    <t>Total Retail Metered Sales</t>
  </si>
  <si>
    <t>Meters</t>
  </si>
  <si>
    <t>Addition to Depreciation Expense:</t>
  </si>
  <si>
    <t>N</t>
  </si>
  <si>
    <t>Health (ee/sp)</t>
  </si>
  <si>
    <t>Health (ee/ch)</t>
  </si>
  <si>
    <t>Wood Creek Water District</t>
  </si>
  <si>
    <t>Sales for Resale</t>
  </si>
  <si>
    <t>Chemicals</t>
  </si>
  <si>
    <t>Insurance</t>
  </si>
  <si>
    <t>Nonutility Income</t>
  </si>
  <si>
    <t>Misc. Nonutility Expense</t>
  </si>
  <si>
    <t>WL &lt; 15% no adjmt req'd</t>
  </si>
  <si>
    <t>CY 2022</t>
  </si>
  <si>
    <t>CY 2023</t>
  </si>
  <si>
    <t>CY 2024</t>
  </si>
  <si>
    <t>CY 2025</t>
  </si>
  <si>
    <t>CY 2026</t>
  </si>
  <si>
    <t>&amp; Fees</t>
  </si>
  <si>
    <t>Average Annual Principal &amp; Interest</t>
  </si>
  <si>
    <t>Average Annual Coverage</t>
  </si>
  <si>
    <t>KRWFC 2005B</t>
  </si>
  <si>
    <t>KRWFC 2007A</t>
  </si>
  <si>
    <t>KRWFC 2015B</t>
  </si>
  <si>
    <t>3" METERS</t>
  </si>
  <si>
    <t>6" METERS</t>
  </si>
  <si>
    <t xml:space="preserve">     3" Meters</t>
  </si>
  <si>
    <t xml:space="preserve">     6" Meters</t>
  </si>
  <si>
    <t>SALES FOR RESALE</t>
  </si>
  <si>
    <t>West Laurel</t>
  </si>
  <si>
    <t>East Laurel</t>
  </si>
  <si>
    <t>Livingston</t>
  </si>
  <si>
    <t>K GALS</t>
  </si>
  <si>
    <t>Total Pro Forma Sales Revenue</t>
  </si>
  <si>
    <t>Retail Sales</t>
  </si>
  <si>
    <t>6" Meters</t>
  </si>
  <si>
    <t>Wholesale Rates</t>
  </si>
  <si>
    <t>@ 100% ==&gt;</t>
  </si>
  <si>
    <t>Entire Group</t>
  </si>
  <si>
    <t>304 - Structures &amp; Improvements</t>
  </si>
  <si>
    <t>309 - Supply Mains</t>
  </si>
  <si>
    <t>311 - Pumping Equipment</t>
  </si>
  <si>
    <t>320 - Water Treatment Equipment</t>
  </si>
  <si>
    <t>Remainder of Group</t>
  </si>
  <si>
    <t>New Water Plant</t>
  </si>
  <si>
    <t>330 - Dist. Reservoirs &amp; Standpipes</t>
  </si>
  <si>
    <t>331 - Transmission &amp; Dist. Mains</t>
  </si>
  <si>
    <t>333 - Services</t>
  </si>
  <si>
    <t>334 -Meters &amp; Meter Installations</t>
  </si>
  <si>
    <t>335 - Hydrants</t>
  </si>
  <si>
    <t>340 - Office Furniture &amp; Equipment</t>
  </si>
  <si>
    <t>341 - Transportation Equipment</t>
  </si>
  <si>
    <t>344 - Lab Equipment</t>
  </si>
  <si>
    <t>345 - Power Operated Equipment</t>
  </si>
  <si>
    <t>346 - Communication Equipment</t>
  </si>
  <si>
    <t>347 - Misc Equipment</t>
  </si>
  <si>
    <t>348 - Other Tangible Equipment</t>
  </si>
  <si>
    <t>Misc. Equipment</t>
  </si>
  <si>
    <t>*  Includes only costs associated with assets that contributed to depreciation expense in the test  year.</t>
  </si>
  <si>
    <t>WOOD CREEK WATER DISTRICT</t>
  </si>
  <si>
    <t>ALLOCATION OF COSTS</t>
  </si>
  <si>
    <t>TRUCKS, EQUIPMENT &amp; OFFICE</t>
  </si>
  <si>
    <t>12/31/20</t>
  </si>
  <si>
    <t>WOOD</t>
  </si>
  <si>
    <t>EAST</t>
  </si>
  <si>
    <t>WEST</t>
  </si>
  <si>
    <t>TRUCKS</t>
  </si>
  <si>
    <t>416-01</t>
  </si>
  <si>
    <t>416-00</t>
  </si>
  <si>
    <t>CUSTOMER ACCTS. &amp; ADM.</t>
  </si>
  <si>
    <t>601.7 - cust acct wages before alloc</t>
  </si>
  <si>
    <t>from cell K17 - benefits alloc to 601.7</t>
  </si>
  <si>
    <t>&lt;=====</t>
  </si>
  <si>
    <t>total amt. allocated to other companies</t>
  </si>
  <si>
    <t>Sewer</t>
  </si>
  <si>
    <t>Water</t>
  </si>
  <si>
    <t>DECEMBER 31, 2020</t>
  </si>
  <si>
    <t>Health Ins.</t>
  </si>
  <si>
    <t>FICA</t>
  </si>
  <si>
    <t>Unemp.</t>
  </si>
  <si>
    <t>ACCT#</t>
  </si>
  <si>
    <t>LABOR AMT.</t>
  </si>
  <si>
    <t>%</t>
  </si>
  <si>
    <t>408-01</t>
  </si>
  <si>
    <t>408-4</t>
  </si>
  <si>
    <t>331-40</t>
  </si>
  <si>
    <t>333-40</t>
  </si>
  <si>
    <t>334-40</t>
  </si>
  <si>
    <t>335-40</t>
  </si>
  <si>
    <t>601-1</t>
  </si>
  <si>
    <t>601-2</t>
  </si>
  <si>
    <t>601-3</t>
  </si>
  <si>
    <t>601-4</t>
  </si>
  <si>
    <t>601-5</t>
  </si>
  <si>
    <t>601-6</t>
  </si>
  <si>
    <t>601-7</t>
  </si>
  <si>
    <t>601-8</t>
  </si>
  <si>
    <t>675-2</t>
  </si>
  <si>
    <t>416-03</t>
  </si>
  <si>
    <t>Comm. Salaries</t>
  </si>
  <si>
    <t>ADJ. AMT.</t>
  </si>
  <si>
    <t>KRS pmts</t>
  </si>
  <si>
    <t>Life Ins</t>
  </si>
  <si>
    <t>less office alloc to East &amp; West</t>
  </si>
  <si>
    <t>Actual Salaries &amp; Wages Exp - Wood Ck.</t>
  </si>
  <si>
    <t>Actual Empl. Benefits Exp - Wood Ck.</t>
  </si>
  <si>
    <t>Benefits</t>
  </si>
  <si>
    <t>Customers</t>
  </si>
  <si>
    <t>Wood Ck. Benefits</t>
  </si>
  <si>
    <t>EMPLOYEE LABOR AND BENEFITS AS REPORTED:</t>
  </si>
  <si>
    <t>Unempl. Ins</t>
  </si>
  <si>
    <t>Lab + Bene</t>
  </si>
  <si>
    <t>Audit Bal</t>
  </si>
  <si>
    <t>diff, incl audit adjmts.</t>
  </si>
  <si>
    <t>labor</t>
  </si>
  <si>
    <t>all overhead</t>
  </si>
  <si>
    <t>plus audit adjmts</t>
  </si>
  <si>
    <t>less FICA w/o East &amp; West</t>
  </si>
  <si>
    <t>less Unempl Ins. w/o East &amp; West</t>
  </si>
  <si>
    <t>Total Wood Ck Benefits</t>
  </si>
  <si>
    <t>Checks</t>
  </si>
  <si>
    <t>REVISED ALLOCATIONS INCLUDING SEWER</t>
  </si>
  <si>
    <t>ADJUSTMENT</t>
  </si>
  <si>
    <t>ADJMT - Other Office Exp</t>
  </si>
  <si>
    <t>ADJMT - Labor/Overhead</t>
  </si>
  <si>
    <t>Rev. Exp.</t>
  </si>
  <si>
    <t>Office Adj.</t>
  </si>
  <si>
    <t>benefits reported with S &amp; W</t>
  </si>
  <si>
    <t>unempl reported with S &amp; W</t>
  </si>
  <si>
    <t>FICA reported w/ S&amp; W</t>
  </si>
  <si>
    <t xml:space="preserve">ded benefits, FICA, unempl </t>
  </si>
  <si>
    <t>depr. adj</t>
  </si>
  <si>
    <t>Corrected Test Year Salaries &amp; Wages Exp</t>
  </si>
  <si>
    <t>Capital additions are capitalized annually</t>
  </si>
  <si>
    <t>Health Ins. Adjustment All Companies</t>
  </si>
  <si>
    <t>% of all Labor alloc to Wood Ck Operations</t>
  </si>
  <si>
    <t>Health Ins. Adjustment Wood Ck.</t>
  </si>
  <si>
    <t>Employee raises</t>
  </si>
  <si>
    <t>Pen Incr - raises + CERS incr</t>
  </si>
  <si>
    <t xml:space="preserve"> Cap contr. + Audit Adj</t>
  </si>
  <si>
    <t>from BA</t>
  </si>
  <si>
    <t>recategorize Other Rev</t>
  </si>
  <si>
    <t>Other Operating Revenues</t>
  </si>
  <si>
    <t>Late Fees</t>
  </si>
  <si>
    <t>Average</t>
  </si>
  <si>
    <t>Account 604</t>
  </si>
  <si>
    <t>604 w/</t>
  </si>
  <si>
    <t>accruals</t>
  </si>
  <si>
    <t>Percent of payroll subject to CERS</t>
  </si>
  <si>
    <t>Add Accruals</t>
  </si>
  <si>
    <t>year end accrual adjmt</t>
  </si>
  <si>
    <t>Revise Office Alloc to incl Sewer</t>
  </si>
  <si>
    <t>Revise Trans Alloc to incl Sewer</t>
  </si>
  <si>
    <t xml:space="preserve">   All Water Sold</t>
  </si>
  <si>
    <t>Bills</t>
  </si>
  <si>
    <t>1998 Refunding</t>
  </si>
  <si>
    <t>RD Series 2005A</t>
  </si>
  <si>
    <t>RD Series 2005B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</si>
  <si>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</si>
  <si>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</si>
  <si>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</si>
  <si>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</si>
  <si>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</si>
  <si>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</si>
  <si>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</si>
  <si>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</si>
  <si>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Size</t>
  </si>
  <si>
    <t>(feet)</t>
  </si>
  <si>
    <t>Mains</t>
  </si>
  <si>
    <t>Miles</t>
  </si>
  <si>
    <t>x 1,000</t>
  </si>
  <si>
    <t>Water Produced</t>
  </si>
  <si>
    <t xml:space="preserve">   Retail Sales</t>
  </si>
  <si>
    <t xml:space="preserve">   Wholesale Sales</t>
  </si>
  <si>
    <t>Total Water Sold</t>
  </si>
  <si>
    <t>Water Used at WTP</t>
  </si>
  <si>
    <t>System Flushing</t>
  </si>
  <si>
    <t>Fire Dept. &amp; Other</t>
  </si>
  <si>
    <t xml:space="preserve"> = Total water used</t>
  </si>
  <si>
    <t>WHOLESALE ALLOCATION FACTORS</t>
  </si>
  <si>
    <t>FACTOR</t>
  </si>
  <si>
    <t>Plant Use Percentage</t>
  </si>
  <si>
    <t>Line Loss + Plant Use</t>
  </si>
  <si>
    <t>Joint Use Inch-miles</t>
  </si>
  <si>
    <t>Total Inch-Miles</t>
  </si>
  <si>
    <t>Production Multiplier</t>
  </si>
  <si>
    <t xml:space="preserve">                 --------------------------</t>
  </si>
  <si>
    <t>=</t>
  </si>
  <si>
    <t>-</t>
  </si>
  <si>
    <t>Joint Use Pipeline Ratio</t>
  </si>
  <si>
    <t>Joint Share of Line Loss</t>
  </si>
  <si>
    <t>x</t>
  </si>
  <si>
    <t>Joint Share Line Loss + Plant Use</t>
  </si>
  <si>
    <t>+</t>
  </si>
  <si>
    <t>Wholesale Production Multiplier</t>
  </si>
  <si>
    <t xml:space="preserve">                 ---------------------</t>
  </si>
  <si>
    <t>Production Allocation Factor</t>
  </si>
  <si>
    <t>-----------------</t>
  </si>
  <si>
    <t>Pipeline Transmission Factor</t>
  </si>
  <si>
    <t>Use Factor</t>
  </si>
  <si>
    <t>ALLOCATION OF DEPRECIATION EXPENSE</t>
  </si>
  <si>
    <t>Proforma</t>
  </si>
  <si>
    <t>Trans. &amp;</t>
  </si>
  <si>
    <t>Storage</t>
  </si>
  <si>
    <t>General</t>
  </si>
  <si>
    <t>Supply</t>
  </si>
  <si>
    <t>Distribution</t>
  </si>
  <si>
    <t>Tanks</t>
  </si>
  <si>
    <t>&amp; Admin.</t>
  </si>
  <si>
    <t>Customer</t>
  </si>
  <si>
    <t xml:space="preserve">     SUBTOTALS</t>
  </si>
  <si>
    <t xml:space="preserve">     SUBTOTAL PERCENTAGES</t>
  </si>
  <si>
    <t xml:space="preserve">     SUBTOTAL</t>
  </si>
  <si>
    <t xml:space="preserve">     PERCENTAGE ALLOCATIONS</t>
  </si>
  <si>
    <t xml:space="preserve">     TOTALS</t>
  </si>
  <si>
    <t>Table F</t>
  </si>
  <si>
    <t>ALLOCATION OF PLANT VALUE AND DEBT SERVICE</t>
  </si>
  <si>
    <t>Total</t>
  </si>
  <si>
    <t>Values</t>
  </si>
  <si>
    <t>Treatment</t>
  </si>
  <si>
    <t>Land and Land Rights</t>
  </si>
  <si>
    <t>Structures &amp; Improvements</t>
  </si>
  <si>
    <t>Supply Mains</t>
  </si>
  <si>
    <t>Pumping Equipment</t>
  </si>
  <si>
    <t>Water Treatment Equipment</t>
  </si>
  <si>
    <t>Services</t>
  </si>
  <si>
    <t>Hydrants</t>
  </si>
  <si>
    <t>Transportation Equipment</t>
  </si>
  <si>
    <t>Power Operated Equipment</t>
  </si>
  <si>
    <t>Communication Equipment</t>
  </si>
  <si>
    <t>Plant Value Percentages</t>
  </si>
  <si>
    <t>AS REPORTED:</t>
  </si>
  <si>
    <t>Trans &amp; Dist</t>
  </si>
  <si>
    <t>Admin</t>
  </si>
  <si>
    <t>Sal &amp; Wages - Empl</t>
  </si>
  <si>
    <t xml:space="preserve">     Allocation %'s</t>
  </si>
  <si>
    <t>Sal &amp; Wages - Comm</t>
  </si>
  <si>
    <t>Empl. Pen &amp; Bene</t>
  </si>
  <si>
    <t>Purch Water</t>
  </si>
  <si>
    <t>Purch Power</t>
  </si>
  <si>
    <t>Mat'ls &amp; Supplies</t>
  </si>
  <si>
    <t>Contr Serv - Acct.</t>
  </si>
  <si>
    <t>Contr Serv - Legal</t>
  </si>
  <si>
    <t>Contr Serv - Testing</t>
  </si>
  <si>
    <t>Contr Serv - Other</t>
  </si>
  <si>
    <t>Rentals - Bldg</t>
  </si>
  <si>
    <t>Rentals - Equip</t>
  </si>
  <si>
    <t>Transportation</t>
  </si>
  <si>
    <t>Ins - Gen Liab</t>
  </si>
  <si>
    <t>Ins - Workers Comp</t>
  </si>
  <si>
    <t>Ins -  Other</t>
  </si>
  <si>
    <t>Advertising</t>
  </si>
  <si>
    <t>Miscellaneous</t>
  </si>
  <si>
    <t>PRO FORMA</t>
  </si>
  <si>
    <t>Empl. Pen &amp; Ben + Taxes</t>
  </si>
  <si>
    <t>depreciation</t>
  </si>
  <si>
    <t>WHOLESALE RATE COMPUTATION</t>
  </si>
  <si>
    <t>Allocation</t>
  </si>
  <si>
    <t>Wholesale</t>
  </si>
  <si>
    <t>Retail</t>
  </si>
  <si>
    <t>Expenses</t>
  </si>
  <si>
    <t>Factor</t>
  </si>
  <si>
    <t>Salaries &amp; Wages</t>
  </si>
  <si>
    <t>Water Production</t>
  </si>
  <si>
    <t>Trans./Distribution</t>
  </si>
  <si>
    <t>Customer Accts.</t>
  </si>
  <si>
    <t>Admin &amp; General</t>
  </si>
  <si>
    <t>Employee Benefits + Taxes</t>
  </si>
  <si>
    <t>Salaries - Officers</t>
  </si>
  <si>
    <t>Materials &amp; Supplies</t>
  </si>
  <si>
    <t>Transportation Expense</t>
  </si>
  <si>
    <t>Miscellaneous Expense</t>
  </si>
  <si>
    <t>Trans. / Distribution</t>
  </si>
  <si>
    <t>Tanks &amp; Reservoirs</t>
  </si>
  <si>
    <t>Debt Service &amp; Coverage</t>
  </si>
  <si>
    <t>Total Revenue Required</t>
  </si>
  <si>
    <t>Wholesale Gallons Sold (x 1,000)</t>
  </si>
  <si>
    <t>Wholesale Rate per 1,000 Gallons</t>
  </si>
  <si>
    <t>------------------</t>
  </si>
  <si>
    <t>Contr Serv - Engr.</t>
  </si>
  <si>
    <t xml:space="preserve">  less payroll taxes</t>
  </si>
  <si>
    <t>Additon to Misc. Exp.</t>
  </si>
  <si>
    <t>CHECKS w/ Total Op. Exp.</t>
  </si>
  <si>
    <t>Total Water Loss</t>
  </si>
  <si>
    <t>Water Loss Percentage</t>
  </si>
  <si>
    <t>Water Sold to Wholesale Customers</t>
  </si>
  <si>
    <t>Table E</t>
  </si>
  <si>
    <t>Table G</t>
  </si>
  <si>
    <t>Dist. Reservoirs &amp; Standpipes</t>
  </si>
  <si>
    <t>Transmission &amp; Dist. Mains</t>
  </si>
  <si>
    <t>Meters &amp; Meter Installations</t>
  </si>
  <si>
    <t>Office Furniture &amp; Equipment</t>
  </si>
  <si>
    <t>Lab Equipment</t>
  </si>
  <si>
    <t>Misc Equipment</t>
  </si>
  <si>
    <t>Other Tangible Equipment</t>
  </si>
  <si>
    <t>Organization</t>
  </si>
  <si>
    <t>Collecting &amp; Impounding</t>
  </si>
  <si>
    <t>Other Plant &amp; Equipment</t>
  </si>
  <si>
    <t>Total Sewer</t>
  </si>
  <si>
    <t>Total Water</t>
  </si>
  <si>
    <t>5/8/ x 3/4" Meters</t>
  </si>
  <si>
    <t>2' Meters</t>
  </si>
  <si>
    <t>Up to:</t>
  </si>
  <si>
    <t>Usage</t>
  </si>
  <si>
    <t>Avg.</t>
  </si>
  <si>
    <t>over 75,000</t>
  </si>
  <si>
    <t>BY BLOCKS</t>
  </si>
  <si>
    <t>ALLOCATION OF OPERATION &amp; MAINTENANCE EXPENSE - RETAIL</t>
  </si>
  <si>
    <t>Billing &amp;</t>
  </si>
  <si>
    <t>Meters &amp;</t>
  </si>
  <si>
    <t>Admin. &amp;</t>
  </si>
  <si>
    <t>Commodity</t>
  </si>
  <si>
    <t>Demand</t>
  </si>
  <si>
    <t>Collecting</t>
  </si>
  <si>
    <t>Salaries - Officers (A &amp; G)</t>
  </si>
  <si>
    <t>Misc. Expense</t>
  </si>
  <si>
    <t xml:space="preserve">     Less Admin. &amp; General</t>
  </si>
  <si>
    <t>Total w/o A &amp; G</t>
  </si>
  <si>
    <t>Percentages w/o A &amp; G</t>
  </si>
  <si>
    <t>Allocation of Admin. &amp; General</t>
  </si>
  <si>
    <t>Total O &amp; M Expense Allocations</t>
  </si>
  <si>
    <t>Table H</t>
  </si>
  <si>
    <t>SUMMARY OF ALLOCATIONS - RETAIL</t>
  </si>
  <si>
    <t>Operation &amp; Maintenance Expenses</t>
  </si>
  <si>
    <t xml:space="preserve">     Allocation Percentages</t>
  </si>
  <si>
    <t>Total Expenses - Retail</t>
  </si>
  <si>
    <t>Less:</t>
  </si>
  <si>
    <t xml:space="preserve">     Forfeited Discounts</t>
  </si>
  <si>
    <t xml:space="preserve">     Miscellaneous Service Revenues</t>
  </si>
  <si>
    <t xml:space="preserve">   Interest Income</t>
  </si>
  <si>
    <t>Revenue Required from Retail Rates</t>
  </si>
  <si>
    <t>Total Retail Allocation</t>
  </si>
  <si>
    <t>Total Misc Revenue</t>
  </si>
  <si>
    <t>Total Req'd from Retail Rates</t>
  </si>
  <si>
    <t>Table I</t>
  </si>
  <si>
    <t>CALCULATION OF WATER RATES - RETAIL</t>
  </si>
  <si>
    <t>Commodity Percentages</t>
  </si>
  <si>
    <t>Demand Weighting Factor</t>
  </si>
  <si>
    <t>Demand Weighted Sales</t>
  </si>
  <si>
    <t>Demand Percentages</t>
  </si>
  <si>
    <t>Commodity Costs</t>
  </si>
  <si>
    <t>Demand Costs</t>
  </si>
  <si>
    <t xml:space="preserve">     Total Costs</t>
  </si>
  <si>
    <t>CALCULATED USAGE RATES</t>
  </si>
  <si>
    <t>PROPOSED USAGE RATES</t>
  </si>
  <si>
    <t>(adjusted per Billing Analysis to result in required revenue)</t>
  </si>
  <si>
    <t>CALCULATION OF CUSTOMER CHARGES:</t>
  </si>
  <si>
    <t>Expenses to be Allocated</t>
  </si>
  <si>
    <t>No. of Bills or Equivalents</t>
  </si>
  <si>
    <t>Unit Cost of Service</t>
  </si>
  <si>
    <t>Ratio</t>
  </si>
  <si>
    <t>Charge</t>
  </si>
  <si>
    <t>5/8 x 3/4"</t>
  </si>
  <si>
    <t>1"</t>
  </si>
  <si>
    <t>1-1/2"</t>
  </si>
  <si>
    <t>2"</t>
  </si>
  <si>
    <t>3"</t>
  </si>
  <si>
    <t>6"</t>
  </si>
  <si>
    <t>Number of Services and Equivalents:</t>
  </si>
  <si>
    <t>Meter</t>
  </si>
  <si>
    <t>No. of</t>
  </si>
  <si>
    <t>Equivalents</t>
  </si>
  <si>
    <t>Alloc Admin &amp; General  ===&gt;</t>
  </si>
  <si>
    <t>10,000</t>
  </si>
  <si>
    <t>65,000</t>
  </si>
  <si>
    <t>75,000</t>
  </si>
  <si>
    <t>No. of Gallons Sold x 1,000</t>
  </si>
  <si>
    <t>UNITS OF SERVICE</t>
  </si>
  <si>
    <t>Adjustment for Minimum Bill Usage:</t>
  </si>
  <si>
    <t>Gallons Not Used By Block</t>
  </si>
  <si>
    <t>Min. Bills</t>
  </si>
  <si>
    <t>Allowed</t>
  </si>
  <si>
    <t>Used</t>
  </si>
  <si>
    <t>Not Used</t>
  </si>
  <si>
    <t>0 - 10</t>
  </si>
  <si>
    <t>Water Usage By Block:</t>
  </si>
  <si>
    <t>Annual</t>
  </si>
  <si>
    <t>Adjusted</t>
  </si>
  <si>
    <t>Block</t>
  </si>
  <si>
    <t>Sales</t>
  </si>
  <si>
    <t>for Min.</t>
  </si>
  <si>
    <t xml:space="preserve"> 0 - 10</t>
  </si>
  <si>
    <t>Service Bills</t>
  </si>
  <si>
    <t>10 - 75</t>
  </si>
  <si>
    <t>Over 75</t>
  </si>
  <si>
    <t>Adjusted Commodity Sales</t>
  </si>
  <si>
    <t>no. of min. bills:</t>
  </si>
  <si>
    <t>revenue</t>
  </si>
  <si>
    <t>75 +</t>
  </si>
  <si>
    <t>Table J</t>
  </si>
  <si>
    <t>Table K</t>
  </si>
  <si>
    <t>Table L</t>
  </si>
  <si>
    <t>CUMULATIVE BILLED USAGE</t>
  </si>
  <si>
    <t>PROPOSED RATE SCHEDULE</t>
  </si>
  <si>
    <t>Chemical Cost Adjustment</t>
  </si>
  <si>
    <t>2020 Exp</t>
  </si>
  <si>
    <t>2021 Exp</t>
  </si>
  <si>
    <t>Increases in Costs</t>
  </si>
  <si>
    <t>Fuel Cost Adjustment</t>
  </si>
  <si>
    <t>2021 Fuel Exp</t>
  </si>
  <si>
    <t>2020 Fuel Exp</t>
  </si>
  <si>
    <t>W.Ck alloc</t>
  </si>
  <si>
    <t>Fuel Adjmt.</t>
  </si>
  <si>
    <t>Increases in Fuel Costs</t>
  </si>
  <si>
    <t>&lt;== for allocation of incr fuel cost to transportation</t>
  </si>
  <si>
    <t>O</t>
  </si>
  <si>
    <t>Allocation of Debt Service</t>
  </si>
  <si>
    <t>00333-0040 Services</t>
  </si>
  <si>
    <t>00334-0040 Meters and Meter Installations</t>
  </si>
  <si>
    <t>00335-0040 Hydrants</t>
  </si>
  <si>
    <t>00601-0001 Wages - Pumping Operations</t>
  </si>
  <si>
    <t>00601-0002 Wages - Pumping Maintenance</t>
  </si>
  <si>
    <t>00601-0003 Wages - Water Treatment</t>
  </si>
  <si>
    <t>00601-0004 Wages - Water Treatment Maint.</t>
  </si>
  <si>
    <t>00601-0005 Wages - T&amp;D Operations</t>
  </si>
  <si>
    <t>00601-0006 Wages - T&amp;D Maintenance</t>
  </si>
  <si>
    <t>00601-0007 Wages - Customer Account Expense</t>
  </si>
  <si>
    <t>00601-0008 Wages - Administrative Expense</t>
  </si>
  <si>
    <t>00416-0003 Cost &amp; Expense - Sewer</t>
  </si>
  <si>
    <t>00415-0000 Cost &amp; Expense - West Laurel</t>
  </si>
  <si>
    <t>00416-0001 Cost &amp; Expense - East Laurel</t>
  </si>
  <si>
    <t>Water Produced, Sold and Used</t>
  </si>
  <si>
    <t>00331-0040 Transmission and Dist Mains</t>
  </si>
  <si>
    <t>00601-0007 Wages - Customer Acct Exp</t>
  </si>
  <si>
    <t>Total initial Wood Ck labor - col. C</t>
  </si>
  <si>
    <t>Total Initial Allocation of Benefits - col. K11-K18</t>
  </si>
  <si>
    <t>00650-0007 Transportation - Customer Acct Exp</t>
  </si>
  <si>
    <t>J0650-0005 Transportation - T&amp;D Operations</t>
  </si>
  <si>
    <t>00650-0006 Transportation - T&amp;D Maintenance</t>
  </si>
  <si>
    <t>00650-0008 Transportation - Administrative</t>
  </si>
  <si>
    <t>00615-0008 Purch Pwr - General &amp; Admin.</t>
  </si>
  <si>
    <t>00620-0007 Customer Account Expense</t>
  </si>
  <si>
    <t>00620-0008 Administrative Expense</t>
  </si>
  <si>
    <t>Debt Service &amp; Coverage *</t>
  </si>
  <si>
    <t>* Debt Service &amp; Coverage is from Table G with allocation of Admin. &amp; General based on percentages from Table F.</t>
  </si>
  <si>
    <t>5/8 x 3/4</t>
  </si>
  <si>
    <t>Present</t>
  </si>
  <si>
    <t>Change ($)</t>
  </si>
  <si>
    <t>Change %</t>
  </si>
  <si>
    <t>Capital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</si>
</sst>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_(&quot;$&quot;* #,##0_);_(&quot;$&quot;* \(#,##0\);_(&quot;$&quot;* &quot;-&quot;??_);_(@_)"/>
    <numFmt numFmtId="166" formatCode="mm/dd/yy;@"/>
    <numFmt numFmtId="167" formatCode="_([$$-409]* #,##0_);_([$$-409]* \(#,##0\);_([$$-409]* &quot;-&quot;??_);_(@_)"/>
    <numFmt numFmtId="168" formatCode="_(* #,##0_);_(* \(#,##0\);_(* &quot;-&quot;??_);_(@_)"/>
    <numFmt numFmtId="169" formatCode="0.0%"/>
    <numFmt numFmtId="170" formatCode="_(* #,##0.0_);_(* \(#,##0.0\);_(* &quot;-&quot;??_);_(@_)"/>
    <numFmt numFmtId="171" formatCode="0.000%"/>
    <numFmt numFmtId="172" formatCode="&quot;$&quot;#,##0.00"/>
    <numFmt numFmtId="173" formatCode="_(* #,##0.00000_);_(* \(#,##0.00000\);_(* &quot;-&quot;??_);_(@_)"/>
    <numFmt numFmtId="174" formatCode="_(* #,##0.000000_);_(* \(#,##0.000000\);_(* &quot;-&quot;??_);_(@_)"/>
    <numFmt numFmtId="175" formatCode="_(* #,##0.0000_);_(* \(#,##0.0000\);_(* &quot;-&quot;??_);_(@_)"/>
    <numFmt numFmtId="176" formatCode="#,##0.0000_);\(#,##0.0000\)"/>
    <numFmt numFmtId="177" formatCode="#,##0.0"/>
    <numFmt numFmtId="178" formatCode="0.0000"/>
    <numFmt numFmtId="179" formatCode="#,##0.0000"/>
    <numFmt numFmtId="180" formatCode="[$$-409]#,##0.00"/>
  </numFmts>
  <fonts count="4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"/>
      <name val="Segoe UI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u val="singleAccounting"/>
      <sz val="11"/>
      <color rgb="FFC00000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u val="singleAccounting"/>
      <sz val="11"/>
      <name val="Calibri"/>
      <family val="2"/>
    </font>
    <font>
      <sz val="11"/>
      <color theme="5"/>
      <name val="Calibri"/>
      <family val="2"/>
      <scheme val="minor"/>
    </font>
    <font>
      <b/>
      <sz val="12"/>
      <name val="Calibri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8" fontId="4" fillId="0" borderId="0" xfId="1" applyNumberFormat="1" applyFont="1"/>
    <xf numFmtId="165" fontId="4" fillId="0" borderId="0" xfId="2" applyNumberFormat="1" applyFont="1" applyBorder="1"/>
    <xf numFmtId="168" fontId="4" fillId="0" borderId="0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Alignment="1">
      <alignment horizontal="right"/>
    </xf>
    <xf numFmtId="165" fontId="4" fillId="0" borderId="0" xfId="4" applyNumberFormat="1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168" fontId="4" fillId="0" borderId="0" xfId="5" applyNumberFormat="1" applyFont="1"/>
    <xf numFmtId="37" fontId="4" fillId="0" borderId="1" xfId="0" applyNumberFormat="1" applyFont="1" applyBorder="1"/>
    <xf numFmtId="168" fontId="4" fillId="0" borderId="1" xfId="5" applyNumberFormat="1" applyFont="1" applyBorder="1"/>
    <xf numFmtId="0" fontId="3" fillId="0" borderId="0" xfId="0" applyFont="1" applyAlignment="1">
      <alignment horizontal="left"/>
    </xf>
    <xf numFmtId="44" fontId="4" fillId="0" borderId="0" xfId="4" applyFont="1"/>
    <xf numFmtId="0" fontId="4" fillId="0" borderId="1" xfId="0" applyFont="1" applyBorder="1"/>
    <xf numFmtId="43" fontId="4" fillId="0" borderId="1" xfId="5" applyFont="1" applyBorder="1"/>
    <xf numFmtId="3" fontId="4" fillId="0" borderId="0" xfId="0" applyNumberFormat="1" applyFont="1"/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/>
    <xf numFmtId="0" fontId="11" fillId="0" borderId="0" xfId="0" applyFont="1"/>
    <xf numFmtId="3" fontId="4" fillId="0" borderId="0" xfId="0" applyNumberFormat="1" applyFont="1" applyAlignment="1">
      <alignment vertical="center"/>
    </xf>
    <xf numFmtId="168" fontId="4" fillId="0" borderId="0" xfId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" fontId="4" fillId="0" borderId="0" xfId="0" applyNumberFormat="1" applyFont="1" applyAlignment="1"/>
    <xf numFmtId="168" fontId="4" fillId="0" borderId="0" xfId="1" applyNumberFormat="1" applyFont="1" applyAlignment="1"/>
    <xf numFmtId="169" fontId="4" fillId="0" borderId="0" xfId="0" applyNumberFormat="1" applyFont="1" applyAlignment="1">
      <alignment vertical="center"/>
    </xf>
    <xf numFmtId="43" fontId="4" fillId="0" borderId="0" xfId="5" applyFont="1"/>
    <xf numFmtId="3" fontId="4" fillId="0" borderId="1" xfId="0" applyNumberFormat="1" applyFont="1" applyBorder="1"/>
    <xf numFmtId="171" fontId="4" fillId="0" borderId="0" xfId="6" applyNumberFormat="1" applyFont="1"/>
    <xf numFmtId="168" fontId="4" fillId="0" borderId="0" xfId="5" applyNumberFormat="1" applyFont="1" applyAlignment="1">
      <alignment vertical="center"/>
    </xf>
    <xf numFmtId="3" fontId="6" fillId="0" borderId="0" xfId="0" applyNumberFormat="1" applyFont="1" applyBorder="1" applyAlignment="1"/>
    <xf numFmtId="3" fontId="4" fillId="0" borderId="0" xfId="0" applyNumberFormat="1" applyFont="1" applyBorder="1" applyAlignment="1"/>
    <xf numFmtId="166" fontId="4" fillId="0" borderId="0" xfId="0" applyNumberFormat="1" applyFont="1" applyBorder="1" applyAlignment="1">
      <alignment horizontal="center"/>
    </xf>
    <xf numFmtId="168" fontId="4" fillId="0" borderId="0" xfId="0" applyNumberFormat="1" applyFont="1" applyBorder="1"/>
    <xf numFmtId="3" fontId="3" fillId="0" borderId="0" xfId="0" applyNumberFormat="1" applyFont="1" applyBorder="1" applyAlignment="1"/>
    <xf numFmtId="164" fontId="4" fillId="0" borderId="0" xfId="0" applyNumberFormat="1" applyFont="1" applyBorder="1" applyAlignment="1"/>
    <xf numFmtId="167" fontId="3" fillId="0" borderId="0" xfId="0" applyNumberFormat="1" applyFont="1" applyBorder="1"/>
    <xf numFmtId="3" fontId="10" fillId="0" borderId="0" xfId="0" applyNumberFormat="1" applyFont="1" applyAlignment="1"/>
    <xf numFmtId="0" fontId="4" fillId="0" borderId="3" xfId="0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0" xfId="0" applyNumberFormat="1" applyFont="1" applyBorder="1"/>
    <xf numFmtId="0" fontId="4" fillId="0" borderId="2" xfId="0" applyFont="1" applyBorder="1"/>
    <xf numFmtId="3" fontId="6" fillId="0" borderId="0" xfId="0" applyNumberFormat="1" applyFont="1" applyBorder="1" applyAlignment="1">
      <alignment horizontal="centerContinuous"/>
    </xf>
    <xf numFmtId="3" fontId="4" fillId="0" borderId="6" xfId="0" applyNumberFormat="1" applyFont="1" applyBorder="1" applyAlignment="1"/>
    <xf numFmtId="3" fontId="6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1" xfId="0" applyNumberFormat="1" applyFont="1" applyBorder="1" applyAlignment="1"/>
    <xf numFmtId="4" fontId="4" fillId="0" borderId="1" xfId="0" applyNumberFormat="1" applyFont="1" applyBorder="1"/>
    <xf numFmtId="3" fontId="4" fillId="0" borderId="8" xfId="0" applyNumberFormat="1" applyFont="1" applyBorder="1" applyAlignment="1"/>
    <xf numFmtId="4" fontId="4" fillId="0" borderId="0" xfId="0" applyNumberFormat="1" applyFont="1" applyBorder="1"/>
    <xf numFmtId="170" fontId="4" fillId="0" borderId="0" xfId="1" applyNumberFormat="1" applyFont="1" applyBorder="1"/>
    <xf numFmtId="170" fontId="4" fillId="0" borderId="0" xfId="1" applyNumberFormat="1" applyFont="1" applyBorder="1" applyAlignment="1">
      <alignment horizontal="center"/>
    </xf>
    <xf numFmtId="170" fontId="4" fillId="0" borderId="0" xfId="1" applyNumberFormat="1" applyFont="1" applyAlignment="1"/>
    <xf numFmtId="170" fontId="4" fillId="0" borderId="4" xfId="1" applyNumberFormat="1" applyFont="1" applyBorder="1"/>
    <xf numFmtId="170" fontId="4" fillId="0" borderId="0" xfId="1" applyNumberFormat="1" applyFont="1" applyBorder="1" applyAlignment="1"/>
    <xf numFmtId="170" fontId="6" fillId="0" borderId="0" xfId="1" applyNumberFormat="1" applyFont="1" applyBorder="1" applyAlignment="1">
      <alignment horizontal="centerContinuous"/>
    </xf>
    <xf numFmtId="170" fontId="6" fillId="0" borderId="0" xfId="1" applyNumberFormat="1" applyFont="1" applyBorder="1" applyAlignment="1">
      <alignment horizontal="center"/>
    </xf>
    <xf numFmtId="170" fontId="4" fillId="0" borderId="1" xfId="1" applyNumberFormat="1" applyFont="1" applyBorder="1" applyAlignment="1"/>
    <xf numFmtId="170" fontId="3" fillId="0" borderId="0" xfId="1" applyNumberFormat="1" applyFont="1" applyBorder="1" applyAlignment="1"/>
    <xf numFmtId="3" fontId="16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0" fontId="11" fillId="0" borderId="0" xfId="0" applyNumberFormat="1" applyFont="1" applyAlignment="1"/>
    <xf numFmtId="168" fontId="8" fillId="0" borderId="0" xfId="1" applyNumberFormat="1" applyFont="1"/>
    <xf numFmtId="168" fontId="4" fillId="0" borderId="0" xfId="1" applyNumberFormat="1" applyFont="1" applyAlignment="1">
      <alignment horizontal="right"/>
    </xf>
    <xf numFmtId="43" fontId="4" fillId="0" borderId="0" xfId="0" applyNumberFormat="1" applyFont="1"/>
    <xf numFmtId="165" fontId="4" fillId="0" borderId="0" xfId="2" applyNumberFormat="1" applyFont="1"/>
    <xf numFmtId="168" fontId="4" fillId="0" borderId="0" xfId="5" applyNumberFormat="1" applyFont="1" applyFill="1"/>
    <xf numFmtId="168" fontId="4" fillId="0" borderId="1" xfId="5" applyNumberFormat="1" applyFont="1" applyFill="1" applyBorder="1"/>
    <xf numFmtId="168" fontId="4" fillId="0" borderId="0" xfId="5" applyNumberFormat="1" applyFont="1" applyBorder="1"/>
    <xf numFmtId="168" fontId="4" fillId="0" borderId="0" xfId="0" applyNumberFormat="1" applyFont="1"/>
    <xf numFmtId="0" fontId="6" fillId="0" borderId="0" xfId="0" applyFont="1" applyAlignment="1">
      <alignment horizontal="right"/>
    </xf>
    <xf numFmtId="171" fontId="14" fillId="0" borderId="0" xfId="6" applyNumberFormat="1" applyFont="1"/>
    <xf numFmtId="168" fontId="4" fillId="0" borderId="1" xfId="1" applyNumberFormat="1" applyFont="1" applyBorder="1"/>
    <xf numFmtId="168" fontId="4" fillId="0" borderId="3" xfId="5" applyNumberFormat="1" applyFont="1" applyBorder="1"/>
    <xf numFmtId="168" fontId="4" fillId="0" borderId="4" xfId="5" applyNumberFormat="1" applyFont="1" applyBorder="1"/>
    <xf numFmtId="168" fontId="4" fillId="0" borderId="5" xfId="5" applyNumberFormat="1" applyFont="1" applyBorder="1"/>
    <xf numFmtId="168" fontId="4" fillId="0" borderId="2" xfId="5" applyNumberFormat="1" applyFont="1" applyBorder="1"/>
    <xf numFmtId="168" fontId="4" fillId="0" borderId="6" xfId="5" applyNumberFormat="1" applyFont="1" applyBorder="1"/>
    <xf numFmtId="168" fontId="4" fillId="0" borderId="7" xfId="5" applyNumberFormat="1" applyFont="1" applyBorder="1"/>
    <xf numFmtId="168" fontId="4" fillId="0" borderId="8" xfId="5" applyNumberFormat="1" applyFont="1" applyBorder="1"/>
    <xf numFmtId="168" fontId="11" fillId="0" borderId="0" xfId="1" applyNumberFormat="1" applyFont="1" applyAlignment="1"/>
    <xf numFmtId="0" fontId="11" fillId="0" borderId="2" xfId="0" applyFont="1" applyBorder="1"/>
    <xf numFmtId="0" fontId="11" fillId="0" borderId="3" xfId="0" applyFont="1" applyBorder="1"/>
    <xf numFmtId="0" fontId="11" fillId="0" borderId="7" xfId="0" applyFont="1" applyBorder="1"/>
    <xf numFmtId="0" fontId="11" fillId="0" borderId="1" xfId="0" applyFont="1" applyBorder="1"/>
    <xf numFmtId="0" fontId="4" fillId="0" borderId="3" xfId="0" applyNumberFormat="1" applyFont="1" applyBorder="1" applyAlignment="1"/>
    <xf numFmtId="0" fontId="4" fillId="0" borderId="4" xfId="0" applyNumberFormat="1" applyFont="1" applyBorder="1" applyAlignment="1"/>
    <xf numFmtId="0" fontId="4" fillId="0" borderId="5" xfId="0" applyNumberFormat="1" applyFont="1" applyBorder="1" applyAlignment="1"/>
    <xf numFmtId="0" fontId="4" fillId="0" borderId="2" xfId="0" applyNumberFormat="1" applyFont="1" applyBorder="1" applyAlignment="1"/>
    <xf numFmtId="0" fontId="4" fillId="0" borderId="0" xfId="0" applyNumberFormat="1" applyFont="1" applyBorder="1" applyAlignment="1"/>
    <xf numFmtId="0" fontId="4" fillId="0" borderId="6" xfId="0" applyNumberFormat="1" applyFont="1" applyBorder="1" applyAlignment="1"/>
    <xf numFmtId="0" fontId="6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/>
    </xf>
    <xf numFmtId="168" fontId="4" fillId="0" borderId="0" xfId="1" applyNumberFormat="1" applyFont="1" applyBorder="1" applyAlignment="1"/>
    <xf numFmtId="44" fontId="4" fillId="0" borderId="0" xfId="2" applyFont="1" applyBorder="1" applyAlignment="1"/>
    <xf numFmtId="43" fontId="4" fillId="0" borderId="0" xfId="1" applyFont="1" applyBorder="1" applyAlignment="1"/>
    <xf numFmtId="0" fontId="4" fillId="0" borderId="7" xfId="0" applyNumberFormat="1" applyFont="1" applyBorder="1" applyAlignment="1"/>
    <xf numFmtId="168" fontId="4" fillId="0" borderId="1" xfId="1" applyNumberFormat="1" applyFont="1" applyBorder="1" applyAlignment="1"/>
    <xf numFmtId="0" fontId="4" fillId="0" borderId="1" xfId="0" applyNumberFormat="1" applyFont="1" applyBorder="1" applyAlignment="1"/>
    <xf numFmtId="0" fontId="4" fillId="0" borderId="8" xfId="0" applyNumberFormat="1" applyFont="1" applyBorder="1" applyAlignment="1"/>
    <xf numFmtId="0" fontId="4" fillId="0" borderId="0" xfId="0" applyNumberFormat="1" applyFont="1" applyAlignment="1"/>
    <xf numFmtId="0" fontId="14" fillId="0" borderId="0" xfId="0" applyNumberFormat="1" applyFont="1" applyAlignment="1">
      <alignment horizontal="center"/>
    </xf>
    <xf numFmtId="44" fontId="4" fillId="0" borderId="0" xfId="0" applyNumberFormat="1" applyFont="1" applyAlignment="1"/>
    <xf numFmtId="169" fontId="4" fillId="0" borderId="0" xfId="3" applyNumberFormat="1" applyFont="1" applyAlignment="1"/>
    <xf numFmtId="168" fontId="9" fillId="0" borderId="2" xfId="5" applyNumberFormat="1" applyFont="1" applyBorder="1" applyAlignment="1">
      <alignment horizontal="centerContinuous"/>
    </xf>
    <xf numFmtId="168" fontId="3" fillId="0" borderId="0" xfId="5" applyNumberFormat="1" applyFont="1" applyAlignment="1">
      <alignment horizontal="centerContinuous"/>
    </xf>
    <xf numFmtId="168" fontId="16" fillId="0" borderId="2" xfId="5" applyNumberFormat="1" applyFont="1" applyBorder="1" applyAlignment="1">
      <alignment horizontal="centerContinuous"/>
    </xf>
    <xf numFmtId="168" fontId="6" fillId="0" borderId="0" xfId="5" applyNumberFormat="1" applyFont="1" applyAlignment="1">
      <alignment horizontal="centerContinuous"/>
    </xf>
    <xf numFmtId="168" fontId="4" fillId="0" borderId="0" xfId="5" applyNumberFormat="1" applyFont="1" applyAlignment="1">
      <alignment horizontal="centerContinuous"/>
    </xf>
    <xf numFmtId="168" fontId="4" fillId="0" borderId="2" xfId="5" applyNumberFormat="1" applyFont="1" applyBorder="1" applyAlignment="1">
      <alignment horizontal="centerContinuous"/>
    </xf>
    <xf numFmtId="168" fontId="4" fillId="0" borderId="3" xfId="5" applyNumberFormat="1" applyFont="1" applyBorder="1" applyAlignment="1">
      <alignment horizontal="left"/>
    </xf>
    <xf numFmtId="168" fontId="4" fillId="0" borderId="2" xfId="5" applyNumberFormat="1" applyFont="1" applyBorder="1" applyAlignment="1">
      <alignment horizontal="center"/>
    </xf>
    <xf numFmtId="168" fontId="4" fillId="0" borderId="0" xfId="5" applyNumberFormat="1" applyFont="1" applyAlignment="1">
      <alignment horizontal="center"/>
    </xf>
    <xf numFmtId="168" fontId="4" fillId="0" borderId="2" xfId="5" quotePrefix="1" applyNumberFormat="1" applyFont="1" applyBorder="1" applyAlignment="1">
      <alignment horizontal="left"/>
    </xf>
    <xf numFmtId="168" fontId="3" fillId="0" borderId="2" xfId="5" applyNumberFormat="1" applyFont="1" applyBorder="1" applyAlignment="1">
      <alignment horizontal="center"/>
    </xf>
    <xf numFmtId="168" fontId="3" fillId="0" borderId="2" xfId="5" quotePrefix="1" applyNumberFormat="1" applyFont="1" applyBorder="1" applyAlignment="1">
      <alignment horizontal="left"/>
    </xf>
    <xf numFmtId="168" fontId="3" fillId="0" borderId="7" xfId="5" applyNumberFormat="1" applyFont="1" applyBorder="1" applyAlignment="1">
      <alignment horizontal="right"/>
    </xf>
    <xf numFmtId="168" fontId="3" fillId="0" borderId="1" xfId="5" applyNumberFormat="1" applyFont="1" applyBorder="1" applyAlignment="1">
      <alignment horizontal="right"/>
    </xf>
    <xf numFmtId="168" fontId="3" fillId="0" borderId="8" xfId="5" applyNumberFormat="1" applyFont="1" applyBorder="1" applyAlignment="1">
      <alignment horizontal="right"/>
    </xf>
    <xf numFmtId="168" fontId="3" fillId="0" borderId="2" xfId="5" applyNumberFormat="1" applyFont="1" applyBorder="1" applyAlignment="1">
      <alignment horizontal="right"/>
    </xf>
    <xf numFmtId="168" fontId="3" fillId="0" borderId="0" xfId="5" applyNumberFormat="1" applyFont="1" applyAlignment="1">
      <alignment horizontal="right"/>
    </xf>
    <xf numFmtId="168" fontId="3" fillId="0" borderId="0" xfId="5" applyNumberFormat="1" applyFont="1"/>
    <xf numFmtId="165" fontId="3" fillId="0" borderId="0" xfId="4" applyNumberFormat="1" applyFont="1"/>
    <xf numFmtId="168" fontId="4" fillId="0" borderId="7" xfId="5" applyNumberFormat="1" applyFont="1" applyBorder="1" applyAlignment="1">
      <alignment horizontal="center"/>
    </xf>
    <xf numFmtId="168" fontId="4" fillId="0" borderId="1" xfId="5" applyNumberFormat="1" applyFont="1" applyBorder="1" applyAlignment="1">
      <alignment horizontal="center"/>
    </xf>
    <xf numFmtId="168" fontId="8" fillId="0" borderId="0" xfId="1" applyNumberFormat="1" applyFont="1" applyAlignment="1">
      <alignment horizontal="right"/>
    </xf>
    <xf numFmtId="0" fontId="13" fillId="0" borderId="0" xfId="0" applyFont="1"/>
    <xf numFmtId="3" fontId="9" fillId="0" borderId="0" xfId="0" applyNumberFormat="1" applyFont="1" applyAlignment="1">
      <alignment horizontal="center" vertical="center"/>
    </xf>
    <xf numFmtId="0" fontId="4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right"/>
    </xf>
    <xf numFmtId="168" fontId="8" fillId="0" borderId="0" xfId="1" applyNumberFormat="1" applyFont="1" applyFill="1"/>
    <xf numFmtId="0" fontId="4" fillId="0" borderId="1" xfId="0" applyFont="1" applyBorder="1" applyAlignment="1">
      <alignment horizontal="left"/>
    </xf>
    <xf numFmtId="168" fontId="4" fillId="0" borderId="4" xfId="5" applyNumberFormat="1" applyFont="1" applyBorder="1" applyAlignment="1">
      <alignment horizontal="left"/>
    </xf>
    <xf numFmtId="168" fontId="4" fillId="0" borderId="5" xfId="5" applyNumberFormat="1" applyFont="1" applyBorder="1" applyAlignment="1">
      <alignment horizontal="left"/>
    </xf>
    <xf numFmtId="168" fontId="7" fillId="0" borderId="0" xfId="5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/>
    </xf>
    <xf numFmtId="43" fontId="4" fillId="0" borderId="0" xfId="1" applyFont="1"/>
    <xf numFmtId="43" fontId="8" fillId="0" borderId="0" xfId="1" applyFont="1"/>
    <xf numFmtId="43" fontId="4" fillId="0" borderId="0" xfId="1" applyFont="1" applyFill="1"/>
    <xf numFmtId="3" fontId="6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43" fontId="4" fillId="0" borderId="0" xfId="1" applyFont="1" applyAlignment="1"/>
    <xf numFmtId="43" fontId="8" fillId="0" borderId="0" xfId="5" applyFont="1" applyAlignment="1">
      <alignment horizontal="center"/>
    </xf>
    <xf numFmtId="9" fontId="4" fillId="0" borderId="0" xfId="3" applyFont="1"/>
    <xf numFmtId="43" fontId="4" fillId="0" borderId="0" xfId="1" applyFont="1" applyAlignment="1">
      <alignment horizontal="right"/>
    </xf>
    <xf numFmtId="168" fontId="6" fillId="0" borderId="0" xfId="1" applyNumberFormat="1" applyFont="1" applyBorder="1" applyAlignment="1">
      <alignment horizontal="center"/>
    </xf>
    <xf numFmtId="43" fontId="11" fillId="0" borderId="0" xfId="3" applyNumberFormat="1" applyFont="1" applyAlignment="1"/>
    <xf numFmtId="167" fontId="4" fillId="0" borderId="0" xfId="0" applyNumberFormat="1" applyFont="1"/>
    <xf numFmtId="0" fontId="19" fillId="0" borderId="0" xfId="0" applyFont="1" applyAlignment="1">
      <alignment horizontal="center"/>
    </xf>
    <xf numFmtId="0" fontId="20" fillId="0" borderId="0" xfId="0" applyFont="1"/>
    <xf numFmtId="165" fontId="20" fillId="0" borderId="9" xfId="2" applyNumberFormat="1" applyFont="1" applyBorder="1"/>
    <xf numFmtId="165" fontId="4" fillId="0" borderId="1" xfId="2" applyNumberFormat="1" applyFont="1" applyBorder="1"/>
    <xf numFmtId="10" fontId="4" fillId="0" borderId="1" xfId="0" applyNumberFormat="1" applyFont="1" applyBorder="1"/>
    <xf numFmtId="171" fontId="3" fillId="0" borderId="0" xfId="6" applyNumberFormat="1" applyFont="1"/>
    <xf numFmtId="43" fontId="3" fillId="0" borderId="0" xfId="1" applyFont="1"/>
    <xf numFmtId="43" fontId="3" fillId="0" borderId="0" xfId="1" applyFont="1" applyAlignment="1">
      <alignment horizontal="right"/>
    </xf>
    <xf numFmtId="0" fontId="3" fillId="0" borderId="0" xfId="0" applyFont="1"/>
    <xf numFmtId="168" fontId="3" fillId="0" borderId="0" xfId="1" applyNumberFormat="1" applyFont="1"/>
    <xf numFmtId="168" fontId="7" fillId="0" borderId="0" xfId="1" applyNumberFormat="1" applyFont="1"/>
    <xf numFmtId="168" fontId="3" fillId="0" borderId="0" xfId="0" applyNumberFormat="1" applyFont="1"/>
    <xf numFmtId="0" fontId="14" fillId="0" borderId="0" xfId="0" applyNumberFormat="1" applyFont="1" applyBorder="1" applyAlignment="1">
      <alignment horizontal="center"/>
    </xf>
    <xf numFmtId="10" fontId="11" fillId="0" borderId="0" xfId="3" applyNumberFormat="1" applyFont="1" applyAlignment="1"/>
    <xf numFmtId="168" fontId="4" fillId="0" borderId="0" xfId="5" quotePrefix="1" applyNumberFormat="1" applyFont="1" applyBorder="1" applyAlignment="1">
      <alignment horizontal="center"/>
    </xf>
    <xf numFmtId="168" fontId="4" fillId="0" borderId="10" xfId="5" applyNumberFormat="1" applyFont="1" applyBorder="1" applyAlignment="1">
      <alignment horizontal="left"/>
    </xf>
    <xf numFmtId="168" fontId="4" fillId="0" borderId="11" xfId="5" applyNumberFormat="1" applyFont="1" applyBorder="1"/>
    <xf numFmtId="168" fontId="4" fillId="0" borderId="11" xfId="5" quotePrefix="1" applyNumberFormat="1" applyFont="1" applyBorder="1" applyAlignment="1">
      <alignment horizontal="center"/>
    </xf>
    <xf numFmtId="168" fontId="3" fillId="0" borderId="12" xfId="5" applyNumberFormat="1" applyFont="1" applyBorder="1" applyAlignment="1">
      <alignment horizontal="right"/>
    </xf>
    <xf numFmtId="3" fontId="22" fillId="0" borderId="0" xfId="0" applyNumberFormat="1" applyFont="1"/>
    <xf numFmtId="0" fontId="4" fillId="0" borderId="1" xfId="0" applyFont="1" applyBorder="1" applyAlignment="1">
      <alignment horizontal="center"/>
    </xf>
    <xf numFmtId="168" fontId="17" fillId="0" borderId="0" xfId="1" applyNumberFormat="1" applyFont="1"/>
    <xf numFmtId="174" fontId="4" fillId="0" borderId="0" xfId="0" applyNumberFormat="1" applyFont="1"/>
    <xf numFmtId="43" fontId="8" fillId="0" borderId="0" xfId="1" applyFont="1" applyAlignment="1">
      <alignment horizontal="center"/>
    </xf>
    <xf numFmtId="173" fontId="4" fillId="0" borderId="0" xfId="1" applyNumberFormat="1" applyFont="1" applyFill="1" applyBorder="1"/>
    <xf numFmtId="168" fontId="4" fillId="0" borderId="0" xfId="1" applyNumberFormat="1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/>
    <xf numFmtId="173" fontId="4" fillId="0" borderId="0" xfId="0" applyNumberFormat="1" applyFont="1" applyFill="1" applyBorder="1"/>
    <xf numFmtId="0" fontId="25" fillId="0" borderId="0" xfId="0" applyFont="1" applyFill="1" applyBorder="1" applyAlignment="1">
      <alignment horizontal="right"/>
    </xf>
    <xf numFmtId="43" fontId="3" fillId="0" borderId="0" xfId="0" applyNumberFormat="1" applyFont="1" applyFill="1" applyBorder="1"/>
    <xf numFmtId="43" fontId="3" fillId="0" borderId="0" xfId="5" applyFont="1" applyAlignment="1">
      <alignment horizontal="right"/>
    </xf>
    <xf numFmtId="168" fontId="3" fillId="0" borderId="0" xfId="1" applyNumberFormat="1" applyFont="1" applyAlignment="1">
      <alignment horizontal="right"/>
    </xf>
    <xf numFmtId="43" fontId="4" fillId="0" borderId="0" xfId="1" quotePrefix="1" applyFont="1" applyAlignment="1">
      <alignment horizontal="right"/>
    </xf>
    <xf numFmtId="0" fontId="1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12" fillId="0" borderId="0" xfId="0" applyNumberFormat="1" applyFont="1" applyAlignment="1"/>
    <xf numFmtId="10" fontId="4" fillId="0" borderId="0" xfId="3" applyNumberFormat="1" applyFont="1"/>
    <xf numFmtId="3" fontId="2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8" fontId="11" fillId="0" borderId="2" xfId="5" applyNumberFormat="1" applyFont="1" applyBorder="1" applyAlignment="1">
      <alignment horizontal="centerContinuous"/>
    </xf>
    <xf numFmtId="168" fontId="7" fillId="0" borderId="0" xfId="5" applyNumberFormat="1" applyFont="1" applyAlignment="1">
      <alignment horizontal="center" vertical="center"/>
    </xf>
    <xf numFmtId="168" fontId="3" fillId="0" borderId="6" xfId="5" applyNumberFormat="1" applyFont="1" applyBorder="1" applyAlignment="1">
      <alignment horizontal="center" vertical="center"/>
    </xf>
    <xf numFmtId="168" fontId="3" fillId="0" borderId="0" xfId="5" applyNumberFormat="1" applyFont="1" applyAlignment="1">
      <alignment horizontal="center" vertical="center"/>
    </xf>
    <xf numFmtId="168" fontId="7" fillId="0" borderId="6" xfId="5" applyNumberFormat="1" applyFont="1" applyBorder="1" applyAlignment="1">
      <alignment horizontal="center" vertical="center"/>
    </xf>
    <xf numFmtId="168" fontId="4" fillId="0" borderId="11" xfId="5" applyNumberFormat="1" applyFont="1" applyBorder="1" applyAlignment="1">
      <alignment horizontal="left"/>
    </xf>
    <xf numFmtId="168" fontId="4" fillId="0" borderId="6" xfId="5" applyNumberFormat="1" applyFont="1" applyBorder="1" applyAlignment="1">
      <alignment horizontal="center"/>
    </xf>
    <xf numFmtId="168" fontId="4" fillId="0" borderId="0" xfId="5" quotePrefix="1" applyNumberFormat="1" applyFont="1" applyAlignment="1">
      <alignment horizontal="left"/>
    </xf>
    <xf numFmtId="168" fontId="4" fillId="0" borderId="6" xfId="5" quotePrefix="1" applyNumberFormat="1" applyFont="1" applyBorder="1" applyAlignment="1">
      <alignment horizontal="left"/>
    </xf>
    <xf numFmtId="168" fontId="3" fillId="0" borderId="0" xfId="5" quotePrefix="1" applyNumberFormat="1" applyFont="1" applyAlignment="1">
      <alignment horizontal="left"/>
    </xf>
    <xf numFmtId="168" fontId="3" fillId="0" borderId="6" xfId="5" quotePrefix="1" applyNumberFormat="1" applyFont="1" applyBorder="1" applyAlignment="1">
      <alignment horizontal="left"/>
    </xf>
    <xf numFmtId="165" fontId="3" fillId="0" borderId="0" xfId="4" quotePrefix="1" applyNumberFormat="1" applyFont="1" applyBorder="1" applyAlignment="1">
      <alignment horizontal="left"/>
    </xf>
    <xf numFmtId="168" fontId="3" fillId="0" borderId="6" xfId="5" applyNumberFormat="1" applyFont="1" applyBorder="1" applyAlignment="1">
      <alignment horizontal="right"/>
    </xf>
    <xf numFmtId="168" fontId="3" fillId="0" borderId="4" xfId="5" applyNumberFormat="1" applyFont="1" applyBorder="1" applyAlignment="1">
      <alignment horizontal="right"/>
    </xf>
    <xf numFmtId="168" fontId="3" fillId="0" borderId="2" xfId="5" applyNumberFormat="1" applyFont="1" applyBorder="1"/>
    <xf numFmtId="168" fontId="3" fillId="0" borderId="0" xfId="5" applyNumberFormat="1" applyFont="1" applyBorder="1"/>
    <xf numFmtId="165" fontId="3" fillId="0" borderId="0" xfId="4" applyNumberFormat="1" applyFont="1" applyBorder="1"/>
    <xf numFmtId="168" fontId="4" fillId="0" borderId="0" xfId="5" applyNumberFormat="1" applyFont="1" applyAlignment="1">
      <alignment horizontal="left"/>
    </xf>
    <xf numFmtId="168" fontId="14" fillId="0" borderId="0" xfId="1" applyNumberFormat="1" applyFont="1" applyAlignment="1"/>
    <xf numFmtId="168" fontId="4" fillId="0" borderId="0" xfId="5" applyNumberFormat="1" applyFont="1" applyFill="1" applyBorder="1"/>
    <xf numFmtId="43" fontId="4" fillId="0" borderId="0" xfId="1" applyFont="1" applyBorder="1"/>
    <xf numFmtId="3" fontId="4" fillId="0" borderId="0" xfId="0" quotePrefix="1" applyNumberFormat="1" applyFont="1"/>
    <xf numFmtId="0" fontId="4" fillId="0" borderId="1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3" fillId="0" borderId="0" xfId="0" quotePrefix="1" applyFont="1"/>
    <xf numFmtId="0" fontId="14" fillId="0" borderId="0" xfId="0" applyFont="1"/>
    <xf numFmtId="10" fontId="4" fillId="0" borderId="0" xfId="0" applyNumberFormat="1" applyFont="1"/>
    <xf numFmtId="10" fontId="4" fillId="0" borderId="13" xfId="0" applyNumberFormat="1" applyFont="1" applyBorder="1"/>
    <xf numFmtId="0" fontId="3" fillId="0" borderId="1" xfId="0" applyFont="1" applyBorder="1"/>
    <xf numFmtId="39" fontId="4" fillId="0" borderId="0" xfId="0" applyNumberFormat="1" applyFont="1"/>
    <xf numFmtId="39" fontId="3" fillId="0" borderId="0" xfId="0" applyNumberFormat="1" applyFont="1"/>
    <xf numFmtId="39" fontId="4" fillId="0" borderId="13" xfId="0" applyNumberFormat="1" applyFont="1" applyBorder="1"/>
    <xf numFmtId="43" fontId="4" fillId="0" borderId="0" xfId="1" quotePrefix="1" applyFont="1"/>
    <xf numFmtId="43" fontId="14" fillId="0" borderId="0" xfId="1" applyFont="1"/>
    <xf numFmtId="0" fontId="4" fillId="0" borderId="0" xfId="0" quotePrefix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14" xfId="0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39" fontId="4" fillId="0" borderId="14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9" fontId="3" fillId="0" borderId="14" xfId="0" applyNumberFormat="1" applyFont="1" applyBorder="1" applyAlignment="1">
      <alignment horizontal="center"/>
    </xf>
    <xf numFmtId="43" fontId="4" fillId="0" borderId="14" xfId="1" applyFont="1" applyBorder="1"/>
    <xf numFmtId="171" fontId="4" fillId="0" borderId="14" xfId="3" applyNumberFormat="1" applyFont="1" applyBorder="1"/>
    <xf numFmtId="39" fontId="4" fillId="0" borderId="14" xfId="0" applyNumberFormat="1" applyFont="1" applyBorder="1"/>
    <xf numFmtId="39" fontId="3" fillId="0" borderId="14" xfId="0" applyNumberFormat="1" applyFont="1" applyBorder="1"/>
    <xf numFmtId="0" fontId="4" fillId="3" borderId="14" xfId="0" applyFont="1" applyFill="1" applyBorder="1" applyAlignment="1">
      <alignment horizontal="center"/>
    </xf>
    <xf numFmtId="43" fontId="29" fillId="0" borderId="14" xfId="1" applyFont="1" applyBorder="1"/>
    <xf numFmtId="39" fontId="30" fillId="0" borderId="14" xfId="0" applyNumberFormat="1" applyFont="1" applyBorder="1"/>
    <xf numFmtId="0" fontId="4" fillId="0" borderId="14" xfId="0" applyFont="1" applyBorder="1"/>
    <xf numFmtId="39" fontId="4" fillId="2" borderId="14" xfId="0" applyNumberFormat="1" applyFont="1" applyFill="1" applyBorder="1"/>
    <xf numFmtId="169" fontId="4" fillId="0" borderId="0" xfId="3" applyNumberFormat="1" applyFont="1"/>
    <xf numFmtId="43" fontId="7" fillId="0" borderId="0" xfId="1" applyFont="1" applyAlignment="1">
      <alignment horizontal="center"/>
    </xf>
    <xf numFmtId="10" fontId="3" fillId="0" borderId="0" xfId="3" applyNumberFormat="1" applyFont="1"/>
    <xf numFmtId="168" fontId="4" fillId="0" borderId="0" xfId="1" applyNumberFormat="1" applyFont="1" applyAlignment="1">
      <alignment horizontal="center"/>
    </xf>
    <xf numFmtId="168" fontId="3" fillId="0" borderId="1" xfId="1" applyNumberFormat="1" applyFont="1" applyBorder="1"/>
    <xf numFmtId="10" fontId="17" fillId="0" borderId="0" xfId="3" applyNumberFormat="1" applyFont="1"/>
    <xf numFmtId="176" fontId="4" fillId="0" borderId="0" xfId="0" applyNumberFormat="1" applyFont="1"/>
    <xf numFmtId="168" fontId="4" fillId="2" borderId="0" xfId="1" applyNumberFormat="1" applyFont="1" applyFill="1"/>
    <xf numFmtId="0" fontId="4" fillId="2" borderId="14" xfId="0" applyFont="1" applyFill="1" applyBorder="1" applyAlignment="1">
      <alignment horizontal="center"/>
    </xf>
    <xf numFmtId="43" fontId="29" fillId="2" borderId="14" xfId="1" applyFont="1" applyFill="1" applyBorder="1"/>
    <xf numFmtId="171" fontId="4" fillId="2" borderId="14" xfId="3" applyNumberFormat="1" applyFont="1" applyFill="1" applyBorder="1"/>
    <xf numFmtId="39" fontId="30" fillId="2" borderId="14" xfId="0" applyNumberFormat="1" applyFont="1" applyFill="1" applyBorder="1"/>
    <xf numFmtId="0" fontId="6" fillId="0" borderId="0" xfId="0" applyFont="1" applyAlignment="1">
      <alignment horizontal="center"/>
    </xf>
    <xf numFmtId="39" fontId="30" fillId="0" borderId="0" xfId="0" applyNumberFormat="1" applyFont="1"/>
    <xf numFmtId="43" fontId="3" fillId="0" borderId="14" xfId="1" applyFont="1" applyBorder="1"/>
    <xf numFmtId="10" fontId="4" fillId="0" borderId="14" xfId="3" applyNumberFormat="1" applyFont="1" applyBorder="1"/>
    <xf numFmtId="37" fontId="30" fillId="0" borderId="0" xfId="0" applyNumberFormat="1" applyFont="1"/>
    <xf numFmtId="0" fontId="3" fillId="0" borderId="0" xfId="0" applyFont="1" applyBorder="1" applyAlignment="1">
      <alignment horizontal="center"/>
    </xf>
    <xf numFmtId="0" fontId="31" fillId="0" borderId="0" xfId="0" applyFont="1"/>
    <xf numFmtId="168" fontId="32" fillId="0" borderId="0" xfId="1" applyNumberFormat="1" applyFont="1"/>
    <xf numFmtId="168" fontId="31" fillId="0" borderId="0" xfId="1" applyNumberFormat="1" applyFont="1"/>
    <xf numFmtId="168" fontId="4" fillId="0" borderId="0" xfId="1" applyNumberFormat="1" applyFont="1" applyFill="1"/>
    <xf numFmtId="168" fontId="4" fillId="4" borderId="11" xfId="1" applyNumberFormat="1" applyFont="1" applyFill="1" applyBorder="1"/>
    <xf numFmtId="168" fontId="8" fillId="4" borderId="11" xfId="1" applyNumberFormat="1" applyFont="1" applyFill="1" applyBorder="1"/>
    <xf numFmtId="168" fontId="4" fillId="4" borderId="12" xfId="1" applyNumberFormat="1" applyFont="1" applyFill="1" applyBorder="1"/>
    <xf numFmtId="43" fontId="8" fillId="4" borderId="10" xfId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0" fontId="3" fillId="0" borderId="0" xfId="0" applyFont="1" applyFill="1"/>
    <xf numFmtId="165" fontId="3" fillId="0" borderId="0" xfId="0" applyNumberFormat="1" applyFont="1" applyFill="1"/>
    <xf numFmtId="3" fontId="11" fillId="0" borderId="4" xfId="0" applyNumberFormat="1" applyFont="1" applyBorder="1" applyAlignment="1"/>
    <xf numFmtId="3" fontId="27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/>
    <xf numFmtId="3" fontId="11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3" fontId="28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27" fillId="0" borderId="0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8" fontId="4" fillId="0" borderId="0" xfId="1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8" fontId="4" fillId="0" borderId="6" xfId="1" applyNumberFormat="1" applyFont="1" applyBorder="1" applyAlignment="1">
      <alignment vertical="center"/>
    </xf>
    <xf numFmtId="0" fontId="11" fillId="0" borderId="0" xfId="0" applyFont="1" applyBorder="1"/>
    <xf numFmtId="168" fontId="8" fillId="0" borderId="0" xfId="1" applyNumberFormat="1" applyFont="1" applyBorder="1" applyAlignment="1">
      <alignment vertical="center"/>
    </xf>
    <xf numFmtId="168" fontId="8" fillId="0" borderId="6" xfId="1" applyNumberFormat="1" applyFont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4" fillId="0" borderId="6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vertical="center"/>
    </xf>
    <xf numFmtId="168" fontId="11" fillId="0" borderId="6" xfId="1" applyNumberFormat="1" applyFont="1" applyBorder="1"/>
    <xf numFmtId="168" fontId="4" fillId="0" borderId="6" xfId="1" quotePrefix="1" applyNumberFormat="1" applyFont="1" applyBorder="1" applyAlignment="1">
      <alignment vertical="center"/>
    </xf>
    <xf numFmtId="165" fontId="4" fillId="0" borderId="6" xfId="2" applyNumberFormat="1" applyFont="1" applyBorder="1" applyAlignment="1">
      <alignment vertical="center"/>
    </xf>
    <xf numFmtId="10" fontId="4" fillId="0" borderId="6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center"/>
    </xf>
    <xf numFmtId="3" fontId="11" fillId="0" borderId="0" xfId="0" applyNumberFormat="1" applyFont="1" applyBorder="1" applyAlignment="1"/>
    <xf numFmtId="3" fontId="14" fillId="0" borderId="0" xfId="0" applyNumberFormat="1" applyFont="1" applyBorder="1" applyAlignment="1">
      <alignment vertical="center"/>
    </xf>
    <xf numFmtId="168" fontId="4" fillId="0" borderId="0" xfId="1" quotePrefix="1" applyNumberFormat="1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8" fontId="15" fillId="0" borderId="0" xfId="1" applyNumberFormat="1" applyFont="1" applyBorder="1" applyAlignment="1">
      <alignment vertical="center"/>
    </xf>
    <xf numFmtId="168" fontId="21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right"/>
    </xf>
    <xf numFmtId="39" fontId="3" fillId="0" borderId="0" xfId="0" quotePrefix="1" applyNumberFormat="1" applyFont="1" applyAlignment="1">
      <alignment horizontal="center"/>
    </xf>
    <xf numFmtId="165" fontId="3" fillId="0" borderId="9" xfId="2" applyNumberFormat="1" applyFont="1" applyBorder="1"/>
    <xf numFmtId="0" fontId="3" fillId="0" borderId="0" xfId="0" applyFont="1" applyAlignment="1">
      <alignment horizontal="right"/>
    </xf>
    <xf numFmtId="169" fontId="4" fillId="0" borderId="0" xfId="6" applyNumberFormat="1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6" fillId="0" borderId="0" xfId="0" applyFont="1" applyAlignment="1">
      <alignment horizontal="centerContinuous"/>
    </xf>
    <xf numFmtId="0" fontId="3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1" fillId="0" borderId="15" xfId="0" applyFont="1" applyBorder="1"/>
    <xf numFmtId="0" fontId="4" fillId="0" borderId="0" xfId="0" applyFont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4" fillId="0" borderId="16" xfId="0" applyFont="1" applyBorder="1"/>
    <xf numFmtId="3" fontId="4" fillId="0" borderId="0" xfId="0" applyNumberFormat="1" applyFont="1" applyAlignment="1">
      <alignment horizontal="center"/>
    </xf>
    <xf numFmtId="168" fontId="4" fillId="0" borderId="0" xfId="5" applyNumberFormat="1" applyFont="1" applyBorder="1" applyAlignment="1"/>
    <xf numFmtId="43" fontId="4" fillId="0" borderId="0" xfId="5" applyFont="1" applyBorder="1" applyAlignment="1"/>
    <xf numFmtId="43" fontId="4" fillId="0" borderId="0" xfId="5" applyFont="1" applyBorder="1"/>
    <xf numFmtId="43" fontId="4" fillId="0" borderId="16" xfId="5" applyFont="1" applyBorder="1"/>
    <xf numFmtId="170" fontId="4" fillId="0" borderId="0" xfId="5" applyNumberFormat="1" applyFont="1" applyBorder="1" applyAlignment="1"/>
    <xf numFmtId="0" fontId="3" fillId="0" borderId="0" xfId="0" applyFont="1" applyAlignment="1">
      <alignment horizontal="centerContinuous"/>
    </xf>
    <xf numFmtId="0" fontId="4" fillId="0" borderId="15" xfId="0" applyFont="1" applyBorder="1"/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177" fontId="4" fillId="0" borderId="0" xfId="0" applyNumberFormat="1" applyFont="1"/>
    <xf numFmtId="0" fontId="4" fillId="0" borderId="0" xfId="0" quotePrefix="1" applyFont="1"/>
    <xf numFmtId="177" fontId="4" fillId="0" borderId="1" xfId="0" applyNumberFormat="1" applyFont="1" applyBorder="1"/>
    <xf numFmtId="0" fontId="4" fillId="0" borderId="8" xfId="0" applyFont="1" applyBorder="1"/>
    <xf numFmtId="177" fontId="5" fillId="0" borderId="0" xfId="0" applyNumberFormat="1" applyFont="1"/>
    <xf numFmtId="3" fontId="34" fillId="0" borderId="5" xfId="0" applyNumberFormat="1" applyFont="1" applyBorder="1" applyAlignment="1">
      <alignment horizontal="center"/>
    </xf>
    <xf numFmtId="3" fontId="3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5" fontId="4" fillId="0" borderId="0" xfId="5" applyNumberFormat="1" applyFont="1" applyBorder="1" applyAlignment="1">
      <alignment vertical="center"/>
    </xf>
    <xf numFmtId="43" fontId="4" fillId="0" borderId="0" xfId="5" applyFont="1" applyBorder="1" applyAlignment="1">
      <alignment vertical="center"/>
    </xf>
    <xf numFmtId="168" fontId="4" fillId="0" borderId="0" xfId="5" applyNumberFormat="1" applyFont="1" applyBorder="1" applyAlignment="1">
      <alignment vertical="center"/>
    </xf>
    <xf numFmtId="178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horizontal="left" vertical="center"/>
    </xf>
    <xf numFmtId="175" fontId="35" fillId="0" borderId="0" xfId="5" applyNumberFormat="1" applyFont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5" fontId="3" fillId="0" borderId="0" xfId="5" applyNumberFormat="1" applyFont="1" applyBorder="1" applyAlignment="1">
      <alignment vertical="center"/>
    </xf>
    <xf numFmtId="175" fontId="4" fillId="0" borderId="0" xfId="5" applyNumberFormat="1" applyFont="1" applyBorder="1" applyAlignment="1"/>
    <xf numFmtId="0" fontId="4" fillId="0" borderId="6" xfId="0" applyFont="1" applyBorder="1" applyAlignment="1">
      <alignment horizontal="centerContinuous"/>
    </xf>
    <xf numFmtId="3" fontId="12" fillId="0" borderId="0" xfId="0" applyNumberFormat="1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10" fontId="4" fillId="0" borderId="0" xfId="6" applyNumberFormat="1" applyFont="1" applyBorder="1"/>
    <xf numFmtId="10" fontId="4" fillId="0" borderId="6" xfId="6" applyNumberFormat="1" applyFont="1" applyBorder="1"/>
    <xf numFmtId="168" fontId="3" fillId="0" borderId="6" xfId="5" applyNumberFormat="1" applyFont="1" applyBorder="1"/>
    <xf numFmtId="3" fontId="9" fillId="0" borderId="6" xfId="0" applyNumberFormat="1" applyFont="1" applyBorder="1" applyAlignment="1">
      <alignment horizontal="center"/>
    </xf>
    <xf numFmtId="3" fontId="4" fillId="0" borderId="6" xfId="0" applyNumberFormat="1" applyFont="1" applyBorder="1"/>
    <xf numFmtId="165" fontId="4" fillId="0" borderId="0" xfId="4" applyNumberFormat="1" applyFont="1" applyBorder="1" applyAlignment="1"/>
    <xf numFmtId="43" fontId="4" fillId="0" borderId="6" xfId="5" applyFont="1" applyBorder="1" applyAlignment="1"/>
    <xf numFmtId="169" fontId="4" fillId="0" borderId="0" xfId="6" applyNumberFormat="1" applyFont="1" applyBorder="1" applyAlignment="1"/>
    <xf numFmtId="169" fontId="4" fillId="0" borderId="0" xfId="0" applyNumberFormat="1" applyFont="1"/>
    <xf numFmtId="165" fontId="4" fillId="0" borderId="0" xfId="4" applyNumberFormat="1" applyFont="1" applyBorder="1"/>
    <xf numFmtId="165" fontId="3" fillId="0" borderId="1" xfId="4" applyNumberFormat="1" applyFont="1" applyBorder="1"/>
    <xf numFmtId="3" fontId="4" fillId="0" borderId="8" xfId="0" applyNumberFormat="1" applyFont="1" applyBorder="1"/>
    <xf numFmtId="10" fontId="4" fillId="0" borderId="0" xfId="3" applyNumberFormat="1" applyFont="1" applyFill="1"/>
    <xf numFmtId="168" fontId="12" fillId="0" borderId="6" xfId="5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Continuous" vertical="center"/>
    </xf>
    <xf numFmtId="0" fontId="14" fillId="0" borderId="6" xfId="0" applyFont="1" applyBorder="1" applyAlignment="1">
      <alignment horizontal="center"/>
    </xf>
    <xf numFmtId="179" fontId="4" fillId="0" borderId="0" xfId="0" applyNumberFormat="1" applyFont="1"/>
    <xf numFmtId="0" fontId="17" fillId="0" borderId="0" xfId="0" applyFont="1" applyAlignment="1">
      <alignment horizontal="center"/>
    </xf>
    <xf numFmtId="44" fontId="4" fillId="0" borderId="0" xfId="4" applyFont="1" applyBorder="1"/>
    <xf numFmtId="44" fontId="4" fillId="0" borderId="6" xfId="4" applyFont="1" applyBorder="1"/>
    <xf numFmtId="0" fontId="12" fillId="0" borderId="0" xfId="0" applyFont="1"/>
    <xf numFmtId="3" fontId="11" fillId="0" borderId="0" xfId="0" applyNumberFormat="1" applyFont="1"/>
    <xf numFmtId="180" fontId="12" fillId="0" borderId="0" xfId="0" applyNumberFormat="1" applyFont="1"/>
    <xf numFmtId="4" fontId="4" fillId="0" borderId="0" xfId="0" applyNumberFormat="1" applyFont="1"/>
    <xf numFmtId="4" fontId="4" fillId="0" borderId="6" xfId="0" applyNumberFormat="1" applyFont="1" applyBorder="1"/>
    <xf numFmtId="10" fontId="4" fillId="0" borderId="0" xfId="6" applyNumberFormat="1" applyFont="1"/>
    <xf numFmtId="0" fontId="4" fillId="0" borderId="18" xfId="0" applyFont="1" applyBorder="1"/>
    <xf numFmtId="0" fontId="11" fillId="0" borderId="0" xfId="0" applyFont="1" applyAlignment="1">
      <alignment horizontal="left"/>
    </xf>
    <xf numFmtId="168" fontId="38" fillId="0" borderId="0" xfId="1" applyNumberFormat="1" applyFont="1"/>
    <xf numFmtId="43" fontId="4" fillId="0" borderId="0" xfId="1" applyFont="1" applyBorder="1" applyAlignment="1">
      <alignment vertical="center"/>
    </xf>
    <xf numFmtId="3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8" fontId="8" fillId="0" borderId="0" xfId="5" applyNumberFormat="1" applyFont="1" applyBorder="1" applyAlignment="1">
      <alignment horizontal="center"/>
    </xf>
    <xf numFmtId="3" fontId="9" fillId="0" borderId="0" xfId="0" applyNumberFormat="1" applyFont="1" applyAlignment="1">
      <alignment vertical="center"/>
    </xf>
    <xf numFmtId="3" fontId="9" fillId="0" borderId="6" xfId="0" applyNumberFormat="1" applyFont="1" applyBorder="1" applyAlignment="1">
      <alignment vertical="center"/>
    </xf>
    <xf numFmtId="168" fontId="12" fillId="0" borderId="1" xfId="5" applyNumberFormat="1" applyFont="1" applyBorder="1" applyAlignment="1">
      <alignment horizontal="center" vertical="center"/>
    </xf>
    <xf numFmtId="168" fontId="3" fillId="0" borderId="8" xfId="5" applyNumberFormat="1" applyFont="1" applyBorder="1" applyAlignment="1">
      <alignment horizontal="center" vertical="center"/>
    </xf>
    <xf numFmtId="43" fontId="4" fillId="0" borderId="0" xfId="5" applyNumberFormat="1" applyFont="1" applyBorder="1"/>
    <xf numFmtId="0" fontId="16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168" fontId="12" fillId="0" borderId="8" xfId="5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8" fontId="37" fillId="0" borderId="0" xfId="5" applyNumberFormat="1" applyFont="1" applyBorder="1" applyAlignment="1">
      <alignment vertical="top"/>
    </xf>
    <xf numFmtId="168" fontId="4" fillId="0" borderId="0" xfId="5" applyNumberFormat="1" applyFont="1" applyBorder="1" applyAlignment="1">
      <alignment horizontal="left"/>
    </xf>
    <xf numFmtId="3" fontId="36" fillId="0" borderId="4" xfId="0" applyNumberFormat="1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43" fontId="3" fillId="0" borderId="0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37" fillId="0" borderId="0" xfId="5" applyFont="1" applyBorder="1" applyAlignment="1">
      <alignment vertical="top"/>
    </xf>
    <xf numFmtId="43" fontId="4" fillId="0" borderId="0" xfId="5" applyFont="1" applyBorder="1" applyAlignment="1">
      <alignment horizontal="left"/>
    </xf>
    <xf numFmtId="43" fontId="3" fillId="0" borderId="0" xfId="5" applyFont="1" applyBorder="1"/>
    <xf numFmtId="10" fontId="4" fillId="0" borderId="0" xfId="0" applyNumberFormat="1" applyFont="1" applyBorder="1"/>
    <xf numFmtId="43" fontId="3" fillId="0" borderId="0" xfId="5" applyFont="1" applyBorder="1" applyAlignment="1"/>
    <xf numFmtId="0" fontId="0" fillId="0" borderId="0" xfId="0" applyBorder="1"/>
    <xf numFmtId="168" fontId="3" fillId="0" borderId="0" xfId="1" applyNumberFormat="1" applyFont="1" applyBorder="1"/>
    <xf numFmtId="43" fontId="3" fillId="0" borderId="1" xfId="5" applyFont="1" applyBorder="1" applyAlignment="1"/>
    <xf numFmtId="168" fontId="4" fillId="0" borderId="0" xfId="1" applyNumberFormat="1" applyFont="1" applyBorder="1" applyAlignment="1">
      <alignment horizontal="right"/>
    </xf>
    <xf numFmtId="168" fontId="8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3" fontId="17" fillId="0" borderId="0" xfId="0" applyNumberFormat="1" applyFont="1"/>
    <xf numFmtId="43" fontId="4" fillId="0" borderId="16" xfId="0" applyNumberFormat="1" applyFont="1" applyBorder="1"/>
    <xf numFmtId="43" fontId="4" fillId="0" borderId="2" xfId="5" applyNumberFormat="1" applyFont="1" applyBorder="1"/>
    <xf numFmtId="168" fontId="7" fillId="0" borderId="0" xfId="5" quotePrefix="1" applyNumberFormat="1" applyFont="1" applyBorder="1" applyAlignment="1">
      <alignment horizontal="center"/>
    </xf>
    <xf numFmtId="168" fontId="4" fillId="0" borderId="0" xfId="5" applyNumberFormat="1" applyFont="1" applyAlignment="1">
      <alignment horizontal="right"/>
    </xf>
    <xf numFmtId="168" fontId="7" fillId="0" borderId="0" xfId="5" applyNumberFormat="1" applyFont="1" applyAlignment="1">
      <alignment horizontal="center"/>
    </xf>
    <xf numFmtId="168" fontId="7" fillId="0" borderId="2" xfId="5" applyNumberFormat="1" applyFont="1" applyBorder="1" applyAlignment="1">
      <alignment horizontal="center"/>
    </xf>
    <xf numFmtId="168" fontId="7" fillId="0" borderId="0" xfId="5" applyNumberFormat="1" applyFont="1" applyBorder="1" applyAlignment="1">
      <alignment horizontal="center"/>
    </xf>
    <xf numFmtId="168" fontId="8" fillId="0" borderId="0" xfId="5" applyNumberFormat="1" applyFont="1" applyAlignment="1">
      <alignment horizontal="center"/>
    </xf>
    <xf numFmtId="168" fontId="4" fillId="0" borderId="2" xfId="1" applyNumberFormat="1" applyFont="1" applyBorder="1"/>
    <xf numFmtId="168" fontId="8" fillId="0" borderId="2" xfId="1" applyNumberFormat="1" applyFont="1" applyBorder="1"/>
    <xf numFmtId="168" fontId="14" fillId="0" borderId="0" xfId="5" applyNumberFormat="1" applyFont="1" applyBorder="1" applyAlignment="1">
      <alignment horizontal="center"/>
    </xf>
    <xf numFmtId="168" fontId="8" fillId="0" borderId="0" xfId="5" applyNumberFormat="1" applyFont="1" applyBorder="1"/>
    <xf numFmtId="175" fontId="4" fillId="0" borderId="0" xfId="5" applyNumberFormat="1" applyFont="1"/>
    <xf numFmtId="168" fontId="9" fillId="0" borderId="0" xfId="5" applyNumberFormat="1" applyFont="1" applyBorder="1" applyAlignment="1">
      <alignment horizontal="center" vertical="center"/>
    </xf>
    <xf numFmtId="168" fontId="9" fillId="0" borderId="6" xfId="5" applyNumberFormat="1" applyFont="1" applyBorder="1" applyAlignment="1">
      <alignment horizontal="center" vertical="center"/>
    </xf>
    <xf numFmtId="168" fontId="14" fillId="0" borderId="6" xfId="5" applyNumberFormat="1" applyFont="1" applyBorder="1" applyAlignment="1">
      <alignment horizontal="center"/>
    </xf>
    <xf numFmtId="9" fontId="4" fillId="0" borderId="0" xfId="6" applyFont="1"/>
    <xf numFmtId="168" fontId="8" fillId="0" borderId="6" xfId="5" applyNumberFormat="1" applyFont="1" applyBorder="1"/>
    <xf numFmtId="0" fontId="4" fillId="0" borderId="0" xfId="0" applyFont="1" applyAlignment="1">
      <alignment horizontal="left" vertical="top"/>
    </xf>
    <xf numFmtId="168" fontId="4" fillId="0" borderId="0" xfId="6" applyNumberFormat="1" applyFont="1"/>
    <xf numFmtId="168" fontId="8" fillId="0" borderId="0" xfId="5" applyNumberFormat="1" applyFont="1"/>
    <xf numFmtId="168" fontId="4" fillId="0" borderId="0" xfId="5" applyNumberFormat="1" applyFont="1" applyBorder="1" applyAlignment="1">
      <alignment horizontal="center"/>
    </xf>
    <xf numFmtId="168" fontId="8" fillId="0" borderId="0" xfId="5" quotePrefix="1" applyNumberFormat="1" applyFont="1" applyBorder="1" applyAlignment="1">
      <alignment horizontal="center"/>
    </xf>
    <xf numFmtId="168" fontId="8" fillId="0" borderId="6" xfId="5" quotePrefix="1" applyNumberFormat="1" applyFont="1" applyBorder="1" applyAlignment="1">
      <alignment horizontal="center"/>
    </xf>
    <xf numFmtId="9" fontId="4" fillId="0" borderId="0" xfId="6" quotePrefix="1" applyFont="1"/>
    <xf numFmtId="43" fontId="4" fillId="0" borderId="6" xfId="5" applyFont="1" applyBorder="1"/>
    <xf numFmtId="172" fontId="4" fillId="0" borderId="0" xfId="5" applyNumberFormat="1" applyFont="1" applyBorder="1"/>
    <xf numFmtId="172" fontId="4" fillId="0" borderId="6" xfId="5" applyNumberFormat="1" applyFont="1" applyBorder="1"/>
    <xf numFmtId="172" fontId="3" fillId="0" borderId="0" xfId="5" applyNumberFormat="1" applyFont="1" applyBorder="1"/>
    <xf numFmtId="172" fontId="4" fillId="0" borderId="0" xfId="4" applyNumberFormat="1" applyFont="1" applyBorder="1"/>
    <xf numFmtId="172" fontId="3" fillId="0" borderId="0" xfId="5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172" fontId="3" fillId="0" borderId="0" xfId="4" applyNumberFormat="1" applyFont="1" applyBorder="1" applyAlignment="1">
      <alignment horizontal="center"/>
    </xf>
    <xf numFmtId="172" fontId="6" fillId="0" borderId="0" xfId="4" applyNumberFormat="1" applyFont="1" applyBorder="1" applyAlignment="1">
      <alignment horizontal="right"/>
    </xf>
    <xf numFmtId="168" fontId="40" fillId="0" borderId="0" xfId="5" quotePrefix="1" applyNumberFormat="1" applyFont="1" applyAlignment="1">
      <alignment horizontal="right"/>
    </xf>
    <xf numFmtId="168" fontId="40" fillId="0" borderId="0" xfId="5" applyNumberFormat="1" applyFont="1" applyAlignment="1">
      <alignment horizontal="right"/>
    </xf>
    <xf numFmtId="172" fontId="4" fillId="0" borderId="8" xfId="5" applyNumberFormat="1" applyFont="1" applyBorder="1"/>
    <xf numFmtId="168" fontId="41" fillId="0" borderId="0" xfId="5" applyNumberFormat="1" applyFont="1" applyBorder="1"/>
    <xf numFmtId="168" fontId="40" fillId="0" borderId="0" xfId="5" applyNumberFormat="1" applyFont="1" applyBorder="1"/>
    <xf numFmtId="168" fontId="40" fillId="0" borderId="6" xfId="5" applyNumberFormat="1" applyFont="1" applyBorder="1"/>
    <xf numFmtId="168" fontId="41" fillId="0" borderId="0" xfId="5" applyNumberFormat="1" applyFont="1" applyBorder="1" applyAlignment="1">
      <alignment horizontal="center"/>
    </xf>
    <xf numFmtId="168" fontId="42" fillId="0" borderId="0" xfId="5" applyNumberFormat="1" applyFont="1" applyBorder="1" applyAlignment="1">
      <alignment horizontal="center"/>
    </xf>
    <xf numFmtId="168" fontId="40" fillId="0" borderId="0" xfId="5" quotePrefix="1" applyNumberFormat="1" applyFont="1" applyBorder="1" applyAlignment="1">
      <alignment horizontal="right"/>
    </xf>
    <xf numFmtId="43" fontId="40" fillId="0" borderId="0" xfId="5" applyFont="1" applyBorder="1"/>
    <xf numFmtId="168" fontId="40" fillId="0" borderId="0" xfId="5" applyNumberFormat="1" applyFont="1" applyBorder="1" applyAlignment="1">
      <alignment horizontal="right"/>
    </xf>
    <xf numFmtId="168" fontId="43" fillId="0" borderId="0" xfId="5" applyNumberFormat="1" applyFont="1" applyBorder="1"/>
    <xf numFmtId="3" fontId="12" fillId="0" borderId="0" xfId="0" applyNumberFormat="1" applyFont="1" applyAlignment="1">
      <alignment vertical="center"/>
    </xf>
    <xf numFmtId="3" fontId="12" fillId="0" borderId="6" xfId="0" applyNumberFormat="1" applyFont="1" applyBorder="1" applyAlignment="1">
      <alignment vertical="center"/>
    </xf>
    <xf numFmtId="168" fontId="44" fillId="0" borderId="0" xfId="5" applyNumberFormat="1" applyFont="1" applyAlignment="1">
      <alignment horizontal="right"/>
    </xf>
    <xf numFmtId="168" fontId="44" fillId="0" borderId="0" xfId="5" applyNumberFormat="1" applyFont="1"/>
    <xf numFmtId="3" fontId="12" fillId="0" borderId="8" xfId="0" applyNumberFormat="1" applyFont="1" applyBorder="1" applyAlignment="1">
      <alignment vertical="center"/>
    </xf>
    <xf numFmtId="168" fontId="12" fillId="0" borderId="0" xfId="5" applyNumberFormat="1" applyFont="1" applyBorder="1"/>
    <xf numFmtId="168" fontId="11" fillId="0" borderId="0" xfId="5" applyNumberFormat="1" applyFont="1" applyBorder="1"/>
    <xf numFmtId="3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168" fontId="40" fillId="0" borderId="0" xfId="5" applyNumberFormat="1" applyFont="1"/>
    <xf numFmtId="168" fontId="40" fillId="0" borderId="3" xfId="5" applyNumberFormat="1" applyFont="1" applyBorder="1"/>
    <xf numFmtId="168" fontId="40" fillId="0" borderId="4" xfId="5" applyNumberFormat="1" applyFont="1" applyBorder="1"/>
    <xf numFmtId="168" fontId="40" fillId="0" borderId="5" xfId="5" applyNumberFormat="1" applyFont="1" applyBorder="1"/>
    <xf numFmtId="168" fontId="40" fillId="0" borderId="2" xfId="5" applyNumberFormat="1" applyFont="1" applyBorder="1"/>
    <xf numFmtId="168" fontId="12" fillId="0" borderId="6" xfId="5" applyNumberFormat="1" applyFont="1" applyBorder="1" applyAlignment="1">
      <alignment horizontal="center"/>
    </xf>
    <xf numFmtId="168" fontId="12" fillId="0" borderId="0" xfId="5" applyNumberFormat="1" applyFont="1" applyBorder="1" applyAlignment="1">
      <alignment horizontal="center"/>
    </xf>
    <xf numFmtId="43" fontId="45" fillId="0" borderId="1" xfId="5" applyFont="1" applyBorder="1" applyAlignment="1">
      <alignment horizontal="left"/>
    </xf>
    <xf numFmtId="43" fontId="41" fillId="0" borderId="1" xfId="5" applyFont="1" applyBorder="1" applyAlignment="1">
      <alignment horizontal="left"/>
    </xf>
    <xf numFmtId="168" fontId="42" fillId="0" borderId="6" xfId="5" applyNumberFormat="1" applyFont="1" applyBorder="1" applyAlignment="1">
      <alignment horizontal="center"/>
    </xf>
    <xf numFmtId="168" fontId="42" fillId="0" borderId="0" xfId="5" applyNumberFormat="1" applyFont="1" applyAlignment="1">
      <alignment horizontal="center"/>
    </xf>
    <xf numFmtId="168" fontId="42" fillId="0" borderId="0" xfId="5" quotePrefix="1" applyNumberFormat="1" applyFont="1" applyBorder="1" applyAlignment="1">
      <alignment horizontal="center"/>
    </xf>
    <xf numFmtId="168" fontId="42" fillId="0" borderId="6" xfId="5" quotePrefix="1" applyNumberFormat="1" applyFont="1" applyBorder="1" applyAlignment="1">
      <alignment horizontal="center"/>
    </xf>
    <xf numFmtId="168" fontId="42" fillId="0" borderId="0" xfId="5" quotePrefix="1" applyNumberFormat="1" applyFont="1" applyAlignment="1">
      <alignment horizontal="center"/>
    </xf>
    <xf numFmtId="168" fontId="40" fillId="0" borderId="0" xfId="5" quotePrefix="1" applyNumberFormat="1" applyFont="1" applyBorder="1" applyAlignment="1">
      <alignment horizontal="center"/>
    </xf>
    <xf numFmtId="168" fontId="40" fillId="0" borderId="0" xfId="5" applyNumberFormat="1" applyFont="1" applyBorder="1" applyAlignment="1">
      <alignment horizontal="center"/>
    </xf>
    <xf numFmtId="168" fontId="43" fillId="0" borderId="6" xfId="5" applyNumberFormat="1" applyFont="1" applyBorder="1"/>
    <xf numFmtId="168" fontId="43" fillId="0" borderId="0" xfId="5" applyNumberFormat="1" applyFont="1"/>
    <xf numFmtId="168" fontId="41" fillId="0" borderId="0" xfId="5" applyNumberFormat="1" applyFont="1" applyBorder="1" applyAlignment="1">
      <alignment horizontal="right"/>
    </xf>
    <xf numFmtId="168" fontId="45" fillId="0" borderId="1" xfId="5" applyNumberFormat="1" applyFont="1" applyBorder="1"/>
    <xf numFmtId="168" fontId="40" fillId="0" borderId="1" xfId="5" applyNumberFormat="1" applyFont="1" applyBorder="1"/>
    <xf numFmtId="168" fontId="40" fillId="0" borderId="0" xfId="5" quotePrefix="1" applyNumberFormat="1" applyFont="1" applyBorder="1"/>
    <xf numFmtId="168" fontId="40" fillId="0" borderId="7" xfId="5" applyNumberFormat="1" applyFont="1" applyBorder="1"/>
    <xf numFmtId="168" fontId="40" fillId="0" borderId="8" xfId="5" applyNumberFormat="1" applyFont="1" applyBorder="1"/>
    <xf numFmtId="168" fontId="12" fillId="0" borderId="1" xfId="5" applyNumberFormat="1" applyFont="1" applyBorder="1" applyAlignment="1">
      <alignment horizontal="center"/>
    </xf>
    <xf numFmtId="168" fontId="12" fillId="0" borderId="8" xfId="5" applyNumberFormat="1" applyFont="1" applyBorder="1" applyAlignment="1">
      <alignment horizontal="center"/>
    </xf>
    <xf numFmtId="43" fontId="42" fillId="0" borderId="0" xfId="1" quotePrefix="1" applyFont="1" applyBorder="1" applyAlignment="1">
      <alignment horizontal="center"/>
    </xf>
    <xf numFmtId="168" fontId="4" fillId="0" borderId="7" xfId="1" applyNumberFormat="1" applyFont="1" applyBorder="1"/>
    <xf numFmtId="168" fontId="12" fillId="2" borderId="19" xfId="5" applyNumberFormat="1" applyFont="1" applyFill="1" applyBorder="1"/>
    <xf numFmtId="168" fontId="3" fillId="2" borderId="20" xfId="5" applyNumberFormat="1" applyFont="1" applyFill="1" applyBorder="1"/>
    <xf numFmtId="172" fontId="3" fillId="2" borderId="20" xfId="5" applyNumberFormat="1" applyFont="1" applyFill="1" applyBorder="1"/>
    <xf numFmtId="172" fontId="3" fillId="2" borderId="21" xfId="5" applyNumberFormat="1" applyFont="1" applyFill="1" applyBorder="1"/>
    <xf numFmtId="172" fontId="3" fillId="2" borderId="10" xfId="5" applyNumberFormat="1" applyFont="1" applyFill="1" applyBorder="1" applyAlignment="1">
      <alignment horizontal="center"/>
    </xf>
    <xf numFmtId="172" fontId="3" fillId="2" borderId="11" xfId="5" applyNumberFormat="1" applyFont="1" applyFill="1" applyBorder="1" applyAlignment="1">
      <alignment horizontal="center"/>
    </xf>
    <xf numFmtId="168" fontId="7" fillId="2" borderId="11" xfId="5" applyNumberFormat="1" applyFont="1" applyFill="1" applyBorder="1" applyAlignment="1">
      <alignment horizontal="center"/>
    </xf>
    <xf numFmtId="43" fontId="4" fillId="2" borderId="11" xfId="1" applyFont="1" applyFill="1" applyBorder="1"/>
    <xf numFmtId="43" fontId="4" fillId="2" borderId="12" xfId="1" applyFont="1" applyFill="1" applyBorder="1"/>
    <xf numFmtId="168" fontId="7" fillId="0" borderId="0" xfId="5" quotePrefix="1" applyNumberFormat="1" applyFont="1" applyBorder="1" applyAlignment="1">
      <alignment horizontal="center"/>
    </xf>
    <xf numFmtId="168" fontId="4" fillId="5" borderId="0" xfId="0" applyNumberFormat="1" applyFont="1" applyFill="1"/>
    <xf numFmtId="168" fontId="4" fillId="5" borderId="0" xfId="5" applyNumberFormat="1" applyFont="1" applyFill="1"/>
    <xf numFmtId="3" fontId="12" fillId="0" borderId="0" xfId="0" applyNumberFormat="1" applyFont="1"/>
    <xf numFmtId="168" fontId="4" fillId="6" borderId="0" xfId="5" applyNumberFormat="1" applyFont="1" applyFill="1"/>
    <xf numFmtId="168" fontId="4" fillId="2" borderId="3" xfId="1" applyNumberFormat="1" applyFont="1" applyFill="1" applyBorder="1"/>
    <xf numFmtId="168" fontId="4" fillId="2" borderId="4" xfId="1" applyNumberFormat="1" applyFont="1" applyFill="1" applyBorder="1"/>
    <xf numFmtId="168" fontId="7" fillId="2" borderId="4" xfId="5" applyNumberFormat="1" applyFont="1" applyFill="1" applyBorder="1" applyAlignment="1">
      <alignment horizontal="center"/>
    </xf>
    <xf numFmtId="168" fontId="7" fillId="2" borderId="4" xfId="1" quotePrefix="1" applyNumberFormat="1" applyFont="1" applyFill="1" applyBorder="1" applyAlignment="1">
      <alignment horizontal="center"/>
    </xf>
    <xf numFmtId="168" fontId="7" fillId="2" borderId="5" xfId="1" quotePrefix="1" applyNumberFormat="1" applyFont="1" applyFill="1" applyBorder="1" applyAlignment="1">
      <alignment horizontal="center"/>
    </xf>
    <xf numFmtId="168" fontId="4" fillId="2" borderId="2" xfId="1" applyNumberFormat="1" applyFont="1" applyFill="1" applyBorder="1"/>
    <xf numFmtId="168" fontId="4" fillId="2" borderId="0" xfId="1" quotePrefix="1" applyNumberFormat="1" applyFont="1" applyFill="1" applyBorder="1" applyAlignment="1">
      <alignment horizontal="right"/>
    </xf>
    <xf numFmtId="168" fontId="4" fillId="2" borderId="0" xfId="1" applyNumberFormat="1" applyFont="1" applyFill="1" applyBorder="1"/>
    <xf numFmtId="168" fontId="4" fillId="2" borderId="6" xfId="1" applyNumberFormat="1" applyFont="1" applyFill="1" applyBorder="1"/>
    <xf numFmtId="168" fontId="8" fillId="2" borderId="0" xfId="1" applyNumberFormat="1" applyFont="1" applyFill="1" applyBorder="1"/>
    <xf numFmtId="168" fontId="8" fillId="2" borderId="6" xfId="1" applyNumberFormat="1" applyFont="1" applyFill="1" applyBorder="1"/>
    <xf numFmtId="168" fontId="4" fillId="2" borderId="7" xfId="1" applyNumberFormat="1" applyFont="1" applyFill="1" applyBorder="1"/>
    <xf numFmtId="168" fontId="4" fillId="2" borderId="1" xfId="1" applyNumberFormat="1" applyFont="1" applyFill="1" applyBorder="1"/>
    <xf numFmtId="168" fontId="4" fillId="2" borderId="1" xfId="1" applyNumberFormat="1" applyFont="1" applyFill="1" applyBorder="1" applyAlignment="1">
      <alignment vertical="top"/>
    </xf>
    <xf numFmtId="168" fontId="4" fillId="2" borderId="8" xfId="1" applyNumberFormat="1" applyFont="1" applyFill="1" applyBorder="1" applyAlignment="1">
      <alignment vertical="top"/>
    </xf>
    <xf numFmtId="169" fontId="4" fillId="0" borderId="1" xfId="3" applyNumberFormat="1" applyFont="1" applyBorder="1"/>
    <xf numFmtId="10" fontId="14" fillId="0" borderId="0" xfId="3" applyNumberFormat="1" applyFont="1"/>
    <xf numFmtId="168" fontId="4" fillId="0" borderId="3" xfId="1" applyNumberFormat="1" applyFont="1" applyBorder="1"/>
    <xf numFmtId="168" fontId="32" fillId="0" borderId="4" xfId="1" applyNumberFormat="1" applyFont="1" applyBorder="1"/>
    <xf numFmtId="168" fontId="4" fillId="0" borderId="4" xfId="1" applyNumberFormat="1" applyFont="1" applyBorder="1"/>
    <xf numFmtId="168" fontId="4" fillId="0" borderId="5" xfId="1" applyNumberFormat="1" applyFont="1" applyBorder="1"/>
    <xf numFmtId="169" fontId="4" fillId="0" borderId="7" xfId="3" applyNumberFormat="1" applyFont="1" applyBorder="1"/>
    <xf numFmtId="9" fontId="4" fillId="0" borderId="8" xfId="3" applyFont="1" applyBorder="1"/>
    <xf numFmtId="3" fontId="0" fillId="0" borderId="0" xfId="0" applyNumberFormat="1"/>
    <xf numFmtId="44" fontId="4" fillId="0" borderId="0" xfId="2" applyFont="1"/>
    <xf numFmtId="0" fontId="46" fillId="0" borderId="0" xfId="0" applyFont="1" applyAlignment="1">
      <alignment horizontal="left" vertical="center" wrapText="1"/>
    </xf>
    <xf numFmtId="0" fontId="46" fillId="3" borderId="0" xfId="0" applyFont="1" applyFill="1" applyAlignment="1">
      <alignment horizontal="left" vertical="center" wrapText="1"/>
    </xf>
    <xf numFmtId="0" fontId="46" fillId="2" borderId="0" xfId="0" applyFont="1" applyFill="1" applyAlignment="1">
      <alignment horizontal="left" vertical="center" wrapText="1"/>
    </xf>
    <xf numFmtId="3" fontId="1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9" fontId="4" fillId="0" borderId="0" xfId="0" applyNumberFormat="1" applyFont="1" applyBorder="1"/>
    <xf numFmtId="0" fontId="46" fillId="0" borderId="0" xfId="0" applyFont="1" applyFill="1" applyAlignment="1">
      <alignment vertical="center"/>
    </xf>
    <xf numFmtId="168" fontId="18" fillId="0" borderId="0" xfId="5" applyNumberFormat="1" applyFont="1"/>
    <xf numFmtId="0" fontId="11" fillId="0" borderId="0" xfId="0" quotePrefix="1" applyNumberFormat="1" applyFont="1" applyAlignment="1"/>
    <xf numFmtId="43" fontId="11" fillId="0" borderId="0" xfId="1" applyFont="1" applyAlignment="1"/>
    <xf numFmtId="0" fontId="12" fillId="0" borderId="0" xfId="0" applyNumberFormat="1" applyFont="1" applyAlignment="1">
      <alignment horizontal="center"/>
    </xf>
    <xf numFmtId="43" fontId="39" fillId="0" borderId="0" xfId="1" applyFont="1" applyAlignment="1">
      <alignment horizontal="center"/>
    </xf>
    <xf numFmtId="44" fontId="11" fillId="0" borderId="0" xfId="0" applyNumberFormat="1" applyFont="1" applyAlignment="1"/>
    <xf numFmtId="3" fontId="1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6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68" fontId="7" fillId="0" borderId="2" xfId="5" applyNumberFormat="1" applyFont="1" applyBorder="1" applyAlignment="1">
      <alignment horizontal="center" vertical="center"/>
    </xf>
    <xf numFmtId="168" fontId="7" fillId="0" borderId="6" xfId="5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34" fillId="0" borderId="4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168" fontId="8" fillId="0" borderId="0" xfId="5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168" fontId="42" fillId="0" borderId="0" xfId="5" applyNumberFormat="1" applyFont="1" applyBorder="1" applyAlignment="1">
      <alignment horizontal="center"/>
    </xf>
    <xf numFmtId="168" fontId="39" fillId="0" borderId="0" xfId="5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 vertical="center"/>
    </xf>
    <xf numFmtId="168" fontId="7" fillId="0" borderId="0" xfId="5" quotePrefix="1" applyNumberFormat="1" applyFont="1" applyBorder="1" applyAlignment="1">
      <alignment horizontal="center"/>
    </xf>
    <xf numFmtId="168" fontId="7" fillId="0" borderId="0" xfId="5" quotePrefix="1" applyNumberFormat="1" applyFont="1" applyAlignment="1">
      <alignment horizontal="center"/>
    </xf>
    <xf numFmtId="168" fontId="7" fillId="0" borderId="2" xfId="5" quotePrefix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75" fontId="7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8" fontId="11" fillId="0" borderId="0" xfId="1" applyNumberFormat="1" applyFont="1" applyBorder="1"/>
  </cellXfs>
  <cellStyles count="7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CCFFCC"/>
      <color rgb="FF59B589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Billed Usage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Usage!$AB$5:$AB$21</c:f>
              <c:strCache>
                <c:ptCount val="17"/>
                <c:pt idx="0">
                  <c:v> -   </c:v>
                </c:pt>
                <c:pt idx="1">
                  <c:v> 5,000 </c:v>
                </c:pt>
                <c:pt idx="2">
                  <c:v> 10,000 </c:v>
                </c:pt>
                <c:pt idx="3">
                  <c:v> 15,000 </c:v>
                </c:pt>
                <c:pt idx="4">
                  <c:v> 20,000 </c:v>
                </c:pt>
                <c:pt idx="5">
                  <c:v> 25,000 </c:v>
                </c:pt>
                <c:pt idx="6">
                  <c:v> 30,000 </c:v>
                </c:pt>
                <c:pt idx="7">
                  <c:v> 35,000 </c:v>
                </c:pt>
                <c:pt idx="8">
                  <c:v> 40,000 </c:v>
                </c:pt>
                <c:pt idx="9">
                  <c:v> 45,000 </c:v>
                </c:pt>
                <c:pt idx="10">
                  <c:v> 50,000 </c:v>
                </c:pt>
                <c:pt idx="11">
                  <c:v> 55,000 </c:v>
                </c:pt>
                <c:pt idx="12">
                  <c:v> 60,000 </c:v>
                </c:pt>
                <c:pt idx="13">
                  <c:v> 65,000 </c:v>
                </c:pt>
                <c:pt idx="14">
                  <c:v> 70,000 </c:v>
                </c:pt>
                <c:pt idx="15">
                  <c:v> 75,000 </c:v>
                </c:pt>
                <c:pt idx="16">
                  <c:v> over 75,000 </c:v>
                </c:pt>
              </c:strCache>
            </c:strRef>
          </c:cat>
          <c:val>
            <c:numRef>
              <c:f>Usage!$AC$5:$AC$21</c:f>
              <c:numCache>
                <c:formatCode>_(* #,##0_);_(* \(#,##0\);_(* "-"??_);_(@_)</c:formatCode>
                <c:ptCount val="17"/>
                <c:pt idx="0">
                  <c:v>0</c:v>
                </c:pt>
                <c:pt idx="1">
                  <c:v>109043600</c:v>
                </c:pt>
                <c:pt idx="2">
                  <c:v>181646000</c:v>
                </c:pt>
                <c:pt idx="3">
                  <c:v>205996700</c:v>
                </c:pt>
                <c:pt idx="4">
                  <c:v>216942600</c:v>
                </c:pt>
                <c:pt idx="5">
                  <c:v>223114900</c:v>
                </c:pt>
                <c:pt idx="6">
                  <c:v>227462200</c:v>
                </c:pt>
                <c:pt idx="7">
                  <c:v>231556000</c:v>
                </c:pt>
                <c:pt idx="8">
                  <c:v>234764700</c:v>
                </c:pt>
                <c:pt idx="9">
                  <c:v>238229200</c:v>
                </c:pt>
                <c:pt idx="10">
                  <c:v>240711700</c:v>
                </c:pt>
                <c:pt idx="11">
                  <c:v>242652800</c:v>
                </c:pt>
                <c:pt idx="12">
                  <c:v>244557900</c:v>
                </c:pt>
                <c:pt idx="13">
                  <c:v>246004600</c:v>
                </c:pt>
                <c:pt idx="14">
                  <c:v>247082700</c:v>
                </c:pt>
                <c:pt idx="15">
                  <c:v>248252100</c:v>
                </c:pt>
                <c:pt idx="16">
                  <c:v>350348600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9-493B-912E-AECFCC27D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361664"/>
        <c:axId val="701355008"/>
      </c:lineChart>
      <c:catAx>
        <c:axId val="70136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55008"/>
        <c:crosses val="autoZero"/>
        <c:auto val="1"/>
        <c:lblAlgn val="ctr"/>
        <c:lblOffset val="100"/>
        <c:noMultiLvlLbl val="0"/>
      </c:catAx>
      <c:valAx>
        <c:axId val="70135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6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381000</xdr:colOff>
      <xdr:row>6</xdr:row>
      <xdr:rowOff>147637</xdr:rowOff>
    </xdr:from>
    <xdr:to>
      <xdr:col>35</xdr:col>
      <xdr:colOff>381000</xdr:colOff>
      <xdr:row>21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B2850-89D8-000C-A8E3-6AE31B388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60"/>
  <sheetViews>
    <sheetView tabSelected="1" workbookViewId="0"/>
  </sheetViews>
  <sheetFormatPr defaultColWidth="8.88671875" defaultRowHeight="15.75" x14ac:dyDescent="0.25"/>
  <cols>
    <col min="1" max="1" width="3.21875" style="25" customWidth="1"/>
    <col min="2" max="2" width="1.77734375" style="25" customWidth="1"/>
    <col min="3" max="3" width="1.77734375" style="24" customWidth="1"/>
    <col min="4" max="4" width="3.77734375" style="24" customWidth="1"/>
    <col min="5" max="5" width="24.6640625" style="24" customWidth="1"/>
    <col min="6" max="6" width="9.77734375" style="24" customWidth="1"/>
    <col min="7" max="7" width="10.21875" style="24" customWidth="1"/>
    <col min="8" max="8" width="4.88671875" style="199" customWidth="1"/>
    <col min="9" max="9" width="9.77734375" style="24" customWidth="1"/>
    <col min="10" max="10" width="1.77734375" style="24" customWidth="1"/>
    <col min="11" max="11" width="3.77734375" style="24" customWidth="1"/>
    <col min="12" max="12" width="9.6640625" style="24" customWidth="1"/>
    <col min="13" max="13" width="11.33203125" style="24" customWidth="1"/>
    <col min="14" max="252" width="9.6640625" style="24" customWidth="1"/>
    <col min="253" max="254" width="9.6640625" style="25" customWidth="1"/>
    <col min="255" max="16384" width="8.88671875" style="25"/>
  </cols>
  <sheetData>
    <row r="1" spans="1:16" x14ac:dyDescent="0.25">
      <c r="A1" s="303"/>
      <c r="B1" s="303"/>
      <c r="C1" s="316"/>
      <c r="D1" s="316"/>
      <c r="E1" s="316"/>
      <c r="F1" s="316"/>
      <c r="G1" s="316"/>
      <c r="H1" s="309"/>
      <c r="I1" s="316"/>
      <c r="J1" s="316"/>
      <c r="K1" s="316"/>
      <c r="L1" s="316"/>
    </row>
    <row r="2" spans="1:16" ht="6.95" customHeight="1" x14ac:dyDescent="0.25">
      <c r="A2" s="303"/>
      <c r="B2" s="92"/>
      <c r="C2" s="284"/>
      <c r="D2" s="284"/>
      <c r="E2" s="284"/>
      <c r="F2" s="284"/>
      <c r="G2" s="284"/>
      <c r="H2" s="285"/>
      <c r="I2" s="284"/>
      <c r="J2" s="286"/>
      <c r="K2" s="316"/>
      <c r="L2" s="316"/>
    </row>
    <row r="3" spans="1:16" ht="18" customHeight="1" x14ac:dyDescent="0.25">
      <c r="A3" s="303"/>
      <c r="B3" s="91"/>
      <c r="C3" s="596" t="s">
        <v>29</v>
      </c>
      <c r="D3" s="596"/>
      <c r="E3" s="596"/>
      <c r="F3" s="596"/>
      <c r="G3" s="596"/>
      <c r="H3" s="596"/>
      <c r="I3" s="596"/>
      <c r="J3" s="225"/>
      <c r="K3" s="586"/>
      <c r="L3" s="291"/>
      <c r="M3" s="23"/>
    </row>
    <row r="4" spans="1:16" ht="18" customHeight="1" x14ac:dyDescent="0.25">
      <c r="A4" s="303"/>
      <c r="B4" s="91"/>
      <c r="C4" s="595" t="s">
        <v>167</v>
      </c>
      <c r="D4" s="595"/>
      <c r="E4" s="595"/>
      <c r="F4" s="595"/>
      <c r="G4" s="595"/>
      <c r="H4" s="595"/>
      <c r="I4" s="595"/>
      <c r="J4" s="225"/>
      <c r="K4" s="586"/>
      <c r="L4" s="224"/>
      <c r="M4"/>
      <c r="N4" s="137"/>
      <c r="O4" s="137"/>
      <c r="P4" s="137"/>
    </row>
    <row r="5" spans="1:16" ht="6.95" customHeight="1" x14ac:dyDescent="0.25">
      <c r="A5" s="303"/>
      <c r="B5" s="93"/>
      <c r="C5" s="287"/>
      <c r="D5" s="287"/>
      <c r="E5" s="287"/>
      <c r="F5" s="288"/>
      <c r="G5" s="288"/>
      <c r="H5" s="289"/>
      <c r="I5" s="288"/>
      <c r="J5" s="290"/>
      <c r="K5" s="292"/>
      <c r="L5" s="291"/>
      <c r="M5" s="23"/>
    </row>
    <row r="6" spans="1:16" ht="6.95" customHeight="1" x14ac:dyDescent="0.25">
      <c r="A6" s="303"/>
      <c r="B6" s="91"/>
      <c r="C6" s="291"/>
      <c r="D6" s="291"/>
      <c r="E6" s="291"/>
      <c r="F6" s="292"/>
      <c r="G6" s="292"/>
      <c r="H6" s="293"/>
      <c r="I6" s="292"/>
      <c r="J6" s="321"/>
      <c r="K6" s="292"/>
      <c r="L6" s="291"/>
      <c r="M6" s="23"/>
    </row>
    <row r="7" spans="1:16" x14ac:dyDescent="0.25">
      <c r="A7" s="303"/>
      <c r="B7" s="91"/>
      <c r="C7" s="294"/>
      <c r="D7" s="294"/>
      <c r="E7" s="294"/>
      <c r="F7" s="295" t="s">
        <v>87</v>
      </c>
      <c r="G7" s="295" t="s">
        <v>28</v>
      </c>
      <c r="H7" s="293" t="s">
        <v>45</v>
      </c>
      <c r="I7" s="295" t="s">
        <v>86</v>
      </c>
      <c r="J7" s="296"/>
      <c r="K7" s="295"/>
      <c r="L7" s="300"/>
      <c r="M7" s="27"/>
    </row>
    <row r="8" spans="1:16" ht="15" customHeight="1" x14ac:dyDescent="0.25">
      <c r="A8" s="303"/>
      <c r="B8" s="91"/>
      <c r="C8" s="317" t="s">
        <v>10</v>
      </c>
      <c r="D8" s="294"/>
      <c r="E8" s="294"/>
      <c r="F8" s="294"/>
      <c r="G8" s="294"/>
      <c r="H8" s="297"/>
      <c r="I8" s="294"/>
      <c r="J8" s="298"/>
      <c r="K8" s="294"/>
      <c r="L8" s="300"/>
      <c r="M8" s="27"/>
    </row>
    <row r="9" spans="1:16" ht="15" customHeight="1" x14ac:dyDescent="0.25">
      <c r="A9" s="303"/>
      <c r="B9" s="91"/>
      <c r="C9" s="294"/>
      <c r="D9" s="294" t="s">
        <v>161</v>
      </c>
      <c r="E9" s="294"/>
      <c r="F9" s="299">
        <v>2955931</v>
      </c>
      <c r="G9" s="300">
        <f>I9-F9</f>
        <v>896.68099999986589</v>
      </c>
      <c r="H9" s="297" t="s">
        <v>94</v>
      </c>
      <c r="I9" s="299">
        <f>ExBA!G12</f>
        <v>2956827.6809999999</v>
      </c>
      <c r="J9" s="301"/>
      <c r="K9" s="299"/>
      <c r="L9" s="323" t="s">
        <v>301</v>
      </c>
      <c r="M9" s="27"/>
    </row>
    <row r="10" spans="1:16" ht="15" customHeight="1" x14ac:dyDescent="0.25">
      <c r="A10" s="303"/>
      <c r="B10" s="91"/>
      <c r="C10" s="294"/>
      <c r="D10" s="294" t="s">
        <v>168</v>
      </c>
      <c r="E10" s="294"/>
      <c r="F10" s="300">
        <v>2958011</v>
      </c>
      <c r="G10" s="5">
        <f>I10-F10</f>
        <v>-1.7000000001862645</v>
      </c>
      <c r="H10" s="297" t="s">
        <v>94</v>
      </c>
      <c r="I10" s="300">
        <f>ExBA!G13</f>
        <v>2958009.3</v>
      </c>
      <c r="J10" s="302"/>
      <c r="K10" s="300"/>
      <c r="L10" s="323" t="s">
        <v>301</v>
      </c>
      <c r="M10" s="27"/>
    </row>
    <row r="11" spans="1:16" ht="15" customHeight="1" x14ac:dyDescent="0.25">
      <c r="A11" s="303"/>
      <c r="B11" s="91"/>
      <c r="C11" s="294"/>
      <c r="D11" s="294" t="s">
        <v>36</v>
      </c>
      <c r="E11" s="294"/>
      <c r="F11" s="299"/>
      <c r="G11" s="300"/>
      <c r="H11" s="297"/>
      <c r="I11" s="299"/>
      <c r="J11" s="301"/>
      <c r="K11" s="299"/>
      <c r="L11" s="300"/>
      <c r="M11" s="27"/>
    </row>
    <row r="12" spans="1:16" ht="15" customHeight="1" x14ac:dyDescent="0.25">
      <c r="A12" s="303"/>
      <c r="B12" s="91"/>
      <c r="C12" s="294"/>
      <c r="D12" s="294"/>
      <c r="E12" s="294" t="s">
        <v>34</v>
      </c>
      <c r="F12" s="300">
        <v>0</v>
      </c>
      <c r="G12" s="300">
        <v>11314</v>
      </c>
      <c r="H12" s="297" t="s">
        <v>95</v>
      </c>
      <c r="I12" s="300"/>
      <c r="J12" s="302"/>
      <c r="K12" s="300"/>
      <c r="L12" s="323" t="s">
        <v>302</v>
      </c>
      <c r="M12" s="27"/>
    </row>
    <row r="13" spans="1:16" ht="15" customHeight="1" x14ac:dyDescent="0.25">
      <c r="A13" s="303"/>
      <c r="B13" s="91"/>
      <c r="C13" s="294"/>
      <c r="D13" s="294"/>
      <c r="E13" s="294"/>
      <c r="F13" s="300"/>
      <c r="G13" s="300">
        <f>Adj!P14</f>
        <v>66960.333333333328</v>
      </c>
      <c r="H13" s="297" t="s">
        <v>96</v>
      </c>
      <c r="I13" s="300">
        <f>SUM(F12:G13)</f>
        <v>78274.333333333328</v>
      </c>
      <c r="J13" s="302"/>
      <c r="K13" s="300"/>
      <c r="L13" s="323" t="s">
        <v>154</v>
      </c>
      <c r="M13" s="27"/>
    </row>
    <row r="14" spans="1:16" ht="15" customHeight="1" x14ac:dyDescent="0.25">
      <c r="A14" s="303"/>
      <c r="B14" s="91"/>
      <c r="C14" s="294"/>
      <c r="D14" s="294"/>
      <c r="E14" s="294" t="s">
        <v>35</v>
      </c>
      <c r="F14" s="300">
        <v>0</v>
      </c>
      <c r="G14" s="300">
        <v>28070</v>
      </c>
      <c r="H14" s="297" t="s">
        <v>95</v>
      </c>
      <c r="I14" s="300">
        <f>F14+G14</f>
        <v>28070</v>
      </c>
      <c r="J14" s="302"/>
      <c r="K14" s="300"/>
      <c r="L14" s="323" t="s">
        <v>302</v>
      </c>
      <c r="M14" s="27"/>
    </row>
    <row r="15" spans="1:16" ht="15" customHeight="1" x14ac:dyDescent="0.25">
      <c r="A15" s="303"/>
      <c r="B15" s="91"/>
      <c r="C15" s="294"/>
      <c r="D15" s="294"/>
      <c r="E15" s="303" t="s">
        <v>148</v>
      </c>
      <c r="F15" s="304">
        <v>39384</v>
      </c>
      <c r="G15" s="300">
        <v>-39384</v>
      </c>
      <c r="H15" s="297" t="s">
        <v>95</v>
      </c>
      <c r="I15" s="304">
        <f>F15+G15</f>
        <v>0</v>
      </c>
      <c r="J15" s="305"/>
      <c r="K15" s="304"/>
      <c r="L15" s="323" t="s">
        <v>302</v>
      </c>
      <c r="M15" s="27"/>
    </row>
    <row r="16" spans="1:16" ht="15" customHeight="1" x14ac:dyDescent="0.25">
      <c r="A16" s="303"/>
      <c r="B16" s="91"/>
      <c r="C16" s="310" t="s">
        <v>11</v>
      </c>
      <c r="D16" s="294"/>
      <c r="E16" s="294"/>
      <c r="F16" s="299">
        <f>SUM(F9:F15)</f>
        <v>5953326</v>
      </c>
      <c r="G16" s="300"/>
      <c r="H16" s="297"/>
      <c r="I16" s="299">
        <f>SUM(I9:I15)</f>
        <v>6021181.3143333327</v>
      </c>
      <c r="J16" s="301"/>
      <c r="K16" s="299"/>
      <c r="L16" s="300"/>
      <c r="M16" s="27"/>
    </row>
    <row r="17" spans="1:13" ht="6.95" customHeight="1" x14ac:dyDescent="0.25">
      <c r="A17" s="303"/>
      <c r="B17" s="91"/>
      <c r="C17" s="294"/>
      <c r="D17" s="294"/>
      <c r="E17" s="294"/>
      <c r="F17" s="306"/>
      <c r="G17" s="300"/>
      <c r="H17" s="297"/>
      <c r="I17" s="306"/>
      <c r="J17" s="307"/>
      <c r="K17" s="306"/>
      <c r="L17" s="300"/>
      <c r="M17" s="27"/>
    </row>
    <row r="18" spans="1:13" ht="15" customHeight="1" x14ac:dyDescent="0.25">
      <c r="A18" s="303"/>
      <c r="B18" s="91"/>
      <c r="C18" s="317" t="s">
        <v>12</v>
      </c>
      <c r="D18" s="294"/>
      <c r="E18" s="294"/>
      <c r="F18" s="306"/>
      <c r="G18" s="300"/>
      <c r="H18" s="297"/>
      <c r="I18" s="306"/>
      <c r="J18" s="307"/>
      <c r="K18" s="306"/>
      <c r="L18" s="300"/>
      <c r="M18" s="27"/>
    </row>
    <row r="19" spans="1:13" ht="15" customHeight="1" x14ac:dyDescent="0.25">
      <c r="A19" s="303"/>
      <c r="B19" s="91"/>
      <c r="C19" s="294"/>
      <c r="D19" s="294" t="s">
        <v>17</v>
      </c>
      <c r="E19" s="294"/>
      <c r="F19" s="306"/>
      <c r="G19" s="300"/>
      <c r="H19" s="297"/>
      <c r="I19" s="306"/>
      <c r="J19" s="307"/>
      <c r="K19" s="306"/>
      <c r="L19" s="300"/>
      <c r="M19" s="27"/>
    </row>
    <row r="20" spans="1:13" ht="15" customHeight="1" x14ac:dyDescent="0.25">
      <c r="A20" s="303"/>
      <c r="B20" s="91"/>
      <c r="C20" s="294"/>
      <c r="D20" s="294"/>
      <c r="E20" s="294" t="s">
        <v>21</v>
      </c>
      <c r="F20" s="300">
        <v>2205667</v>
      </c>
      <c r="G20" s="300">
        <f>-CoAlloc!T20-CoAlloc!T23-CoAlloc!T24</f>
        <v>-978373.80932522519</v>
      </c>
      <c r="H20" s="297" t="s">
        <v>139</v>
      </c>
      <c r="I20" s="300"/>
      <c r="J20" s="302"/>
      <c r="K20" s="300"/>
      <c r="L20" s="323" t="s">
        <v>291</v>
      </c>
      <c r="M20" s="27"/>
    </row>
    <row r="21" spans="1:13" ht="15" customHeight="1" x14ac:dyDescent="0.25">
      <c r="A21" s="303"/>
      <c r="B21" s="91"/>
      <c r="C21" s="294"/>
      <c r="D21" s="294"/>
      <c r="E21" s="294"/>
      <c r="F21" s="300"/>
      <c r="G21" s="300">
        <f>CoAlloc!V22</f>
        <v>-12252.243748926287</v>
      </c>
      <c r="H21" s="297" t="s">
        <v>97</v>
      </c>
      <c r="I21" s="300"/>
      <c r="J21" s="302"/>
      <c r="K21" s="300"/>
      <c r="L21" s="323" t="s">
        <v>312</v>
      </c>
      <c r="M21" s="27"/>
    </row>
    <row r="22" spans="1:13" ht="15" customHeight="1" x14ac:dyDescent="0.25">
      <c r="A22" s="303"/>
      <c r="B22" s="91"/>
      <c r="C22" s="294"/>
      <c r="D22" s="294"/>
      <c r="E22" s="294"/>
      <c r="F22" s="300"/>
      <c r="G22" s="300">
        <f>Adj!M8</f>
        <v>36451.227046682034</v>
      </c>
      <c r="H22" s="297" t="s">
        <v>98</v>
      </c>
      <c r="I22" s="300">
        <f>SUM(F20:G22)</f>
        <v>1251492.1739725305</v>
      </c>
      <c r="J22" s="302"/>
      <c r="K22" s="300"/>
      <c r="L22" s="323" t="s">
        <v>298</v>
      </c>
      <c r="M22"/>
    </row>
    <row r="23" spans="1:13" ht="15" customHeight="1" x14ac:dyDescent="0.25">
      <c r="A23" s="303"/>
      <c r="B23" s="91"/>
      <c r="C23" s="294"/>
      <c r="D23" s="294"/>
      <c r="E23" s="294" t="s">
        <v>22</v>
      </c>
      <c r="F23" s="300"/>
      <c r="G23" s="300">
        <f>-G36</f>
        <v>18000</v>
      </c>
      <c r="H23" s="308" t="s">
        <v>99</v>
      </c>
      <c r="I23" s="300">
        <f t="shared" ref="I23:I36" si="0">F23+G23</f>
        <v>18000</v>
      </c>
      <c r="J23" s="302"/>
      <c r="K23" s="300"/>
      <c r="L23" s="323" t="s">
        <v>260</v>
      </c>
    </row>
    <row r="24" spans="1:13" ht="15" customHeight="1" x14ac:dyDescent="0.25">
      <c r="A24" s="303"/>
      <c r="B24" s="91"/>
      <c r="C24" s="294"/>
      <c r="D24" s="294"/>
      <c r="E24" s="294" t="s">
        <v>23</v>
      </c>
      <c r="F24" s="300"/>
      <c r="G24" s="300">
        <f>CoAlloc!T20</f>
        <v>881227.72272865172</v>
      </c>
      <c r="H24" s="308" t="s">
        <v>139</v>
      </c>
      <c r="I24" s="300"/>
      <c r="J24" s="302"/>
      <c r="K24" s="300"/>
      <c r="L24" s="323" t="s">
        <v>288</v>
      </c>
      <c r="M24" s="27"/>
    </row>
    <row r="25" spans="1:13" ht="15" customHeight="1" x14ac:dyDescent="0.25">
      <c r="A25" s="303"/>
      <c r="B25" s="91"/>
      <c r="C25" s="294"/>
      <c r="D25" s="294"/>
      <c r="E25" s="294"/>
      <c r="F25" s="300"/>
      <c r="G25" s="300">
        <f>CoAlloc!V20</f>
        <v>-8797.4229290586791</v>
      </c>
      <c r="H25" s="297" t="s">
        <v>97</v>
      </c>
      <c r="I25" s="300"/>
      <c r="J25" s="302"/>
      <c r="K25" s="300"/>
      <c r="L25" s="323" t="s">
        <v>312</v>
      </c>
      <c r="M25" s="27"/>
    </row>
    <row r="26" spans="1:13" ht="15" customHeight="1" x14ac:dyDescent="0.25">
      <c r="A26" s="303"/>
      <c r="B26" s="91"/>
      <c r="C26" s="294"/>
      <c r="D26" s="294"/>
      <c r="E26" s="294"/>
      <c r="F26" s="300"/>
      <c r="G26" s="300">
        <f>Adj!H32</f>
        <v>-163715.26793936928</v>
      </c>
      <c r="H26" s="297" t="s">
        <v>100</v>
      </c>
      <c r="I26" s="300"/>
      <c r="J26" s="302"/>
      <c r="K26" s="300"/>
      <c r="L26" s="323" t="s">
        <v>89</v>
      </c>
      <c r="M26" s="27"/>
    </row>
    <row r="27" spans="1:13" ht="15" customHeight="1" x14ac:dyDescent="0.25">
      <c r="A27" s="303"/>
      <c r="B27" s="91"/>
      <c r="C27" s="294"/>
      <c r="D27" s="294"/>
      <c r="E27" s="294"/>
      <c r="F27" s="300"/>
      <c r="G27" s="300">
        <f>Adj!M20</f>
        <v>33841.805268247495</v>
      </c>
      <c r="H27" s="308" t="s">
        <v>101</v>
      </c>
      <c r="I27" s="300">
        <f>SUM(F24:G27)</f>
        <v>742556.83712847123</v>
      </c>
      <c r="J27" s="302"/>
      <c r="K27" s="300"/>
      <c r="L27" s="323" t="s">
        <v>299</v>
      </c>
      <c r="M27" s="27"/>
    </row>
    <row r="28" spans="1:13" ht="15" customHeight="1" x14ac:dyDescent="0.25">
      <c r="A28" s="303"/>
      <c r="B28" s="91"/>
      <c r="C28" s="294"/>
      <c r="D28" s="294"/>
      <c r="E28" s="294" t="s">
        <v>24</v>
      </c>
      <c r="F28" s="300">
        <v>302762</v>
      </c>
      <c r="G28" s="300"/>
      <c r="H28" s="308"/>
      <c r="I28" s="300">
        <f t="shared" si="0"/>
        <v>302762</v>
      </c>
      <c r="J28" s="302"/>
      <c r="K28" s="300"/>
      <c r="L28" s="323"/>
      <c r="M28" s="27"/>
    </row>
    <row r="29" spans="1:13" ht="15" customHeight="1" x14ac:dyDescent="0.25">
      <c r="A29" s="303"/>
      <c r="B29" s="91"/>
      <c r="C29" s="294"/>
      <c r="D29" s="294"/>
      <c r="E29" s="294" t="s">
        <v>169</v>
      </c>
      <c r="F29" s="300">
        <v>556183</v>
      </c>
      <c r="G29" s="300">
        <f>Adj!P20</f>
        <v>110816.18999999994</v>
      </c>
      <c r="H29" s="308" t="s">
        <v>102</v>
      </c>
      <c r="I29" s="300">
        <f>F29+G29</f>
        <v>666999.18999999994</v>
      </c>
      <c r="J29" s="302"/>
      <c r="K29" s="300"/>
      <c r="L29" s="323" t="s">
        <v>558</v>
      </c>
      <c r="M29" s="27"/>
    </row>
    <row r="30" spans="1:13" ht="15" customHeight="1" x14ac:dyDescent="0.25">
      <c r="A30" s="303"/>
      <c r="B30" s="91"/>
      <c r="C30" s="294"/>
      <c r="D30" s="294"/>
      <c r="E30" s="294" t="s">
        <v>73</v>
      </c>
      <c r="F30" s="300">
        <v>822481</v>
      </c>
      <c r="G30" s="300">
        <f>Trk_Off!D53</f>
        <v>-10222.889817532559</v>
      </c>
      <c r="H30" s="297" t="s">
        <v>97</v>
      </c>
      <c r="I30" s="300">
        <f t="shared" si="0"/>
        <v>812258.11018246738</v>
      </c>
      <c r="J30" s="302"/>
      <c r="K30" s="300"/>
      <c r="L30" s="323" t="s">
        <v>312</v>
      </c>
      <c r="M30" s="27"/>
    </row>
    <row r="31" spans="1:13" ht="15" customHeight="1" x14ac:dyDescent="0.25">
      <c r="A31" s="303"/>
      <c r="B31" s="91"/>
      <c r="C31" s="294"/>
      <c r="D31" s="294"/>
      <c r="E31" s="294" t="s">
        <v>25</v>
      </c>
      <c r="F31" s="300">
        <f>3757+12650+3260</f>
        <v>19667</v>
      </c>
      <c r="G31" s="300"/>
      <c r="I31" s="300">
        <f t="shared" si="0"/>
        <v>19667</v>
      </c>
      <c r="J31" s="302"/>
      <c r="K31" s="300"/>
      <c r="L31" s="324"/>
      <c r="M31" s="27"/>
    </row>
    <row r="32" spans="1:13" ht="15" customHeight="1" x14ac:dyDescent="0.25">
      <c r="A32" s="303"/>
      <c r="B32" s="91"/>
      <c r="C32" s="294"/>
      <c r="D32" s="294"/>
      <c r="E32" s="294" t="s">
        <v>30</v>
      </c>
      <c r="F32" s="300">
        <v>95139</v>
      </c>
      <c r="G32" s="300">
        <f>Trk_Off!D43</f>
        <v>-7233.2861441746209</v>
      </c>
      <c r="H32" s="297" t="s">
        <v>97</v>
      </c>
      <c r="I32" s="300"/>
      <c r="J32" s="302"/>
      <c r="K32" s="300"/>
      <c r="L32" s="323" t="s">
        <v>313</v>
      </c>
      <c r="M32" s="27"/>
    </row>
    <row r="33" spans="1:13" ht="15" customHeight="1" x14ac:dyDescent="0.25">
      <c r="A33" s="303"/>
      <c r="B33" s="91"/>
      <c r="C33" s="294"/>
      <c r="D33" s="294"/>
      <c r="E33" s="294"/>
      <c r="F33" s="300"/>
      <c r="G33" s="300">
        <f>Adj!P27</f>
        <v>9198.2162268168304</v>
      </c>
      <c r="H33" s="308" t="s">
        <v>102</v>
      </c>
      <c r="I33" s="300">
        <f>F32+G32+G33</f>
        <v>97103.930082642211</v>
      </c>
      <c r="J33" s="302"/>
      <c r="K33" s="300"/>
      <c r="L33" s="323" t="s">
        <v>564</v>
      </c>
      <c r="M33" s="27"/>
    </row>
    <row r="34" spans="1:13" ht="15" customHeight="1" x14ac:dyDescent="0.25">
      <c r="A34" s="303"/>
      <c r="B34" s="91"/>
      <c r="C34" s="294"/>
      <c r="D34" s="294"/>
      <c r="E34" s="294" t="s">
        <v>170</v>
      </c>
      <c r="F34" s="300">
        <f>62252+92534+48910</f>
        <v>203696</v>
      </c>
      <c r="G34" s="300">
        <f>CoAlloc!T24</f>
        <v>3042.7949354395923</v>
      </c>
      <c r="H34" s="297" t="s">
        <v>139</v>
      </c>
      <c r="I34" s="300">
        <f t="shared" si="0"/>
        <v>206738.7949354396</v>
      </c>
      <c r="J34" s="302"/>
      <c r="K34" s="300"/>
      <c r="L34" s="323" t="s">
        <v>289</v>
      </c>
      <c r="M34" s="27"/>
    </row>
    <row r="35" spans="1:13" ht="15" customHeight="1" x14ac:dyDescent="0.25">
      <c r="A35" s="303"/>
      <c r="B35" s="91"/>
      <c r="C35" s="294"/>
      <c r="D35" s="294"/>
      <c r="E35" s="294" t="s">
        <v>146</v>
      </c>
      <c r="F35" s="300">
        <v>24657</v>
      </c>
      <c r="G35" s="300"/>
      <c r="H35" s="297"/>
      <c r="I35" s="300">
        <f t="shared" si="0"/>
        <v>24657</v>
      </c>
      <c r="J35" s="302"/>
      <c r="K35" s="300"/>
      <c r="L35" s="300"/>
      <c r="M35" s="27"/>
    </row>
    <row r="36" spans="1:13" ht="15" customHeight="1" x14ac:dyDescent="0.25">
      <c r="A36" s="303"/>
      <c r="B36" s="91"/>
      <c r="C36" s="294"/>
      <c r="D36" s="294"/>
      <c r="E36" s="294" t="s">
        <v>26</v>
      </c>
      <c r="F36" s="304">
        <v>44410</v>
      </c>
      <c r="G36" s="103">
        <v>-18000</v>
      </c>
      <c r="H36" s="308" t="s">
        <v>99</v>
      </c>
      <c r="I36" s="304">
        <f t="shared" si="0"/>
        <v>26410</v>
      </c>
      <c r="J36" s="305"/>
      <c r="K36" s="304"/>
      <c r="L36" s="323" t="s">
        <v>260</v>
      </c>
      <c r="M36" s="27"/>
    </row>
    <row r="37" spans="1:13" ht="15" customHeight="1" x14ac:dyDescent="0.25">
      <c r="A37" s="303"/>
      <c r="B37" s="91"/>
      <c r="C37" s="294"/>
      <c r="D37" s="310" t="s">
        <v>18</v>
      </c>
      <c r="E37" s="294"/>
      <c r="F37" s="300">
        <f>SUM(F20:F36)</f>
        <v>4274662</v>
      </c>
      <c r="G37" s="300"/>
      <c r="H37" s="297"/>
      <c r="I37" s="300">
        <f>SUM(I20:I36)</f>
        <v>4168645.0363015509</v>
      </c>
      <c r="J37" s="302"/>
      <c r="K37" s="300"/>
      <c r="L37" s="300"/>
      <c r="M37" s="27"/>
    </row>
    <row r="38" spans="1:13" ht="15" customHeight="1" x14ac:dyDescent="0.25">
      <c r="A38" s="303"/>
      <c r="B38" s="91"/>
      <c r="C38" s="294"/>
      <c r="D38" s="294" t="s">
        <v>19</v>
      </c>
      <c r="E38" s="294"/>
      <c r="F38" s="300">
        <v>1007837</v>
      </c>
      <c r="G38" s="300">
        <f>DeprAdj!K61</f>
        <v>-22085.057047619051</v>
      </c>
      <c r="H38" s="308" t="s">
        <v>103</v>
      </c>
      <c r="I38" s="300">
        <f>F38+G38</f>
        <v>985751.94295238098</v>
      </c>
      <c r="J38" s="302"/>
      <c r="K38" s="300"/>
      <c r="L38" s="323" t="s">
        <v>292</v>
      </c>
      <c r="M38" s="27"/>
    </row>
    <row r="39" spans="1:13" ht="15" customHeight="1" x14ac:dyDescent="0.25">
      <c r="A39" s="303"/>
      <c r="B39" s="91"/>
      <c r="C39" s="294"/>
      <c r="D39" s="294" t="s">
        <v>20</v>
      </c>
      <c r="E39" s="294"/>
      <c r="F39" s="300">
        <v>13329</v>
      </c>
      <c r="G39" s="103">
        <f>CoAlloc!T23</f>
        <v>94103.291661133902</v>
      </c>
      <c r="H39" s="308" t="s">
        <v>139</v>
      </c>
      <c r="I39" s="304"/>
      <c r="J39" s="305"/>
      <c r="K39" s="304"/>
      <c r="L39" s="323" t="s">
        <v>290</v>
      </c>
      <c r="M39" s="27"/>
    </row>
    <row r="40" spans="1:13" ht="15" customHeight="1" x14ac:dyDescent="0.25">
      <c r="A40" s="303"/>
      <c r="B40" s="91"/>
      <c r="C40" s="294"/>
      <c r="D40" s="294"/>
      <c r="E40" s="294"/>
      <c r="F40" s="304"/>
      <c r="G40" s="103">
        <f>CoAlloc!V23+CoAlloc!V24</f>
        <v>-969.82333584184755</v>
      </c>
      <c r="H40" s="308" t="s">
        <v>97</v>
      </c>
      <c r="I40" s="304"/>
      <c r="J40" s="305"/>
      <c r="K40" s="304"/>
      <c r="L40" s="323" t="s">
        <v>312</v>
      </c>
      <c r="M40" s="27"/>
    </row>
    <row r="41" spans="1:13" ht="15" customHeight="1" x14ac:dyDescent="0.25">
      <c r="A41" s="303"/>
      <c r="B41" s="91"/>
      <c r="C41" s="294"/>
      <c r="D41" s="294"/>
      <c r="E41" s="294"/>
      <c r="F41" s="304">
        <v>0</v>
      </c>
      <c r="G41" s="103">
        <f>Adj!M14</f>
        <v>2575.3028539328807</v>
      </c>
      <c r="H41" s="308" t="s">
        <v>98</v>
      </c>
      <c r="I41" s="304">
        <f>SUM(F39:G41)</f>
        <v>109037.77117922493</v>
      </c>
      <c r="J41" s="305"/>
      <c r="K41" s="304"/>
      <c r="L41" s="323" t="s">
        <v>298</v>
      </c>
      <c r="M41" s="27"/>
    </row>
    <row r="42" spans="1:13" ht="15" customHeight="1" x14ac:dyDescent="0.25">
      <c r="A42" s="303"/>
      <c r="B42" s="91"/>
      <c r="C42" s="310" t="s">
        <v>13</v>
      </c>
      <c r="D42" s="294"/>
      <c r="E42" s="294"/>
      <c r="F42" s="299">
        <f>SUM(F37:F39)</f>
        <v>5295828</v>
      </c>
      <c r="G42" s="300"/>
      <c r="H42" s="297"/>
      <c r="I42" s="299">
        <f>SUM(I37:I41)</f>
        <v>5263434.7504331572</v>
      </c>
      <c r="J42" s="301"/>
      <c r="K42" s="299"/>
      <c r="L42" s="300"/>
      <c r="M42" s="27"/>
    </row>
    <row r="43" spans="1:13" ht="15" customHeight="1" x14ac:dyDescent="0.25">
      <c r="A43" s="303"/>
      <c r="B43" s="91"/>
      <c r="C43" s="310" t="s">
        <v>31</v>
      </c>
      <c r="D43" s="294"/>
      <c r="E43" s="294"/>
      <c r="F43" s="299">
        <f>F16-F42</f>
        <v>657498</v>
      </c>
      <c r="G43" s="300"/>
      <c r="H43" s="297"/>
      <c r="I43" s="299">
        <f>I16-I42</f>
        <v>757746.5639001755</v>
      </c>
      <c r="J43" s="301"/>
      <c r="K43" s="299"/>
      <c r="L43" s="300"/>
      <c r="M43" s="27"/>
    </row>
    <row r="44" spans="1:13" ht="6.95" customHeight="1" x14ac:dyDescent="0.25">
      <c r="A44" s="303"/>
      <c r="B44" s="91"/>
      <c r="C44" s="294"/>
      <c r="D44" s="294"/>
      <c r="E44" s="294"/>
      <c r="F44" s="306"/>
      <c r="G44" s="294"/>
      <c r="H44" s="297"/>
      <c r="I44" s="306"/>
      <c r="J44" s="307"/>
      <c r="K44" s="306"/>
      <c r="L44" s="300"/>
      <c r="M44" s="27"/>
    </row>
    <row r="45" spans="1:13" x14ac:dyDescent="0.25">
      <c r="A45" s="303"/>
      <c r="B45" s="91"/>
      <c r="C45" s="595" t="s">
        <v>43</v>
      </c>
      <c r="D45" s="595"/>
      <c r="E45" s="595"/>
      <c r="F45" s="595"/>
      <c r="G45" s="595"/>
      <c r="H45" s="595"/>
      <c r="I45" s="595"/>
      <c r="J45" s="322"/>
      <c r="K45" s="585"/>
      <c r="L45" s="300"/>
      <c r="M45" s="27"/>
    </row>
    <row r="46" spans="1:13" ht="15" customHeight="1" x14ac:dyDescent="0.25">
      <c r="A46" s="303"/>
      <c r="B46" s="91"/>
      <c r="C46" s="310" t="s">
        <v>14</v>
      </c>
      <c r="D46" s="294"/>
      <c r="E46" s="294"/>
      <c r="F46" s="38"/>
      <c r="G46" s="294"/>
      <c r="H46" s="297"/>
      <c r="I46" s="299">
        <f>I42</f>
        <v>5263434.7504331572</v>
      </c>
      <c r="J46" s="301"/>
      <c r="K46" s="299"/>
      <c r="L46" s="300"/>
      <c r="M46" s="28"/>
    </row>
    <row r="47" spans="1:13" ht="15" customHeight="1" x14ac:dyDescent="0.25">
      <c r="A47" s="303"/>
      <c r="B47" s="91"/>
      <c r="C47" s="294" t="s">
        <v>92</v>
      </c>
      <c r="D47" s="294"/>
      <c r="E47" s="294" t="s">
        <v>47</v>
      </c>
      <c r="F47" s="38"/>
      <c r="G47" s="294"/>
      <c r="H47" s="308" t="s">
        <v>140</v>
      </c>
      <c r="I47" s="5">
        <f>DSch!M22</f>
        <v>988145.66200000013</v>
      </c>
      <c r="J47" s="311"/>
      <c r="K47" s="627"/>
      <c r="L47" s="300"/>
      <c r="M47" s="29"/>
    </row>
    <row r="48" spans="1:13" ht="15" customHeight="1" x14ac:dyDescent="0.25">
      <c r="A48" s="303"/>
      <c r="B48" s="91"/>
      <c r="C48" s="294"/>
      <c r="D48" s="294"/>
      <c r="E48" s="294" t="s">
        <v>27</v>
      </c>
      <c r="F48" s="38"/>
      <c r="G48" s="294"/>
      <c r="H48" s="308" t="s">
        <v>141</v>
      </c>
      <c r="I48" s="304">
        <f>DSch!M24</f>
        <v>197629.13240000003</v>
      </c>
      <c r="J48" s="305"/>
      <c r="K48" s="304"/>
      <c r="L48" s="300"/>
      <c r="M48" s="29"/>
    </row>
    <row r="49" spans="1:13" ht="15" customHeight="1" x14ac:dyDescent="0.25">
      <c r="A49" s="303"/>
      <c r="B49" s="91"/>
      <c r="C49" s="310" t="s">
        <v>32</v>
      </c>
      <c r="D49" s="294"/>
      <c r="E49" s="294"/>
      <c r="F49" s="38"/>
      <c r="G49" s="294"/>
      <c r="H49" s="297"/>
      <c r="I49" s="299">
        <f>SUM(I46:I48)</f>
        <v>6449209.5448331581</v>
      </c>
      <c r="J49" s="301"/>
      <c r="K49" s="299"/>
      <c r="L49" s="300"/>
      <c r="M49" s="28"/>
    </row>
    <row r="50" spans="1:13" ht="15" customHeight="1" x14ac:dyDescent="0.25">
      <c r="A50" s="303"/>
      <c r="B50" s="91"/>
      <c r="C50" s="294" t="s">
        <v>93</v>
      </c>
      <c r="D50" s="294"/>
      <c r="E50" s="294" t="s">
        <v>303</v>
      </c>
      <c r="F50" s="38"/>
      <c r="G50" s="294"/>
      <c r="H50" s="297"/>
      <c r="I50" s="318">
        <f>-SUM(I12:I15)</f>
        <v>-106344.33333333333</v>
      </c>
      <c r="J50" s="312"/>
      <c r="K50" s="318"/>
      <c r="L50" s="300"/>
      <c r="M50" s="308"/>
    </row>
    <row r="51" spans="1:13" ht="15" customHeight="1" x14ac:dyDescent="0.25">
      <c r="A51" s="303"/>
      <c r="B51" s="91"/>
      <c r="C51" s="294"/>
      <c r="D51" s="294"/>
      <c r="E51" s="294" t="s">
        <v>59</v>
      </c>
      <c r="F51" s="38"/>
      <c r="G51" s="294"/>
      <c r="H51" s="297"/>
      <c r="I51" s="306">
        <v>-2839</v>
      </c>
      <c r="J51" s="307"/>
      <c r="K51" s="306"/>
      <c r="L51" s="300"/>
      <c r="M51" s="27"/>
    </row>
    <row r="52" spans="1:13" ht="15" customHeight="1" x14ac:dyDescent="0.25">
      <c r="A52" s="303"/>
      <c r="B52" s="91"/>
      <c r="C52" s="294"/>
      <c r="D52" s="294"/>
      <c r="E52" s="7" t="s">
        <v>171</v>
      </c>
      <c r="F52" s="306">
        <v>53896</v>
      </c>
      <c r="G52" s="300">
        <v>-53896</v>
      </c>
      <c r="H52" s="309" t="s">
        <v>164</v>
      </c>
      <c r="I52" s="300">
        <f>F52+G52</f>
        <v>0</v>
      </c>
      <c r="J52" s="302"/>
      <c r="K52" s="300"/>
      <c r="L52" s="323" t="s">
        <v>300</v>
      </c>
      <c r="M52" s="27"/>
    </row>
    <row r="53" spans="1:13" ht="15" customHeight="1" x14ac:dyDescent="0.25">
      <c r="A53" s="303"/>
      <c r="B53" s="91"/>
      <c r="C53" s="294"/>
      <c r="D53" s="294"/>
      <c r="E53" s="7" t="s">
        <v>172</v>
      </c>
      <c r="F53" s="306">
        <v>-714692</v>
      </c>
      <c r="G53" s="300">
        <v>714692</v>
      </c>
      <c r="H53" s="309" t="s">
        <v>566</v>
      </c>
      <c r="I53" s="304">
        <f>F53+G53</f>
        <v>0</v>
      </c>
      <c r="J53" s="305"/>
      <c r="K53" s="304"/>
      <c r="L53" s="323" t="s">
        <v>137</v>
      </c>
      <c r="M53" s="27"/>
    </row>
    <row r="54" spans="1:13" ht="15" customHeight="1" x14ac:dyDescent="0.25">
      <c r="A54" s="303"/>
      <c r="B54" s="91"/>
      <c r="C54" s="310" t="s">
        <v>104</v>
      </c>
      <c r="D54" s="294"/>
      <c r="E54" s="294"/>
      <c r="F54" s="38"/>
      <c r="G54" s="294"/>
      <c r="H54" s="297"/>
      <c r="I54" s="319">
        <f>I49+SUM(I50:I53)</f>
        <v>6340026.2114998251</v>
      </c>
      <c r="J54" s="313"/>
      <c r="K54" s="319"/>
      <c r="L54" s="316"/>
      <c r="M54" s="30"/>
    </row>
    <row r="55" spans="1:13" ht="15" customHeight="1" x14ac:dyDescent="0.25">
      <c r="A55" s="303"/>
      <c r="B55" s="91"/>
      <c r="C55" s="294"/>
      <c r="D55" s="294"/>
      <c r="E55" s="294" t="s">
        <v>33</v>
      </c>
      <c r="F55" s="38"/>
      <c r="G55" s="294"/>
      <c r="H55" s="297"/>
      <c r="I55" s="304">
        <f>I9+I10</f>
        <v>5914836.9809999997</v>
      </c>
      <c r="J55" s="305"/>
      <c r="K55" s="304"/>
      <c r="L55" s="300"/>
      <c r="M55" s="29"/>
    </row>
    <row r="56" spans="1:13" x14ac:dyDescent="0.25">
      <c r="A56" s="303"/>
      <c r="B56" s="91"/>
      <c r="C56" s="310" t="s">
        <v>15</v>
      </c>
      <c r="D56" s="294"/>
      <c r="E56" s="294"/>
      <c r="F56" s="38"/>
      <c r="G56" s="294"/>
      <c r="H56" s="297"/>
      <c r="I56" s="299">
        <f>I54-I55</f>
        <v>425189.23049982544</v>
      </c>
      <c r="J56" s="301"/>
      <c r="K56" s="299"/>
      <c r="L56" s="300"/>
    </row>
    <row r="57" spans="1:13" x14ac:dyDescent="0.25">
      <c r="A57" s="303"/>
      <c r="B57" s="91"/>
      <c r="C57" s="310" t="s">
        <v>16</v>
      </c>
      <c r="D57" s="294"/>
      <c r="E57" s="294"/>
      <c r="F57" s="38"/>
      <c r="G57" s="294"/>
      <c r="H57" s="297"/>
      <c r="I57" s="320">
        <f>ROUND(I56/I55,4)</f>
        <v>7.1900000000000006E-2</v>
      </c>
      <c r="J57" s="314"/>
      <c r="K57" s="320"/>
      <c r="L57" s="291"/>
      <c r="M57" s="32"/>
    </row>
    <row r="58" spans="1:13" ht="6.95" customHeight="1" x14ac:dyDescent="0.25">
      <c r="A58" s="303"/>
      <c r="B58" s="93"/>
      <c r="C58" s="56"/>
      <c r="D58" s="56"/>
      <c r="E58" s="56"/>
      <c r="F58" s="56"/>
      <c r="G58" s="56"/>
      <c r="H58" s="315"/>
      <c r="I58" s="56"/>
      <c r="J58" s="58"/>
      <c r="K58" s="38"/>
      <c r="L58" s="316"/>
      <c r="M58" s="1"/>
    </row>
    <row r="59" spans="1:13" x14ac:dyDescent="0.25">
      <c r="A59" s="303"/>
      <c r="B59" s="303"/>
      <c r="C59" s="316"/>
      <c r="D59" s="316"/>
      <c r="E59" s="316"/>
      <c r="F59" s="316"/>
      <c r="G59" s="316"/>
      <c r="H59" s="309"/>
      <c r="I59" s="316"/>
      <c r="J59" s="316"/>
      <c r="K59" s="316"/>
      <c r="L59" s="316"/>
    </row>
    <row r="60" spans="1:13" x14ac:dyDescent="0.25">
      <c r="A60" s="303"/>
      <c r="B60" s="303"/>
      <c r="C60" s="316"/>
      <c r="D60" s="316"/>
      <c r="E60" s="316"/>
      <c r="F60" s="316"/>
      <c r="G60" s="316"/>
      <c r="H60" s="309"/>
      <c r="I60" s="316"/>
      <c r="J60" s="316"/>
      <c r="K60" s="316"/>
    </row>
  </sheetData>
  <mergeCells count="3">
    <mergeCell ref="C4:I4"/>
    <mergeCell ref="C45:I45"/>
    <mergeCell ref="C3:I3"/>
  </mergeCells>
  <printOptions horizontalCentered="1"/>
  <pageMargins left="0.75" right="0.75" top="0.6" bottom="0.5" header="0" footer="0"/>
  <pageSetup scale="8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2758-8C79-46CE-B2D4-97D05FFED237}">
  <sheetPr>
    <pageSetUpPr fitToPage="1"/>
  </sheetPr>
  <dimension ref="B2:O70"/>
  <sheetViews>
    <sheetView workbookViewId="0"/>
  </sheetViews>
  <sheetFormatPr defaultRowHeight="15.75" x14ac:dyDescent="0.25"/>
  <cols>
    <col min="2" max="2" width="1.77734375" customWidth="1"/>
    <col min="3" max="3" width="4.6640625" customWidth="1"/>
    <col min="4" max="4" width="18.33203125" customWidth="1"/>
    <col min="5" max="8" width="10.77734375" customWidth="1"/>
    <col min="9" max="9" width="1.77734375" customWidth="1"/>
    <col min="10" max="10" width="10.6640625" style="1" customWidth="1"/>
    <col min="11" max="11" width="10.6640625" style="13" customWidth="1"/>
  </cols>
  <sheetData>
    <row r="2" spans="2:12" ht="8.1" customHeight="1" x14ac:dyDescent="0.25">
      <c r="B2" s="45"/>
      <c r="C2" s="335"/>
      <c r="D2" s="335"/>
      <c r="E2" s="335"/>
      <c r="F2" s="335"/>
      <c r="G2" s="335"/>
      <c r="H2" s="335"/>
      <c r="I2" s="336"/>
      <c r="L2" s="1"/>
    </row>
    <row r="3" spans="2:12" ht="18.75" x14ac:dyDescent="0.3">
      <c r="B3" s="49"/>
      <c r="C3" s="599" t="s">
        <v>448</v>
      </c>
      <c r="D3" s="599"/>
      <c r="E3" s="599"/>
      <c r="F3" s="599"/>
      <c r="G3" s="599"/>
      <c r="H3" s="599"/>
      <c r="I3" s="392"/>
      <c r="L3" s="1"/>
    </row>
    <row r="4" spans="2:12" ht="18.75" x14ac:dyDescent="0.3">
      <c r="B4" s="49"/>
      <c r="C4" s="431" t="s">
        <v>417</v>
      </c>
      <c r="D4" s="432"/>
      <c r="E4" s="432"/>
      <c r="F4" s="432"/>
      <c r="G4" s="432"/>
      <c r="H4" s="432"/>
      <c r="I4" s="385"/>
      <c r="K4" s="8"/>
      <c r="L4" s="1"/>
    </row>
    <row r="5" spans="2:12" x14ac:dyDescent="0.25">
      <c r="B5" s="49"/>
      <c r="C5" s="595" t="s">
        <v>167</v>
      </c>
      <c r="D5" s="595"/>
      <c r="E5" s="595"/>
      <c r="F5" s="595"/>
      <c r="G5" s="595"/>
      <c r="H5" s="595"/>
      <c r="I5" s="402"/>
      <c r="K5" s="8"/>
      <c r="L5" s="1"/>
    </row>
    <row r="6" spans="2:12" ht="8.1" customHeight="1" x14ac:dyDescent="0.25">
      <c r="B6" s="55"/>
      <c r="C6" s="387"/>
      <c r="D6" s="387"/>
      <c r="E6" s="387"/>
      <c r="F6" s="387"/>
      <c r="G6" s="387"/>
      <c r="H6" s="387"/>
      <c r="I6" s="433"/>
      <c r="K6" s="8"/>
      <c r="L6" s="1"/>
    </row>
    <row r="7" spans="2:12" x14ac:dyDescent="0.25">
      <c r="B7" s="49"/>
      <c r="C7" s="403"/>
      <c r="D7" s="343"/>
      <c r="E7" s="343"/>
      <c r="F7" s="343"/>
      <c r="G7" s="343"/>
      <c r="H7" s="343"/>
      <c r="I7" s="385"/>
      <c r="K7" s="8"/>
      <c r="L7" s="1"/>
    </row>
    <row r="8" spans="2:12" x14ac:dyDescent="0.25">
      <c r="B8" s="49"/>
      <c r="C8" s="1"/>
      <c r="D8" s="22"/>
      <c r="E8" s="195" t="s">
        <v>362</v>
      </c>
      <c r="F8" s="195" t="s">
        <v>418</v>
      </c>
      <c r="G8" s="195" t="s">
        <v>419</v>
      </c>
      <c r="H8" s="195" t="s">
        <v>420</v>
      </c>
      <c r="I8" s="404"/>
      <c r="J8" s="195"/>
      <c r="K8" s="453"/>
      <c r="L8" s="1"/>
    </row>
    <row r="9" spans="2:12" x14ac:dyDescent="0.25">
      <c r="B9" s="49"/>
      <c r="C9" s="1"/>
      <c r="D9" s="22"/>
      <c r="E9" s="195" t="s">
        <v>421</v>
      </c>
      <c r="F9" s="195" t="s">
        <v>422</v>
      </c>
      <c r="G9" s="195" t="s">
        <v>418</v>
      </c>
      <c r="H9" s="195" t="s">
        <v>418</v>
      </c>
      <c r="I9" s="404"/>
      <c r="J9" s="195"/>
      <c r="K9" s="453"/>
      <c r="L9" s="1"/>
    </row>
    <row r="10" spans="2:12" x14ac:dyDescent="0.25">
      <c r="B10" s="49"/>
      <c r="C10" s="1" t="s">
        <v>423</v>
      </c>
      <c r="D10" s="22"/>
      <c r="E10" s="22"/>
      <c r="F10" s="22"/>
      <c r="G10" s="22"/>
      <c r="H10" s="22"/>
      <c r="I10" s="393"/>
      <c r="K10" s="8"/>
      <c r="L10" s="1"/>
    </row>
    <row r="11" spans="2:12" x14ac:dyDescent="0.25">
      <c r="B11" s="49"/>
      <c r="C11" s="1"/>
      <c r="D11" s="22" t="s">
        <v>424</v>
      </c>
      <c r="E11" s="22">
        <f>Mtrx!D32+Mtrx!E32</f>
        <v>507960.680958657</v>
      </c>
      <c r="F11" s="405">
        <f>Fac!$H$34</f>
        <v>0.66921311261607486</v>
      </c>
      <c r="G11" s="22">
        <f>E11*F11</f>
        <v>339933.94839092379</v>
      </c>
      <c r="H11" s="22">
        <f>E11-G11</f>
        <v>168026.73256773321</v>
      </c>
      <c r="I11" s="393"/>
      <c r="J11" s="406"/>
      <c r="K11" s="8"/>
      <c r="L11" s="1"/>
    </row>
    <row r="12" spans="2:12" x14ac:dyDescent="0.25">
      <c r="B12" s="49"/>
      <c r="C12" s="1"/>
      <c r="D12" s="22" t="s">
        <v>425</v>
      </c>
      <c r="E12" s="22">
        <f>Mtrx!F32</f>
        <v>488339.47301197052</v>
      </c>
      <c r="F12" s="405">
        <f>Fac!$H$38</f>
        <v>0.24124939552134869</v>
      </c>
      <c r="G12" s="22">
        <f>E12*F12</f>
        <v>117811.60267335187</v>
      </c>
      <c r="H12" s="22">
        <f>E12-G12</f>
        <v>370527.87033861864</v>
      </c>
      <c r="I12" s="393"/>
      <c r="J12" s="406"/>
      <c r="K12" s="8"/>
      <c r="L12" s="1"/>
    </row>
    <row r="13" spans="2:12" x14ac:dyDescent="0.25">
      <c r="B13" s="49"/>
      <c r="C13" s="1"/>
      <c r="D13" s="22" t="s">
        <v>426</v>
      </c>
      <c r="E13" s="22">
        <f>Mtrx!G32</f>
        <v>162868.33850521001</v>
      </c>
      <c r="F13" s="22"/>
      <c r="G13" s="22">
        <f>E13*F13</f>
        <v>0</v>
      </c>
      <c r="H13" s="22">
        <f>E13-G13</f>
        <v>162868.33850521001</v>
      </c>
      <c r="I13" s="393"/>
      <c r="J13" s="406"/>
      <c r="K13" s="8"/>
      <c r="L13" s="1"/>
    </row>
    <row r="14" spans="2:12" x14ac:dyDescent="0.25">
      <c r="B14" s="49"/>
      <c r="C14" s="1"/>
      <c r="D14" s="22" t="s">
        <v>427</v>
      </c>
      <c r="E14" s="22">
        <f>Mtrx!H32</f>
        <v>92323.681496692981</v>
      </c>
      <c r="F14" s="405">
        <f>Fac!$H$42</f>
        <v>0.71170978872402657</v>
      </c>
      <c r="G14" s="22">
        <f>E14*F14</f>
        <v>65707.667852235681</v>
      </c>
      <c r="H14" s="22">
        <f>E14-G14</f>
        <v>26616.0136444573</v>
      </c>
      <c r="I14" s="393"/>
      <c r="J14" s="22">
        <f>SUM(E11:E14)</f>
        <v>1251492.1739725305</v>
      </c>
      <c r="K14" s="454">
        <f>SUM(H11:H14)</f>
        <v>728038.95505601924</v>
      </c>
      <c r="L14" s="1"/>
    </row>
    <row r="15" spans="2:12" x14ac:dyDescent="0.25">
      <c r="B15" s="49"/>
      <c r="C15" s="1" t="s">
        <v>428</v>
      </c>
      <c r="D15" s="22"/>
      <c r="E15" s="22"/>
      <c r="F15" s="22"/>
      <c r="G15" s="22"/>
      <c r="H15" s="22"/>
      <c r="I15" s="393"/>
      <c r="J15" s="406"/>
      <c r="K15" s="8"/>
      <c r="L15" s="1"/>
    </row>
    <row r="16" spans="2:12" x14ac:dyDescent="0.25">
      <c r="B16" s="49"/>
      <c r="C16" s="1"/>
      <c r="D16" s="22" t="s">
        <v>424</v>
      </c>
      <c r="E16" s="22">
        <f>Mtrx!D34+Mtrx!E34</f>
        <v>340250.94860711391</v>
      </c>
      <c r="F16" s="405">
        <f>Fac!$H$34</f>
        <v>0.66921311261607486</v>
      </c>
      <c r="G16" s="22">
        <f>E16*F16</f>
        <v>227700.39638793882</v>
      </c>
      <c r="H16" s="22">
        <f>E16-G16</f>
        <v>112550.55221917509</v>
      </c>
      <c r="I16" s="393"/>
      <c r="J16" s="406"/>
      <c r="K16" s="8"/>
      <c r="L16" s="1"/>
    </row>
    <row r="17" spans="2:12" x14ac:dyDescent="0.25">
      <c r="B17" s="49"/>
      <c r="C17" s="1"/>
      <c r="D17" s="22" t="s">
        <v>425</v>
      </c>
      <c r="E17" s="22">
        <f>Mtrx!F34</f>
        <v>327107.9340649689</v>
      </c>
      <c r="F17" s="405">
        <f>Fac!$H$38</f>
        <v>0.24124939552134869</v>
      </c>
      <c r="G17" s="22">
        <f>E17*F17</f>
        <v>78914.591363410931</v>
      </c>
      <c r="H17" s="22">
        <f>E17-G17</f>
        <v>248193.34270155797</v>
      </c>
      <c r="I17" s="393"/>
      <c r="J17" s="406"/>
      <c r="K17" s="8"/>
      <c r="L17" s="1"/>
    </row>
    <row r="18" spans="2:12" x14ac:dyDescent="0.25">
      <c r="B18" s="49"/>
      <c r="C18" s="1"/>
      <c r="D18" s="22" t="s">
        <v>426</v>
      </c>
      <c r="E18" s="22">
        <f>Mtrx!G34</f>
        <v>109095.26810200604</v>
      </c>
      <c r="F18" s="22"/>
      <c r="G18" s="22">
        <f>E18*F18</f>
        <v>0</v>
      </c>
      <c r="H18" s="22">
        <f>E18-G18</f>
        <v>109095.26810200604</v>
      </c>
      <c r="I18" s="393"/>
      <c r="J18" s="406"/>
      <c r="K18" s="8"/>
      <c r="L18" s="1"/>
    </row>
    <row r="19" spans="2:12" x14ac:dyDescent="0.25">
      <c r="B19" s="49"/>
      <c r="C19" s="1"/>
      <c r="D19" s="22" t="s">
        <v>427</v>
      </c>
      <c r="E19" s="22">
        <f>Mtrx!H34</f>
        <v>61841.834192492483</v>
      </c>
      <c r="F19" s="405">
        <f>Fac!$H$42</f>
        <v>0.71170978872402657</v>
      </c>
      <c r="G19" s="22">
        <f>E19*F19</f>
        <v>44013.438747445107</v>
      </c>
      <c r="H19" s="22">
        <f>E19-G19</f>
        <v>17828.395445047376</v>
      </c>
      <c r="I19" s="393"/>
      <c r="J19" s="22">
        <f>SUM(E16:E19)</f>
        <v>838295.98496658145</v>
      </c>
      <c r="K19" s="454">
        <f>SUM(H16:H19)</f>
        <v>487667.55846778647</v>
      </c>
      <c r="L19" s="1"/>
    </row>
    <row r="20" spans="2:12" x14ac:dyDescent="0.25">
      <c r="B20" s="49"/>
      <c r="C20" s="1" t="s">
        <v>429</v>
      </c>
      <c r="D20" s="22"/>
      <c r="E20" s="22">
        <f>Mtrx!C33</f>
        <v>18000</v>
      </c>
      <c r="F20" s="405">
        <f>Fac!$H$42</f>
        <v>0.71170978872402657</v>
      </c>
      <c r="G20" s="22">
        <f>E20*F20</f>
        <v>12810.776197032479</v>
      </c>
      <c r="H20" s="22">
        <f>E20-G20</f>
        <v>5189.2238029675209</v>
      </c>
      <c r="I20" s="393"/>
      <c r="J20" s="22">
        <f>E20</f>
        <v>18000</v>
      </c>
      <c r="K20" s="454">
        <f>H20</f>
        <v>5189.2238029675209</v>
      </c>
      <c r="L20" s="1"/>
    </row>
    <row r="21" spans="2:12" x14ac:dyDescent="0.25">
      <c r="B21" s="49"/>
      <c r="C21" s="1" t="s">
        <v>24</v>
      </c>
      <c r="D21" s="22"/>
      <c r="E21" s="22"/>
      <c r="F21" s="22"/>
      <c r="G21" s="22"/>
      <c r="H21" s="22"/>
      <c r="I21" s="393"/>
      <c r="K21" s="455"/>
      <c r="L21" s="1"/>
    </row>
    <row r="22" spans="2:12" x14ac:dyDescent="0.25">
      <c r="B22" s="49"/>
      <c r="C22" s="1"/>
      <c r="D22" s="22" t="s">
        <v>424</v>
      </c>
      <c r="E22" s="22">
        <f>Mtrx!D35+Mtrx!E35</f>
        <v>258515</v>
      </c>
      <c r="F22" s="405">
        <f>Fac!$H$34</f>
        <v>0.66921311261607486</v>
      </c>
      <c r="G22" s="22">
        <f>E22*F22</f>
        <v>173001.62780794461</v>
      </c>
      <c r="H22" s="22">
        <f>E22-G22</f>
        <v>85513.372192055394</v>
      </c>
      <c r="I22" s="393"/>
      <c r="K22" s="455"/>
      <c r="L22" s="1"/>
    </row>
    <row r="23" spans="2:12" x14ac:dyDescent="0.25">
      <c r="B23" s="49"/>
      <c r="C23" s="1"/>
      <c r="D23" s="22" t="s">
        <v>425</v>
      </c>
      <c r="E23" s="22">
        <f>Mtrx!F35</f>
        <v>40651</v>
      </c>
      <c r="F23" s="405">
        <f>Fac!$H$38</f>
        <v>0.24124939552134869</v>
      </c>
      <c r="G23" s="22">
        <f>E23*F23</f>
        <v>9807.0291773383451</v>
      </c>
      <c r="H23" s="22">
        <f>E23-G23</f>
        <v>30843.970822661657</v>
      </c>
      <c r="I23" s="393"/>
      <c r="K23" s="455"/>
      <c r="L23" s="1"/>
    </row>
    <row r="24" spans="2:12" x14ac:dyDescent="0.25">
      <c r="B24" s="49"/>
      <c r="C24" s="1"/>
      <c r="D24" s="22" t="s">
        <v>427</v>
      </c>
      <c r="E24" s="22">
        <f>Mtrx!H35</f>
        <v>3596</v>
      </c>
      <c r="F24" s="405">
        <f>Fac!$H$42</f>
        <v>0.71170978872402657</v>
      </c>
      <c r="G24" s="22">
        <f>E24*F24</f>
        <v>2559.3084002515993</v>
      </c>
      <c r="H24" s="22">
        <f>E24-G24</f>
        <v>1036.6915997484007</v>
      </c>
      <c r="I24" s="393"/>
      <c r="J24" s="22">
        <f>SUM(E22:E24)</f>
        <v>302762</v>
      </c>
      <c r="K24" s="454">
        <f>SUM(H22:H24)</f>
        <v>117394.03461446545</v>
      </c>
      <c r="L24" s="1"/>
    </row>
    <row r="25" spans="2:12" x14ac:dyDescent="0.25">
      <c r="B25" s="49"/>
      <c r="C25" s="1" t="s">
        <v>169</v>
      </c>
      <c r="D25" s="22"/>
      <c r="E25" s="22"/>
      <c r="F25" s="405"/>
      <c r="G25" s="22"/>
      <c r="H25" s="22"/>
      <c r="I25" s="393"/>
      <c r="K25" s="455"/>
      <c r="L25" s="1"/>
    </row>
    <row r="26" spans="2:12" x14ac:dyDescent="0.25">
      <c r="B26" s="49"/>
      <c r="C26" s="1"/>
      <c r="D26" s="22" t="s">
        <v>424</v>
      </c>
      <c r="E26" s="22">
        <f>Mtrx!E36</f>
        <v>666999.18999999994</v>
      </c>
      <c r="F26" s="405">
        <f>Fac!$H$34</f>
        <v>0.66921311261607486</v>
      </c>
      <c r="G26" s="22">
        <f>E26*F26</f>
        <v>446364.60405230068</v>
      </c>
      <c r="H26" s="22">
        <f>E26-G26</f>
        <v>220634.58594769926</v>
      </c>
      <c r="I26" s="393"/>
      <c r="J26" s="22">
        <f>E26</f>
        <v>666999.18999999994</v>
      </c>
      <c r="K26" s="455"/>
      <c r="L26" s="1"/>
    </row>
    <row r="27" spans="2:12" x14ac:dyDescent="0.25">
      <c r="B27" s="49"/>
      <c r="C27" s="1" t="s">
        <v>430</v>
      </c>
      <c r="D27" s="22"/>
      <c r="E27" s="22"/>
      <c r="F27" s="22"/>
      <c r="G27" s="22"/>
      <c r="H27" s="22"/>
      <c r="I27" s="393"/>
      <c r="K27" s="455"/>
      <c r="L27" s="1"/>
    </row>
    <row r="28" spans="2:12" x14ac:dyDescent="0.25">
      <c r="B28" s="49"/>
      <c r="C28" s="1"/>
      <c r="D28" s="22" t="s">
        <v>424</v>
      </c>
      <c r="E28" s="22">
        <f>Mtrx!E37</f>
        <v>140618</v>
      </c>
      <c r="F28" s="405">
        <f>Fac!$H$34</f>
        <v>0.66921311261607486</v>
      </c>
      <c r="G28" s="22">
        <f>E28*F28</f>
        <v>94103.409469847218</v>
      </c>
      <c r="H28" s="22">
        <f>E28-G28</f>
        <v>46514.590530152782</v>
      </c>
      <c r="I28" s="393"/>
      <c r="K28" s="455"/>
      <c r="L28" s="1"/>
    </row>
    <row r="29" spans="2:12" x14ac:dyDescent="0.25">
      <c r="B29" s="49"/>
      <c r="C29" s="1"/>
      <c r="D29" s="22" t="s">
        <v>425</v>
      </c>
      <c r="E29" s="22">
        <f>Mtrx!F37</f>
        <v>554393</v>
      </c>
      <c r="F29" s="405">
        <f>Fac!$H$38</f>
        <v>0.24124939552134869</v>
      </c>
      <c r="G29" s="22">
        <f>E29*F29</f>
        <v>133746.97613126706</v>
      </c>
      <c r="H29" s="22">
        <f>E29-G29</f>
        <v>420646.02386873297</v>
      </c>
      <c r="I29" s="393"/>
      <c r="K29" s="455"/>
      <c r="L29" s="1"/>
    </row>
    <row r="30" spans="2:12" x14ac:dyDescent="0.25">
      <c r="B30" s="49"/>
      <c r="C30" s="1"/>
      <c r="D30" s="22" t="s">
        <v>426</v>
      </c>
      <c r="E30" s="22">
        <f>Mtrx!G37</f>
        <v>78078</v>
      </c>
      <c r="F30" s="22"/>
      <c r="G30" s="22">
        <v>0</v>
      </c>
      <c r="H30" s="22">
        <f>E30-G30</f>
        <v>78078</v>
      </c>
      <c r="I30" s="393"/>
      <c r="K30" s="455"/>
      <c r="L30" s="1"/>
    </row>
    <row r="31" spans="2:12" x14ac:dyDescent="0.25">
      <c r="B31" s="49"/>
      <c r="C31" s="1"/>
      <c r="D31" s="22" t="s">
        <v>427</v>
      </c>
      <c r="E31" s="22">
        <f>Mtrx!H37</f>
        <v>39169.110182467441</v>
      </c>
      <c r="F31" s="405">
        <f>Fac!$H$42</f>
        <v>0.71170978872402657</v>
      </c>
      <c r="G31" s="22">
        <f>E31*F31</f>
        <v>27877.039132472019</v>
      </c>
      <c r="H31" s="22">
        <f>E31-G31</f>
        <v>11292.071049995422</v>
      </c>
      <c r="I31" s="393"/>
      <c r="J31" s="22">
        <f>SUM(E28:E31)</f>
        <v>812258.11018246738</v>
      </c>
      <c r="K31" s="454">
        <f>SUM(H28:H31)</f>
        <v>556530.68544888112</v>
      </c>
      <c r="L31" s="1"/>
    </row>
    <row r="32" spans="2:12" x14ac:dyDescent="0.25">
      <c r="B32" s="49"/>
      <c r="C32" s="1" t="s">
        <v>25</v>
      </c>
      <c r="D32" s="22"/>
      <c r="E32" s="22"/>
      <c r="F32" s="405"/>
      <c r="G32" s="22"/>
      <c r="H32" s="22"/>
      <c r="I32" s="393"/>
      <c r="K32" s="455"/>
      <c r="L32" s="1"/>
    </row>
    <row r="33" spans="2:13" x14ac:dyDescent="0.25">
      <c r="B33" s="49"/>
      <c r="C33" s="1"/>
      <c r="D33" s="22" t="s">
        <v>427</v>
      </c>
      <c r="E33" s="22">
        <f>Mtrx!H38</f>
        <v>19667</v>
      </c>
      <c r="F33" s="405">
        <f>Fac!$H$38</f>
        <v>0.24124939552134869</v>
      </c>
      <c r="G33" s="22">
        <f>E33*F33</f>
        <v>4744.6518617183647</v>
      </c>
      <c r="H33" s="22">
        <f>E33-G33</f>
        <v>14922.348138281635</v>
      </c>
      <c r="I33" s="393"/>
      <c r="J33" s="22">
        <f>E33</f>
        <v>19667</v>
      </c>
      <c r="K33" s="454">
        <f>H33</f>
        <v>14922.348138281635</v>
      </c>
      <c r="L33" s="1"/>
    </row>
    <row r="34" spans="2:13" x14ac:dyDescent="0.25">
      <c r="B34" s="49"/>
      <c r="C34" s="1" t="s">
        <v>431</v>
      </c>
      <c r="D34" s="22"/>
      <c r="E34" s="22"/>
      <c r="F34" s="405"/>
      <c r="G34" s="22"/>
      <c r="H34" s="22"/>
      <c r="I34" s="393"/>
      <c r="K34" s="455"/>
      <c r="L34" s="1"/>
    </row>
    <row r="35" spans="2:13" x14ac:dyDescent="0.25">
      <c r="B35" s="49"/>
      <c r="C35" s="1"/>
      <c r="D35" s="22" t="s">
        <v>424</v>
      </c>
      <c r="E35" s="22">
        <f>Mtrx!E39</f>
        <v>2653.3387857022663</v>
      </c>
      <c r="F35" s="405">
        <f>Fac!$H$34</f>
        <v>0.66921311261607486</v>
      </c>
      <c r="G35" s="22">
        <f>E35*F35</f>
        <v>1775.6491076047701</v>
      </c>
      <c r="H35" s="22">
        <f t="shared" ref="H35:H41" si="0">E35-G35</f>
        <v>877.6896780974962</v>
      </c>
      <c r="I35" s="393"/>
      <c r="K35" s="455"/>
      <c r="L35" s="1"/>
    </row>
    <row r="36" spans="2:13" x14ac:dyDescent="0.25">
      <c r="B36" s="49"/>
      <c r="C36" s="1"/>
      <c r="D36" s="22" t="s">
        <v>425</v>
      </c>
      <c r="E36" s="22">
        <f>Mtrx!F39</f>
        <v>78953.634667207603</v>
      </c>
      <c r="F36" s="405">
        <f>Fac!$H$38</f>
        <v>0.24124939552134869</v>
      </c>
      <c r="G36" s="22">
        <f>E36*F36</f>
        <v>19047.516637677236</v>
      </c>
      <c r="H36" s="22">
        <f t="shared" si="0"/>
        <v>59906.118029530364</v>
      </c>
      <c r="I36" s="393"/>
      <c r="K36" s="455"/>
      <c r="L36" s="1"/>
    </row>
    <row r="37" spans="2:13" x14ac:dyDescent="0.25">
      <c r="B37" s="49"/>
      <c r="C37" s="1"/>
      <c r="D37" s="22" t="s">
        <v>426</v>
      </c>
      <c r="E37" s="22">
        <f>Mtrx!G39</f>
        <v>10692.889028142356</v>
      </c>
      <c r="F37" s="22"/>
      <c r="G37" s="22">
        <v>0</v>
      </c>
      <c r="H37" s="22">
        <f t="shared" si="0"/>
        <v>10692.889028142356</v>
      </c>
      <c r="I37" s="393"/>
      <c r="K37" s="454"/>
      <c r="L37" s="1"/>
    </row>
    <row r="38" spans="2:13" x14ac:dyDescent="0.25">
      <c r="B38" s="49"/>
      <c r="C38" s="1"/>
      <c r="D38" s="22" t="s">
        <v>427</v>
      </c>
      <c r="E38" s="22">
        <f>Mtrx!H39</f>
        <v>4804.0676015899899</v>
      </c>
      <c r="F38" s="405">
        <f>Fac!$H$42</f>
        <v>0.71170978872402657</v>
      </c>
      <c r="G38" s="22">
        <f>E38*F38</f>
        <v>3419.1019377435528</v>
      </c>
      <c r="H38" s="22">
        <f t="shared" si="0"/>
        <v>1384.9656638464371</v>
      </c>
      <c r="I38" s="393"/>
      <c r="J38" s="22">
        <f>SUM(E35:E38)</f>
        <v>97103.930082642211</v>
      </c>
      <c r="K38" s="454">
        <f>SUM(H35:H38)</f>
        <v>72861.662399616645</v>
      </c>
      <c r="L38" s="1"/>
    </row>
    <row r="39" spans="2:13" x14ac:dyDescent="0.25">
      <c r="B39" s="49"/>
      <c r="C39" s="1" t="s">
        <v>170</v>
      </c>
      <c r="D39" s="22"/>
      <c r="E39" s="22">
        <f>Mtrx!C40</f>
        <v>206738.7949354396</v>
      </c>
      <c r="F39" s="405">
        <f>Fac!$H$34</f>
        <v>0.66921311261607486</v>
      </c>
      <c r="G39" s="22">
        <f>E39*F39</f>
        <v>138352.31245724193</v>
      </c>
      <c r="H39" s="22">
        <f t="shared" si="0"/>
        <v>68386.482478197664</v>
      </c>
      <c r="I39" s="393"/>
      <c r="J39" s="22">
        <f>E39</f>
        <v>206738.7949354396</v>
      </c>
      <c r="K39" s="454">
        <f>H39</f>
        <v>68386.482478197664</v>
      </c>
      <c r="L39" s="1"/>
    </row>
    <row r="40" spans="2:13" x14ac:dyDescent="0.25">
      <c r="B40" s="49"/>
      <c r="C40" s="1" t="s">
        <v>146</v>
      </c>
      <c r="D40" s="22"/>
      <c r="E40" s="22">
        <f>Mtrx!C41</f>
        <v>24657</v>
      </c>
      <c r="F40" s="405"/>
      <c r="G40" s="22">
        <f>E40*F40</f>
        <v>0</v>
      </c>
      <c r="H40" s="22">
        <f t="shared" si="0"/>
        <v>24657</v>
      </c>
      <c r="I40" s="393"/>
      <c r="J40" s="22">
        <f>E40</f>
        <v>24657</v>
      </c>
      <c r="K40" s="454">
        <f>H40</f>
        <v>24657</v>
      </c>
      <c r="L40" s="1"/>
    </row>
    <row r="41" spans="2:13" x14ac:dyDescent="0.25">
      <c r="B41" s="49"/>
      <c r="C41" s="1" t="s">
        <v>432</v>
      </c>
      <c r="D41" s="22"/>
      <c r="E41" s="22">
        <f>Mtrx!C42</f>
        <v>39708.623341114857</v>
      </c>
      <c r="F41" s="405">
        <f>Fac!$H$42</f>
        <v>0.71170978872402657</v>
      </c>
      <c r="G41" s="22">
        <f>E41*F41</f>
        <v>28261.015928626806</v>
      </c>
      <c r="H41" s="22">
        <f t="shared" si="0"/>
        <v>11447.607412488051</v>
      </c>
      <c r="I41" s="393"/>
      <c r="J41" s="22">
        <f>E41</f>
        <v>39708.623341114857</v>
      </c>
      <c r="K41" s="454">
        <f>H41</f>
        <v>11447.607412488051</v>
      </c>
      <c r="L41" s="1"/>
    </row>
    <row r="42" spans="2:13" ht="6.95" customHeight="1" x14ac:dyDescent="0.25">
      <c r="B42" s="49"/>
      <c r="C42" s="1"/>
      <c r="D42" s="22"/>
      <c r="E42" s="22"/>
      <c r="F42" s="22"/>
      <c r="G42" s="22"/>
      <c r="H42" s="22"/>
      <c r="I42" s="393"/>
      <c r="J42" s="406"/>
      <c r="K42" s="8"/>
      <c r="L42" s="1"/>
    </row>
    <row r="43" spans="2:13" x14ac:dyDescent="0.25">
      <c r="B43" s="49"/>
      <c r="C43" s="168" t="s">
        <v>13</v>
      </c>
      <c r="D43" s="22"/>
      <c r="E43" s="22">
        <f>SUM(E11:E42)</f>
        <v>4277682.8074807758</v>
      </c>
      <c r="F43" s="22"/>
      <c r="G43" s="22">
        <f>SUM(G11:G42)</f>
        <v>1969952.6637143733</v>
      </c>
      <c r="H43" s="22">
        <f>SUM(H11:H42)</f>
        <v>2307730.1437664032</v>
      </c>
      <c r="I43" s="393"/>
      <c r="J43" s="22">
        <f>SUM(J14:J42)</f>
        <v>4277682.8074807758</v>
      </c>
      <c r="K43" s="454">
        <f>H43+G43</f>
        <v>4277682.8074807767</v>
      </c>
      <c r="L43" s="1"/>
    </row>
    <row r="44" spans="2:13" ht="6.95" customHeight="1" x14ac:dyDescent="0.25">
      <c r="B44" s="49"/>
      <c r="C44" s="1"/>
      <c r="D44" s="22"/>
      <c r="E44" s="22"/>
      <c r="F44" s="22"/>
      <c r="G44" s="22"/>
      <c r="H44" s="22"/>
      <c r="I44" s="393"/>
      <c r="J44" s="8">
        <f>G43+H43</f>
        <v>4277682.8074807767</v>
      </c>
      <c r="K44" s="8"/>
      <c r="L44" s="1"/>
    </row>
    <row r="45" spans="2:13" x14ac:dyDescent="0.25">
      <c r="B45" s="49"/>
      <c r="C45" s="1" t="s">
        <v>19</v>
      </c>
      <c r="D45" s="22"/>
      <c r="E45" s="22"/>
      <c r="F45" s="22"/>
      <c r="G45" s="22"/>
      <c r="H45" s="22"/>
      <c r="I45" s="393"/>
      <c r="J45" s="406"/>
      <c r="K45" s="8"/>
      <c r="L45" s="1"/>
    </row>
    <row r="46" spans="2:13" x14ac:dyDescent="0.25">
      <c r="B46" s="49"/>
      <c r="C46" s="1"/>
      <c r="D46" s="22" t="s">
        <v>424</v>
      </c>
      <c r="E46" s="22">
        <f>Al_DeprW!E31+Al_DeprW!F31</f>
        <v>553985.06099693454</v>
      </c>
      <c r="F46" s="405">
        <f>Fac!$H$34</f>
        <v>0.66921311261607486</v>
      </c>
      <c r="G46" s="22">
        <f>E46*F46</f>
        <v>370734.06701256463</v>
      </c>
      <c r="H46" s="22">
        <f>E46-G46</f>
        <v>183250.99398436991</v>
      </c>
      <c r="I46" s="393"/>
      <c r="J46" s="406"/>
      <c r="K46" s="8"/>
      <c r="L46" s="1"/>
    </row>
    <row r="47" spans="2:13" x14ac:dyDescent="0.25">
      <c r="B47" s="49"/>
      <c r="C47" s="1"/>
      <c r="D47" s="1" t="s">
        <v>433</v>
      </c>
      <c r="E47" s="22">
        <f>Al_DeprW!G31</f>
        <v>248512.08962140779</v>
      </c>
      <c r="F47" s="405">
        <f>Fac!$H$38</f>
        <v>0.24124939552134869</v>
      </c>
      <c r="G47" s="22">
        <f>E47*F47</f>
        <v>59953.39140091186</v>
      </c>
      <c r="H47" s="22">
        <f>E47-G47</f>
        <v>188558.69822049595</v>
      </c>
      <c r="I47" s="393"/>
      <c r="J47" s="406"/>
      <c r="K47" s="8"/>
      <c r="L47" s="1"/>
      <c r="M47" s="409"/>
    </row>
    <row r="48" spans="2:13" x14ac:dyDescent="0.25">
      <c r="B48" s="49"/>
      <c r="C48" s="1"/>
      <c r="D48" s="1" t="s">
        <v>434</v>
      </c>
      <c r="E48" s="22">
        <f>Al_DeprW!H31</f>
        <v>55708.399821921768</v>
      </c>
      <c r="F48" s="405">
        <f>Fac!H42</f>
        <v>0.71170978872402657</v>
      </c>
      <c r="G48" s="22">
        <f>E48*F48</f>
        <v>39648.213467413538</v>
      </c>
      <c r="H48" s="22">
        <f>E48-G48</f>
        <v>16060.186354508231</v>
      </c>
      <c r="I48" s="393"/>
      <c r="J48" s="406"/>
      <c r="K48" s="8"/>
      <c r="L48" s="1"/>
      <c r="M48" s="409"/>
    </row>
    <row r="49" spans="2:15" x14ac:dyDescent="0.25">
      <c r="B49" s="49"/>
      <c r="C49" s="1"/>
      <c r="D49" s="22" t="s">
        <v>427</v>
      </c>
      <c r="E49" s="22">
        <f>Al_DeprW!I31</f>
        <v>51803.310539283768</v>
      </c>
      <c r="F49" s="405">
        <f>Fac!$H$42</f>
        <v>0.71170978872402657</v>
      </c>
      <c r="G49" s="22">
        <f>E49*F49</f>
        <v>36868.923199118792</v>
      </c>
      <c r="H49" s="22">
        <f>E49-G49</f>
        <v>14934.387340164976</v>
      </c>
      <c r="I49" s="393"/>
      <c r="J49" s="406"/>
      <c r="K49" s="8"/>
      <c r="L49" s="1"/>
      <c r="M49" s="409"/>
    </row>
    <row r="50" spans="2:15" x14ac:dyDescent="0.25">
      <c r="B50" s="49"/>
      <c r="C50" s="1"/>
      <c r="D50" s="22" t="s">
        <v>370</v>
      </c>
      <c r="E50" s="22">
        <f>Al_DeprW!J31</f>
        <v>75743.761972833163</v>
      </c>
      <c r="F50" s="22"/>
      <c r="G50" s="22">
        <f>E50*F50</f>
        <v>0</v>
      </c>
      <c r="H50" s="22">
        <f>E50-G50</f>
        <v>75743.761972833163</v>
      </c>
      <c r="I50" s="393"/>
      <c r="J50" s="8">
        <f>SUM(E46:E50)</f>
        <v>985752.62295238103</v>
      </c>
      <c r="K50" s="454">
        <f>SUM(H46:H50)</f>
        <v>478548.02787237219</v>
      </c>
      <c r="L50" s="1"/>
      <c r="M50" s="555">
        <f>H43+K50</f>
        <v>2786278.1716387756</v>
      </c>
    </row>
    <row r="51" spans="2:15" x14ac:dyDescent="0.25">
      <c r="B51" s="49"/>
      <c r="C51" s="1" t="s">
        <v>435</v>
      </c>
      <c r="D51" s="22"/>
      <c r="E51" s="22"/>
      <c r="F51" s="22"/>
      <c r="G51" s="22"/>
      <c r="H51" s="22"/>
      <c r="I51" s="393"/>
      <c r="J51" s="406"/>
      <c r="K51" s="8"/>
      <c r="L51" s="1"/>
      <c r="M51" s="409"/>
      <c r="O51" s="580"/>
    </row>
    <row r="52" spans="2:15" x14ac:dyDescent="0.25">
      <c r="B52" s="49"/>
      <c r="C52" s="1"/>
      <c r="D52" s="22" t="s">
        <v>424</v>
      </c>
      <c r="E52" s="22">
        <f>Al_Plnt!E38+Al_Plnt!F38</f>
        <v>626209.59686475317</v>
      </c>
      <c r="F52" s="405">
        <f>Fac!$H$34</f>
        <v>0.66921311261607486</v>
      </c>
      <c r="G52" s="22">
        <f>E52*F52</f>
        <v>419067.67346791888</v>
      </c>
      <c r="H52" s="22">
        <f>E52-G52</f>
        <v>207141.92339683429</v>
      </c>
      <c r="I52" s="393"/>
      <c r="J52" s="406"/>
      <c r="K52" s="8"/>
      <c r="L52" s="1"/>
      <c r="M52" s="409"/>
    </row>
    <row r="53" spans="2:15" x14ac:dyDescent="0.25">
      <c r="B53" s="49"/>
      <c r="C53" s="1"/>
      <c r="D53" s="1" t="s">
        <v>433</v>
      </c>
      <c r="E53" s="22">
        <f>Al_Plnt!G38</f>
        <v>343721.58569648041</v>
      </c>
      <c r="F53" s="405">
        <f>Fac!$H$38</f>
        <v>0.24124939552134869</v>
      </c>
      <c r="G53" s="22">
        <f>E53*F53</f>
        <v>82922.624776915356</v>
      </c>
      <c r="H53" s="22">
        <f>E53-G53</f>
        <v>260798.96091956506</v>
      </c>
      <c r="I53" s="393"/>
      <c r="J53" s="406"/>
      <c r="K53" s="8"/>
      <c r="L53" s="1"/>
      <c r="M53" s="409"/>
    </row>
    <row r="54" spans="2:15" x14ac:dyDescent="0.25">
      <c r="B54" s="49"/>
      <c r="C54" s="1"/>
      <c r="D54" s="1" t="s">
        <v>434</v>
      </c>
      <c r="E54" s="22">
        <f>Al_Plnt!H38</f>
        <v>65433.901308756831</v>
      </c>
      <c r="F54" s="405">
        <f>Fac!$H$42</f>
        <v>0.71170978872402657</v>
      </c>
      <c r="G54" s="22">
        <f>E54*F54</f>
        <v>46569.948075844128</v>
      </c>
      <c r="H54" s="22">
        <f>E54-G54</f>
        <v>18863.953232912703</v>
      </c>
      <c r="I54" s="393"/>
      <c r="J54" s="406"/>
      <c r="K54" s="8"/>
      <c r="L54" s="1"/>
      <c r="M54" s="409"/>
    </row>
    <row r="55" spans="2:15" x14ac:dyDescent="0.25">
      <c r="B55" s="49"/>
      <c r="C55" s="1"/>
      <c r="D55" s="22" t="s">
        <v>427</v>
      </c>
      <c r="E55" s="22">
        <f>Al_Plnt!I38</f>
        <v>49401.738282250932</v>
      </c>
      <c r="F55" s="405">
        <f>Fac!$H$42</f>
        <v>0.71170978872402657</v>
      </c>
      <c r="G55" s="22">
        <f>E55*F55</f>
        <v>35159.700715460465</v>
      </c>
      <c r="H55" s="22">
        <f>E55-G55</f>
        <v>14242.037566790466</v>
      </c>
      <c r="I55" s="393"/>
      <c r="J55" s="406"/>
      <c r="K55" s="8"/>
      <c r="L55" s="1"/>
      <c r="M55" s="409"/>
    </row>
    <row r="56" spans="2:15" x14ac:dyDescent="0.25">
      <c r="B56" s="49"/>
      <c r="C56" s="1"/>
      <c r="D56" s="22" t="s">
        <v>370</v>
      </c>
      <c r="E56" s="22">
        <f>Al_Plnt!J38</f>
        <v>101007.97224775887</v>
      </c>
      <c r="F56" s="22"/>
      <c r="G56" s="22">
        <f>E56*F56</f>
        <v>0</v>
      </c>
      <c r="H56" s="22">
        <f>E56-G56</f>
        <v>101007.97224775887</v>
      </c>
      <c r="I56" s="393"/>
      <c r="J56" s="8">
        <f>SUM(E52:E56)</f>
        <v>1185774.7944000002</v>
      </c>
      <c r="K56" s="454">
        <f>SUM(H52:H56)</f>
        <v>602054.84736386139</v>
      </c>
      <c r="L56" s="1"/>
      <c r="M56" s="555">
        <f>M50+K56</f>
        <v>3388333.0190026369</v>
      </c>
    </row>
    <row r="57" spans="2:15" ht="6.95" customHeight="1" x14ac:dyDescent="0.25">
      <c r="B57" s="49"/>
      <c r="C57" s="1"/>
      <c r="D57" s="22"/>
      <c r="E57" s="22"/>
      <c r="F57" s="22"/>
      <c r="G57" s="22"/>
      <c r="H57" s="22"/>
      <c r="I57" s="393"/>
      <c r="K57" s="8"/>
      <c r="L57" s="1"/>
      <c r="M57" s="409"/>
    </row>
    <row r="58" spans="2:15" x14ac:dyDescent="0.25">
      <c r="B58" s="49"/>
      <c r="C58" s="168" t="s">
        <v>436</v>
      </c>
      <c r="D58" s="1"/>
      <c r="E58" s="22">
        <f>SUM(E46:E56)+E43</f>
        <v>6449210.2248331569</v>
      </c>
      <c r="F58" s="22"/>
      <c r="G58" s="22">
        <f>SUM(G46:G56)+G43</f>
        <v>3060877.205830521</v>
      </c>
      <c r="H58" s="22">
        <f>SUM(H46:H56)+H43</f>
        <v>3388333.0190026369</v>
      </c>
      <c r="I58" s="393"/>
      <c r="J58" s="22">
        <f>J43+J50+J56</f>
        <v>6449210.2248331569</v>
      </c>
      <c r="K58" s="457">
        <f>K43+K50+K56</f>
        <v>5358285.6827170104</v>
      </c>
      <c r="L58" s="1"/>
      <c r="M58" s="409"/>
    </row>
    <row r="59" spans="2:15" ht="6.95" customHeight="1" x14ac:dyDescent="0.25">
      <c r="B59" s="49"/>
      <c r="C59" s="1"/>
      <c r="D59" s="22"/>
      <c r="E59" s="22"/>
      <c r="F59" s="22"/>
      <c r="G59" s="22"/>
      <c r="H59" s="22"/>
      <c r="I59" s="393"/>
      <c r="K59" s="8"/>
      <c r="L59" s="1"/>
      <c r="M59" s="409"/>
    </row>
    <row r="60" spans="2:15" x14ac:dyDescent="0.25">
      <c r="B60" s="49"/>
      <c r="C60" s="1"/>
      <c r="D60" s="22" t="s">
        <v>437</v>
      </c>
      <c r="E60" s="22"/>
      <c r="F60" s="22"/>
      <c r="G60" s="22">
        <f>Sys!F34</f>
        <v>864915</v>
      </c>
      <c r="H60" s="407"/>
      <c r="I60" s="408"/>
      <c r="J60" s="22">
        <f>G58+H58</f>
        <v>6449210.2248331578</v>
      </c>
      <c r="K60" s="8"/>
      <c r="L60" s="1"/>
    </row>
    <row r="61" spans="2:15" ht="6.95" customHeight="1" x14ac:dyDescent="0.25">
      <c r="B61" s="49"/>
      <c r="C61" s="1"/>
      <c r="D61" s="22"/>
      <c r="E61" s="22"/>
      <c r="F61" s="22"/>
      <c r="G61" s="22"/>
      <c r="H61" s="22"/>
      <c r="I61" s="393"/>
      <c r="K61" s="8"/>
      <c r="L61" s="1"/>
    </row>
    <row r="62" spans="2:15" ht="16.5" thickBot="1" x14ac:dyDescent="0.3">
      <c r="B62" s="49"/>
      <c r="C62" s="409" t="s">
        <v>438</v>
      </c>
      <c r="D62" s="410"/>
      <c r="E62" s="410"/>
      <c r="F62" s="410"/>
      <c r="G62" s="411">
        <f>ROUND(G58/G60,2)</f>
        <v>3.54</v>
      </c>
      <c r="H62" s="412"/>
      <c r="I62" s="413"/>
      <c r="J62" s="414"/>
      <c r="K62" s="456"/>
      <c r="L62" s="1"/>
    </row>
    <row r="63" spans="2:15" ht="16.5" thickTop="1" x14ac:dyDescent="0.25">
      <c r="B63" s="55"/>
      <c r="C63" s="20"/>
      <c r="D63" s="34"/>
      <c r="E63" s="34"/>
      <c r="F63" s="34"/>
      <c r="G63" s="415"/>
      <c r="H63" s="34"/>
      <c r="I63" s="400"/>
      <c r="K63" s="8"/>
      <c r="L63" s="1"/>
    </row>
    <row r="64" spans="2:15" x14ac:dyDescent="0.25">
      <c r="B64" s="1"/>
      <c r="C64" s="1"/>
      <c r="D64" s="1"/>
      <c r="E64" s="1"/>
      <c r="F64" s="1"/>
      <c r="G64" s="1"/>
      <c r="H64" s="1"/>
      <c r="I64" s="1"/>
      <c r="L64" s="1"/>
    </row>
    <row r="65" spans="2:12" x14ac:dyDescent="0.25">
      <c r="B65" s="1"/>
      <c r="C65" s="1"/>
      <c r="D65" s="1"/>
      <c r="E65" s="22"/>
      <c r="F65" s="1"/>
      <c r="G65" s="1"/>
      <c r="H65" s="22"/>
      <c r="I65" s="1"/>
      <c r="L65" s="1"/>
    </row>
    <row r="66" spans="2:12" x14ac:dyDescent="0.25">
      <c r="B66" s="1"/>
      <c r="C66" s="1"/>
      <c r="D66" s="1"/>
      <c r="E66" s="22"/>
      <c r="F66" s="1"/>
      <c r="G66" s="15"/>
      <c r="H66" s="22"/>
      <c r="I66" s="22"/>
      <c r="L66" s="1"/>
    </row>
    <row r="67" spans="2:12" x14ac:dyDescent="0.25">
      <c r="B67" s="1"/>
      <c r="C67" s="1"/>
      <c r="D67" s="1"/>
      <c r="E67" s="331"/>
      <c r="F67" s="1"/>
      <c r="G67" s="19"/>
      <c r="H67" s="1"/>
      <c r="I67" s="1"/>
      <c r="J67" s="414"/>
      <c r="L67" s="1"/>
    </row>
    <row r="68" spans="2:12" x14ac:dyDescent="0.25">
      <c r="B68" s="1"/>
      <c r="C68" s="1"/>
      <c r="D68" s="1"/>
      <c r="E68" s="1"/>
      <c r="F68" s="1"/>
      <c r="G68" s="1"/>
      <c r="H68" s="1"/>
      <c r="I68" s="1"/>
      <c r="L68" s="1"/>
    </row>
    <row r="69" spans="2:12" x14ac:dyDescent="0.25">
      <c r="B69" s="1"/>
      <c r="C69" s="1"/>
      <c r="D69" s="1"/>
      <c r="E69" s="1"/>
      <c r="F69" s="1"/>
      <c r="G69" s="1"/>
      <c r="H69" s="1"/>
      <c r="I69" s="1"/>
      <c r="L69" s="1"/>
    </row>
    <row r="70" spans="2:12" x14ac:dyDescent="0.25">
      <c r="B70" s="1"/>
      <c r="C70" s="1"/>
      <c r="D70" s="1"/>
      <c r="E70" s="1"/>
      <c r="F70" s="1"/>
      <c r="G70" s="1"/>
      <c r="H70" s="1"/>
      <c r="I70" s="1"/>
      <c r="L70" s="1"/>
    </row>
  </sheetData>
  <mergeCells count="2">
    <mergeCell ref="C3:H3"/>
    <mergeCell ref="C5:H5"/>
  </mergeCells>
  <printOptions horizontalCentered="1"/>
  <pageMargins left="0.7" right="0.7" top="0.5" bottom="0.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D9D2-BEF3-43DC-BFDF-6AF23C6B12AC}">
  <sheetPr>
    <pageSetUpPr fitToPage="1"/>
  </sheetPr>
  <dimension ref="B2:K35"/>
  <sheetViews>
    <sheetView workbookViewId="0"/>
  </sheetViews>
  <sheetFormatPr defaultRowHeight="15" x14ac:dyDescent="0.2"/>
  <cols>
    <col min="2" max="2" width="1.77734375" customWidth="1"/>
    <col min="3" max="3" width="23.77734375" customWidth="1"/>
    <col min="4" max="4" width="8.88671875" customWidth="1"/>
    <col min="6" max="6" width="9" bestFit="1" customWidth="1"/>
    <col min="7" max="7" width="8.21875" customWidth="1"/>
    <col min="8" max="8" width="8.33203125" customWidth="1"/>
    <col min="9" max="9" width="8.21875" customWidth="1"/>
    <col min="10" max="10" width="1.77734375" customWidth="1"/>
  </cols>
  <sheetData>
    <row r="2" spans="2:11" ht="15.75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2:11" ht="15.75" x14ac:dyDescent="0.25">
      <c r="B3" s="83"/>
      <c r="C3" s="84"/>
      <c r="D3" s="84"/>
      <c r="E3" s="84"/>
      <c r="F3" s="84"/>
      <c r="G3" s="84"/>
      <c r="H3" s="84"/>
      <c r="I3" s="84"/>
      <c r="J3" s="85"/>
      <c r="K3" s="15"/>
    </row>
    <row r="4" spans="2:11" ht="18.75" x14ac:dyDescent="0.3">
      <c r="B4" s="86"/>
      <c r="C4" s="604" t="s">
        <v>482</v>
      </c>
      <c r="D4" s="604"/>
      <c r="E4" s="604"/>
      <c r="F4" s="604"/>
      <c r="G4" s="604"/>
      <c r="H4" s="604"/>
      <c r="I4" s="604"/>
      <c r="J4" s="87"/>
      <c r="K4" s="15"/>
    </row>
    <row r="5" spans="2:11" ht="18.75" x14ac:dyDescent="0.3">
      <c r="B5" s="86"/>
      <c r="C5" s="607" t="s">
        <v>468</v>
      </c>
      <c r="D5" s="607"/>
      <c r="E5" s="607"/>
      <c r="F5" s="607"/>
      <c r="G5" s="607"/>
      <c r="H5" s="607"/>
      <c r="I5" s="607"/>
      <c r="J5" s="87"/>
      <c r="K5" s="15"/>
    </row>
    <row r="6" spans="2:11" ht="15.75" x14ac:dyDescent="0.25">
      <c r="B6" s="86"/>
      <c r="C6" s="597" t="s">
        <v>167</v>
      </c>
      <c r="D6" s="597"/>
      <c r="E6" s="597"/>
      <c r="F6" s="597"/>
      <c r="G6" s="597"/>
      <c r="H6" s="597"/>
      <c r="I6" s="597"/>
      <c r="J6" s="87"/>
      <c r="K6" s="15"/>
    </row>
    <row r="7" spans="2:11" ht="8.1" customHeight="1" x14ac:dyDescent="0.25">
      <c r="B7" s="88"/>
      <c r="C7" s="387"/>
      <c r="D7" s="387"/>
      <c r="E7" s="387"/>
      <c r="F7" s="387"/>
      <c r="G7" s="387"/>
      <c r="H7" s="387"/>
      <c r="I7" s="387"/>
      <c r="J7" s="89"/>
      <c r="K7" s="15"/>
    </row>
    <row r="8" spans="2:11" ht="8.1" customHeight="1" x14ac:dyDescent="0.25">
      <c r="B8" s="86"/>
      <c r="C8" s="423"/>
      <c r="D8" s="423"/>
      <c r="E8" s="423"/>
      <c r="F8" s="423"/>
      <c r="G8" s="423"/>
      <c r="H8" s="423"/>
      <c r="I8" s="423"/>
      <c r="J8" s="87"/>
      <c r="K8" s="15"/>
    </row>
    <row r="9" spans="2:11" ht="18" x14ac:dyDescent="0.4">
      <c r="B9" s="86"/>
      <c r="C9" s="78"/>
      <c r="D9" s="78"/>
      <c r="E9" s="78"/>
      <c r="F9" s="78"/>
      <c r="G9" s="610" t="s">
        <v>370</v>
      </c>
      <c r="H9" s="610"/>
      <c r="I9" s="78"/>
      <c r="J9" s="87"/>
      <c r="K9" s="15"/>
    </row>
    <row r="10" spans="2:11" ht="15.75" x14ac:dyDescent="0.25">
      <c r="B10" s="86"/>
      <c r="C10" s="78"/>
      <c r="D10" s="468" t="s">
        <v>378</v>
      </c>
      <c r="E10" s="468"/>
      <c r="F10" s="468"/>
      <c r="G10" s="122" t="s">
        <v>469</v>
      </c>
      <c r="H10" s="122" t="s">
        <v>470</v>
      </c>
      <c r="I10" s="468" t="s">
        <v>471</v>
      </c>
      <c r="J10" s="87"/>
      <c r="K10" s="15"/>
    </row>
    <row r="11" spans="2:11" ht="18" x14ac:dyDescent="0.4">
      <c r="B11" s="86"/>
      <c r="C11" s="78"/>
      <c r="D11" s="468" t="s">
        <v>379</v>
      </c>
      <c r="E11" s="468" t="s">
        <v>472</v>
      </c>
      <c r="F11" s="468" t="s">
        <v>473</v>
      </c>
      <c r="G11" s="465" t="s">
        <v>474</v>
      </c>
      <c r="H11" s="465" t="s">
        <v>386</v>
      </c>
      <c r="I11" s="468" t="s">
        <v>365</v>
      </c>
      <c r="J11" s="87"/>
      <c r="K11" s="15"/>
    </row>
    <row r="12" spans="2:11" ht="15.75" x14ac:dyDescent="0.25">
      <c r="B12" s="86"/>
      <c r="C12" s="350" t="s">
        <v>423</v>
      </c>
      <c r="D12" s="78">
        <f>SUM(E12:I12)</f>
        <v>728038.95505601913</v>
      </c>
      <c r="E12" s="78">
        <f>Whol!H11*0.25</f>
        <v>42006.683141933303</v>
      </c>
      <c r="F12" s="78">
        <f>Whol!H11-E12+Whol!H12</f>
        <v>496547.91976441856</v>
      </c>
      <c r="G12" s="78">
        <f>Whol!H13*0.85</f>
        <v>138438.08772942849</v>
      </c>
      <c r="H12" s="78">
        <f>Whol!H13-G12</f>
        <v>24430.250775781518</v>
      </c>
      <c r="I12" s="78">
        <f>Whol!H14</f>
        <v>26616.0136444573</v>
      </c>
      <c r="J12" s="87"/>
      <c r="K12" s="15"/>
    </row>
    <row r="13" spans="2:11" ht="15.75" x14ac:dyDescent="0.25">
      <c r="B13" s="86"/>
      <c r="C13" s="350" t="s">
        <v>428</v>
      </c>
      <c r="D13" s="78">
        <f t="shared" ref="D13:D22" si="0">SUM(E13:I13)</f>
        <v>487667.55846778647</v>
      </c>
      <c r="E13" s="78">
        <f>Whol!H16*0.25</f>
        <v>28137.638054793773</v>
      </c>
      <c r="F13" s="78">
        <f>Whol!H16-E13+Whol!H17</f>
        <v>332606.2568659393</v>
      </c>
      <c r="G13" s="78">
        <f>Whol!H18*0.85</f>
        <v>92730.977886705135</v>
      </c>
      <c r="H13" s="78">
        <f>Whol!H18-G13</f>
        <v>16364.290215300905</v>
      </c>
      <c r="I13" s="78">
        <f>Whol!H19</f>
        <v>17828.395445047376</v>
      </c>
      <c r="J13" s="87"/>
      <c r="K13" s="15"/>
    </row>
    <row r="14" spans="2:11" ht="15.75" x14ac:dyDescent="0.25">
      <c r="B14" s="86"/>
      <c r="C14" s="78" t="s">
        <v>475</v>
      </c>
      <c r="D14" s="78">
        <f t="shared" si="0"/>
        <v>5189.2238029675209</v>
      </c>
      <c r="E14" s="78"/>
      <c r="F14" s="78"/>
      <c r="G14" s="78"/>
      <c r="H14" s="78"/>
      <c r="I14" s="78">
        <f>Whol!H20</f>
        <v>5189.2238029675209</v>
      </c>
      <c r="J14" s="87"/>
      <c r="K14" s="15"/>
    </row>
    <row r="15" spans="2:11" ht="15.75" x14ac:dyDescent="0.25">
      <c r="B15" s="86"/>
      <c r="C15" s="78" t="s">
        <v>24</v>
      </c>
      <c r="D15" s="78">
        <f t="shared" si="0"/>
        <v>117394.03461446545</v>
      </c>
      <c r="E15" s="78"/>
      <c r="F15" s="78">
        <f>Whol!H22+Whol!H23</f>
        <v>116357.34301471704</v>
      </c>
      <c r="G15" s="78">
        <v>0</v>
      </c>
      <c r="H15" s="78">
        <v>0</v>
      </c>
      <c r="I15" s="78">
        <f>Whol!H24</f>
        <v>1036.6915997484007</v>
      </c>
      <c r="J15" s="87"/>
      <c r="K15" s="15"/>
    </row>
    <row r="16" spans="2:11" ht="15.75" x14ac:dyDescent="0.25">
      <c r="B16" s="86"/>
      <c r="C16" s="78" t="s">
        <v>169</v>
      </c>
      <c r="D16" s="78">
        <f t="shared" si="0"/>
        <v>220634.58594769926</v>
      </c>
      <c r="E16" s="78">
        <f>Whol!H26</f>
        <v>220634.58594769926</v>
      </c>
      <c r="F16" s="78"/>
      <c r="G16" s="78"/>
      <c r="H16" s="78"/>
      <c r="I16" s="78"/>
      <c r="J16" s="87"/>
      <c r="K16" s="15"/>
    </row>
    <row r="17" spans="2:11" ht="15.75" x14ac:dyDescent="0.25">
      <c r="B17" s="86"/>
      <c r="C17" s="78" t="s">
        <v>430</v>
      </c>
      <c r="D17" s="78">
        <f t="shared" si="0"/>
        <v>556530.68544888112</v>
      </c>
      <c r="E17" s="78">
        <f>Whol!H28*0.25</f>
        <v>11628.647632538195</v>
      </c>
      <c r="F17" s="78">
        <f>Whol!H28-E17+Whol!H29</f>
        <v>455531.96676634753</v>
      </c>
      <c r="G17" s="78">
        <f>Whol!H30*0.85</f>
        <v>66366.3</v>
      </c>
      <c r="H17" s="78">
        <f>Whol!H30-G17</f>
        <v>11711.699999999997</v>
      </c>
      <c r="I17" s="78">
        <f>Whol!H31</f>
        <v>11292.071049995422</v>
      </c>
      <c r="J17" s="87"/>
      <c r="K17" s="15"/>
    </row>
    <row r="18" spans="2:11" ht="15.75" x14ac:dyDescent="0.25">
      <c r="B18" s="86"/>
      <c r="C18" s="350" t="s">
        <v>25</v>
      </c>
      <c r="D18" s="78">
        <f t="shared" si="0"/>
        <v>14922.348138281635</v>
      </c>
      <c r="E18" s="78"/>
      <c r="F18" s="78"/>
      <c r="G18" s="78"/>
      <c r="H18" s="78"/>
      <c r="I18" s="78">
        <f>Whol!H33</f>
        <v>14922.348138281635</v>
      </c>
      <c r="J18" s="87"/>
      <c r="K18" s="15"/>
    </row>
    <row r="19" spans="2:11" ht="15.75" x14ac:dyDescent="0.25">
      <c r="B19" s="86"/>
      <c r="C19" s="78" t="s">
        <v>431</v>
      </c>
      <c r="D19" s="78">
        <f t="shared" si="0"/>
        <v>72861.66239961666</v>
      </c>
      <c r="E19" s="78">
        <f>Whol!H35</f>
        <v>877.6896780974962</v>
      </c>
      <c r="F19" s="78">
        <f>Whol!H36</f>
        <v>59906.118029530364</v>
      </c>
      <c r="G19" s="78">
        <f>Whol!H37*0.85</f>
        <v>9088.955673921002</v>
      </c>
      <c r="H19" s="78">
        <f>Whol!H37-G19</f>
        <v>1603.9333542213535</v>
      </c>
      <c r="I19" s="78">
        <f>Whol!H38</f>
        <v>1384.9656638464371</v>
      </c>
      <c r="J19" s="87"/>
      <c r="K19" s="15"/>
    </row>
    <row r="20" spans="2:11" ht="15.75" x14ac:dyDescent="0.25">
      <c r="B20" s="86"/>
      <c r="C20" s="78" t="s">
        <v>170</v>
      </c>
      <c r="D20" s="78">
        <f t="shared" si="0"/>
        <v>68386.482478197664</v>
      </c>
      <c r="E20" s="15"/>
      <c r="F20" s="78"/>
      <c r="G20" s="78"/>
      <c r="H20" s="78"/>
      <c r="I20" s="78">
        <f>Whol!H39</f>
        <v>68386.482478197664</v>
      </c>
      <c r="J20" s="87"/>
      <c r="K20" s="15"/>
    </row>
    <row r="21" spans="2:11" ht="15.75" x14ac:dyDescent="0.25">
      <c r="B21" s="86"/>
      <c r="C21" s="78" t="s">
        <v>146</v>
      </c>
      <c r="D21" s="78">
        <f t="shared" si="0"/>
        <v>24657</v>
      </c>
      <c r="E21" s="78"/>
      <c r="F21" s="78"/>
      <c r="G21" s="78">
        <f>Whol!H40</f>
        <v>24657</v>
      </c>
      <c r="H21" s="78"/>
      <c r="I21" s="78"/>
      <c r="J21" s="87"/>
      <c r="K21" s="15"/>
    </row>
    <row r="22" spans="2:11" ht="15.75" x14ac:dyDescent="0.25">
      <c r="B22" s="86"/>
      <c r="C22" s="78" t="s">
        <v>476</v>
      </c>
      <c r="D22" s="78">
        <f t="shared" si="0"/>
        <v>11447.607412488051</v>
      </c>
      <c r="E22" s="78">
        <v>0</v>
      </c>
      <c r="F22" s="78"/>
      <c r="G22" s="78"/>
      <c r="H22" s="78"/>
      <c r="I22" s="78">
        <f>Whol!H41</f>
        <v>11447.607412488051</v>
      </c>
      <c r="J22" s="87"/>
      <c r="K22" s="15"/>
    </row>
    <row r="23" spans="2:11" ht="15.75" x14ac:dyDescent="0.25">
      <c r="B23" s="86"/>
      <c r="C23" s="78" t="s">
        <v>37</v>
      </c>
      <c r="D23" s="78">
        <f>SUM(E23:I23)</f>
        <v>478548.02787237219</v>
      </c>
      <c r="E23" s="78">
        <f>Whol!H46*0.25</f>
        <v>45812.748496092478</v>
      </c>
      <c r="F23" s="78">
        <f>Whol!H46-E23+Whol!H47+Whol!H48</f>
        <v>342057.13006328157</v>
      </c>
      <c r="G23" s="78">
        <v>0</v>
      </c>
      <c r="H23" s="78">
        <f>Whol!H50</f>
        <v>75743.761972833163</v>
      </c>
      <c r="I23" s="78">
        <f>Whol!H49</f>
        <v>14934.387340164976</v>
      </c>
      <c r="J23" s="87"/>
      <c r="K23" s="15"/>
    </row>
    <row r="24" spans="2:11" ht="15.75" x14ac:dyDescent="0.25">
      <c r="B24" s="86"/>
      <c r="C24" s="78"/>
      <c r="D24" s="78"/>
      <c r="E24" s="78"/>
      <c r="F24" s="78"/>
      <c r="G24" s="78"/>
      <c r="H24" s="78"/>
      <c r="I24" s="78"/>
      <c r="J24" s="87"/>
      <c r="K24" s="15"/>
    </row>
    <row r="25" spans="2:11" ht="15.75" x14ac:dyDescent="0.25">
      <c r="B25" s="86"/>
      <c r="C25" s="78" t="s">
        <v>42</v>
      </c>
      <c r="D25" s="78">
        <f t="shared" ref="D25:I25" si="1">SUM(D12:D24)</f>
        <v>2786278.1716387756</v>
      </c>
      <c r="E25" s="78">
        <f t="shared" si="1"/>
        <v>349097.99295115459</v>
      </c>
      <c r="F25" s="78">
        <f t="shared" si="1"/>
        <v>1803006.7345042345</v>
      </c>
      <c r="G25" s="78">
        <f t="shared" si="1"/>
        <v>331281.32129005459</v>
      </c>
      <c r="H25" s="78">
        <f t="shared" si="1"/>
        <v>129853.93631813694</v>
      </c>
      <c r="I25" s="78">
        <f t="shared" si="1"/>
        <v>173038.18657519479</v>
      </c>
      <c r="J25" s="87"/>
      <c r="K25" s="15">
        <f>SUM(E25:J25)</f>
        <v>2786278.1716387756</v>
      </c>
    </row>
    <row r="26" spans="2:11" ht="18" x14ac:dyDescent="0.4">
      <c r="B26" s="86"/>
      <c r="C26" s="78" t="s">
        <v>477</v>
      </c>
      <c r="D26" s="469">
        <f>I25</f>
        <v>173038.18657519479</v>
      </c>
      <c r="E26" s="78"/>
      <c r="F26" s="78"/>
      <c r="G26" s="78"/>
      <c r="H26" s="78"/>
      <c r="I26" s="78"/>
      <c r="J26" s="87"/>
      <c r="K26" s="15"/>
    </row>
    <row r="27" spans="2:11" ht="15.75" x14ac:dyDescent="0.25">
      <c r="B27" s="86"/>
      <c r="C27" s="78" t="s">
        <v>478</v>
      </c>
      <c r="D27" s="78">
        <f>+D25-D26</f>
        <v>2613239.9850635808</v>
      </c>
      <c r="E27" s="78"/>
      <c r="F27" s="78"/>
      <c r="G27" s="78"/>
      <c r="H27" s="78"/>
      <c r="I27" s="78"/>
      <c r="J27" s="87"/>
      <c r="K27" s="15"/>
    </row>
    <row r="28" spans="2:11" ht="15.75" x14ac:dyDescent="0.25">
      <c r="B28" s="86"/>
      <c r="C28" s="78"/>
      <c r="D28" s="78"/>
      <c r="E28" s="78"/>
      <c r="F28" s="78"/>
      <c r="G28" s="78"/>
      <c r="H28" s="78"/>
      <c r="I28" s="78"/>
      <c r="J28" s="87"/>
      <c r="K28" s="15"/>
    </row>
    <row r="29" spans="2:11" ht="15.75" x14ac:dyDescent="0.25">
      <c r="B29" s="86"/>
      <c r="C29" s="78" t="s">
        <v>479</v>
      </c>
      <c r="D29" s="389">
        <f>SUM(E29:H29)</f>
        <v>1</v>
      </c>
      <c r="E29" s="389">
        <f>E25/$D$27</f>
        <v>0.13358818744029777</v>
      </c>
      <c r="F29" s="389">
        <f>F25/$D$27</f>
        <v>0.68995069140592802</v>
      </c>
      <c r="G29" s="389">
        <f>G25/$D$27</f>
        <v>0.12677033995482601</v>
      </c>
      <c r="H29" s="389">
        <f>H25/$D$27</f>
        <v>4.9690781198948153E-2</v>
      </c>
      <c r="I29" s="78"/>
      <c r="J29" s="87"/>
      <c r="K29" s="470"/>
    </row>
    <row r="30" spans="2:11" ht="15.75" x14ac:dyDescent="0.25">
      <c r="B30" s="86"/>
      <c r="C30" s="78"/>
      <c r="D30" s="78"/>
      <c r="E30" s="78"/>
      <c r="F30" s="78"/>
      <c r="G30" s="78"/>
      <c r="H30" s="78"/>
      <c r="I30" s="78"/>
      <c r="J30" s="87"/>
      <c r="K30" s="15"/>
    </row>
    <row r="31" spans="2:11" ht="15.75" x14ac:dyDescent="0.25">
      <c r="B31" s="86"/>
      <c r="C31" s="78" t="s">
        <v>480</v>
      </c>
      <c r="D31" s="78">
        <f>SUM(E31:H31)</f>
        <v>173038.18657519479</v>
      </c>
      <c r="E31" s="78">
        <f>E29*$I$25</f>
        <v>23115.857702536337</v>
      </c>
      <c r="F31" s="78">
        <f>F29*$I$25</f>
        <v>119387.81646718361</v>
      </c>
      <c r="G31" s="78">
        <f>G29*$I$25</f>
        <v>21936.109737304054</v>
      </c>
      <c r="H31" s="78">
        <f>H29*$I$25</f>
        <v>8598.4026681707728</v>
      </c>
      <c r="I31" s="78"/>
      <c r="J31" s="87"/>
      <c r="K31" s="15">
        <f>SUM(E31:H31)</f>
        <v>173038.18657519479</v>
      </c>
    </row>
    <row r="32" spans="2:11" ht="15.75" x14ac:dyDescent="0.25">
      <c r="B32" s="86"/>
      <c r="C32" s="78"/>
      <c r="D32" s="78"/>
      <c r="E32" s="78"/>
      <c r="F32" s="78"/>
      <c r="G32" s="78"/>
      <c r="H32" s="78"/>
      <c r="I32" s="78"/>
      <c r="J32" s="87"/>
      <c r="K32" s="15"/>
    </row>
    <row r="33" spans="2:11" ht="15.75" x14ac:dyDescent="0.25">
      <c r="B33" s="86"/>
      <c r="C33" s="78" t="s">
        <v>481</v>
      </c>
      <c r="D33" s="78">
        <f>D31+D27</f>
        <v>2786278.1716387756</v>
      </c>
      <c r="E33" s="78">
        <f>E31+E25</f>
        <v>372213.85065369093</v>
      </c>
      <c r="F33" s="78">
        <f>F31+F25</f>
        <v>1922394.5509714182</v>
      </c>
      <c r="G33" s="78">
        <f>G31+G25</f>
        <v>353217.43102735863</v>
      </c>
      <c r="H33" s="78">
        <f>H31+H25</f>
        <v>138452.3389863077</v>
      </c>
      <c r="I33" s="78"/>
      <c r="J33" s="87"/>
      <c r="K33" s="15">
        <f>SUM(E33:H33)</f>
        <v>2786278.1716387752</v>
      </c>
    </row>
    <row r="34" spans="2:11" ht="15.75" x14ac:dyDescent="0.25">
      <c r="B34" s="88"/>
      <c r="C34" s="17"/>
      <c r="D34" s="17"/>
      <c r="E34" s="17"/>
      <c r="F34" s="17"/>
      <c r="G34" s="17"/>
      <c r="H34" s="17"/>
      <c r="I34" s="17"/>
      <c r="J34" s="89"/>
      <c r="K34" s="15"/>
    </row>
    <row r="35" spans="2:11" ht="15.75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</row>
  </sheetData>
  <mergeCells count="4">
    <mergeCell ref="G9:H9"/>
    <mergeCell ref="C4:I4"/>
    <mergeCell ref="C5:I5"/>
    <mergeCell ref="C6:I6"/>
  </mergeCells>
  <printOptions horizontalCentered="1"/>
  <pageMargins left="0.45" right="0.45" top="1.2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175D-7259-44E7-B43A-3662FCD88845}">
  <sheetPr>
    <pageSetUpPr fitToPage="1"/>
  </sheetPr>
  <dimension ref="A1:L36"/>
  <sheetViews>
    <sheetView workbookViewId="0"/>
  </sheetViews>
  <sheetFormatPr defaultRowHeight="15" x14ac:dyDescent="0.2"/>
  <cols>
    <col min="2" max="2" width="1.77734375" customWidth="1"/>
    <col min="3" max="3" width="27.5546875" customWidth="1"/>
    <col min="4" max="4" width="9" bestFit="1" customWidth="1"/>
    <col min="9" max="9" width="1.77734375" customWidth="1"/>
  </cols>
  <sheetData>
    <row r="1" spans="1:12" ht="15.75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.75" x14ac:dyDescent="0.25">
      <c r="A2" s="15"/>
      <c r="B2" s="83"/>
      <c r="C2" s="84"/>
      <c r="D2" s="84"/>
      <c r="E2" s="84"/>
      <c r="F2" s="84"/>
      <c r="G2" s="84"/>
      <c r="H2" s="84"/>
      <c r="I2" s="85"/>
      <c r="J2" s="15"/>
      <c r="K2" s="15"/>
      <c r="L2" s="15"/>
    </row>
    <row r="3" spans="1:12" ht="18.75" x14ac:dyDescent="0.3">
      <c r="A3" s="86"/>
      <c r="B3" s="86"/>
      <c r="C3" s="604" t="s">
        <v>495</v>
      </c>
      <c r="D3" s="604"/>
      <c r="E3" s="604"/>
      <c r="F3" s="604"/>
      <c r="G3" s="604"/>
      <c r="H3" s="604"/>
      <c r="I3" s="422"/>
      <c r="J3" s="419"/>
      <c r="K3" s="15"/>
      <c r="L3" s="15"/>
    </row>
    <row r="4" spans="1:12" ht="18.75" x14ac:dyDescent="0.3">
      <c r="A4" s="86"/>
      <c r="B4" s="86"/>
      <c r="C4" s="607" t="s">
        <v>483</v>
      </c>
      <c r="D4" s="607"/>
      <c r="E4" s="607"/>
      <c r="F4" s="607"/>
      <c r="G4" s="607"/>
      <c r="H4" s="607"/>
      <c r="I4" s="421"/>
      <c r="J4" s="420"/>
      <c r="K4" s="15"/>
      <c r="L4" s="15"/>
    </row>
    <row r="5" spans="1:12" ht="18.75" x14ac:dyDescent="0.25">
      <c r="A5" s="86"/>
      <c r="B5" s="86"/>
      <c r="C5" s="597" t="s">
        <v>167</v>
      </c>
      <c r="D5" s="597"/>
      <c r="E5" s="597"/>
      <c r="F5" s="597"/>
      <c r="G5" s="597"/>
      <c r="H5" s="597"/>
      <c r="I5" s="424"/>
      <c r="J5" s="471"/>
      <c r="K5" s="15"/>
      <c r="L5" s="15"/>
    </row>
    <row r="6" spans="1:12" ht="8.1" customHeight="1" x14ac:dyDescent="0.25">
      <c r="A6" s="78"/>
      <c r="B6" s="88"/>
      <c r="C6" s="387"/>
      <c r="D6" s="387"/>
      <c r="E6" s="387"/>
      <c r="F6" s="387"/>
      <c r="G6" s="387"/>
      <c r="H6" s="387"/>
      <c r="I6" s="388"/>
      <c r="J6" s="471"/>
      <c r="K6" s="15"/>
      <c r="L6" s="15"/>
    </row>
    <row r="7" spans="1:12" ht="8.1" customHeight="1" x14ac:dyDescent="0.25">
      <c r="A7" s="78"/>
      <c r="B7" s="86"/>
      <c r="C7" s="423"/>
      <c r="D7" s="423"/>
      <c r="E7" s="423"/>
      <c r="F7" s="423"/>
      <c r="G7" s="423"/>
      <c r="H7" s="423"/>
      <c r="I7" s="424"/>
      <c r="J7" s="471"/>
      <c r="K7" s="15"/>
      <c r="L7" s="15"/>
    </row>
    <row r="8" spans="1:12" ht="18.75" x14ac:dyDescent="0.4">
      <c r="A8" s="78"/>
      <c r="B8" s="86"/>
      <c r="C8" s="471"/>
      <c r="D8" s="471"/>
      <c r="E8" s="471"/>
      <c r="F8" s="471"/>
      <c r="G8" s="610" t="s">
        <v>370</v>
      </c>
      <c r="H8" s="610"/>
      <c r="I8" s="472"/>
      <c r="J8" s="471"/>
      <c r="K8" s="15"/>
      <c r="L8" s="15"/>
    </row>
    <row r="9" spans="1:12" ht="18" x14ac:dyDescent="0.4">
      <c r="A9" s="15"/>
      <c r="B9" s="86"/>
      <c r="C9" s="78"/>
      <c r="D9" s="468" t="s">
        <v>378</v>
      </c>
      <c r="E9" s="468"/>
      <c r="F9" s="468"/>
      <c r="G9" s="465" t="s">
        <v>469</v>
      </c>
      <c r="H9" s="465" t="s">
        <v>470</v>
      </c>
      <c r="I9" s="473"/>
      <c r="J9" s="15"/>
      <c r="K9" s="15"/>
      <c r="L9" s="15"/>
    </row>
    <row r="10" spans="1:12" ht="18" x14ac:dyDescent="0.4">
      <c r="A10" s="15"/>
      <c r="B10" s="86"/>
      <c r="C10" s="78"/>
      <c r="D10" s="468" t="s">
        <v>379</v>
      </c>
      <c r="E10" s="468" t="s">
        <v>472</v>
      </c>
      <c r="F10" s="468" t="s">
        <v>473</v>
      </c>
      <c r="G10" s="465" t="s">
        <v>474</v>
      </c>
      <c r="H10" s="465" t="s">
        <v>386</v>
      </c>
      <c r="I10" s="473"/>
      <c r="J10" s="15"/>
      <c r="K10" s="15"/>
      <c r="L10" s="15"/>
    </row>
    <row r="11" spans="1:12" ht="15.75" x14ac:dyDescent="0.25">
      <c r="A11" s="15"/>
      <c r="B11" s="86"/>
      <c r="C11" s="78"/>
      <c r="D11" s="468"/>
      <c r="E11" s="468"/>
      <c r="F11" s="468"/>
      <c r="G11" s="468"/>
      <c r="H11" s="468"/>
      <c r="I11" s="473"/>
      <c r="J11" s="15"/>
      <c r="K11" s="15"/>
      <c r="L11" s="15"/>
    </row>
    <row r="12" spans="1:12" ht="15.75" x14ac:dyDescent="0.25">
      <c r="A12" s="15"/>
      <c r="B12" s="86"/>
      <c r="C12" s="78" t="s">
        <v>484</v>
      </c>
      <c r="D12" s="78">
        <f>SUM(E12:H12)</f>
        <v>2786278.1716387752</v>
      </c>
      <c r="E12" s="78">
        <f>AlocOM_R!E33</f>
        <v>372213.85065369093</v>
      </c>
      <c r="F12" s="78">
        <f>AlocOM_R!F33</f>
        <v>1922394.5509714182</v>
      </c>
      <c r="G12" s="78">
        <f>AlocOM_R!G33</f>
        <v>353217.43102735863</v>
      </c>
      <c r="H12" s="78">
        <f>AlocOM_R!H33</f>
        <v>138452.3389863077</v>
      </c>
      <c r="I12" s="87"/>
      <c r="J12" s="15"/>
      <c r="K12" s="15">
        <f>SUM(E12:H12)</f>
        <v>2786278.1716387752</v>
      </c>
      <c r="L12" s="15"/>
    </row>
    <row r="13" spans="1:12" ht="18" x14ac:dyDescent="0.4">
      <c r="A13" s="15"/>
      <c r="B13" s="86"/>
      <c r="C13" s="78" t="s">
        <v>594</v>
      </c>
      <c r="D13" s="469">
        <f>Whol!K56</f>
        <v>602054.84736386139</v>
      </c>
      <c r="E13" s="469">
        <f>Whol!H52*0.25+E27</f>
        <v>53301.448698414919</v>
      </c>
      <c r="F13" s="469">
        <f>Whol!H52*0.75+Whol!H53+Whol!H54+F27</f>
        <v>445938.8938805692</v>
      </c>
      <c r="G13" s="469">
        <f>+G27</f>
        <v>1297.8198391382909</v>
      </c>
      <c r="H13" s="469">
        <f>+Whol!H56+H27</f>
        <v>101516.68494573898</v>
      </c>
      <c r="I13" s="475"/>
      <c r="J13" s="15"/>
      <c r="K13" s="15">
        <f>SUM(E13:H13)</f>
        <v>602054.84736386139</v>
      </c>
      <c r="L13" s="15"/>
    </row>
    <row r="14" spans="1:12" ht="15.75" x14ac:dyDescent="0.25">
      <c r="A14" s="15"/>
      <c r="B14" s="86"/>
      <c r="C14" s="216" t="s">
        <v>486</v>
      </c>
      <c r="D14" s="78">
        <f>D13+D12</f>
        <v>3388333.0190026364</v>
      </c>
      <c r="E14" s="78">
        <f>E13+E12</f>
        <v>425515.29935210582</v>
      </c>
      <c r="F14" s="78">
        <f>F13+F12</f>
        <v>2368333.4448519875</v>
      </c>
      <c r="G14" s="78">
        <f>G12+G13</f>
        <v>354515.25086649694</v>
      </c>
      <c r="H14" s="78">
        <f>H12+H13</f>
        <v>239969.02393204666</v>
      </c>
      <c r="I14" s="87"/>
      <c r="J14" s="15">
        <f>SUM(E14:H14)</f>
        <v>3388333.0190026369</v>
      </c>
      <c r="K14" s="15">
        <f>SUM(E14:H14)</f>
        <v>3388333.0190026369</v>
      </c>
      <c r="L14" s="15"/>
    </row>
    <row r="15" spans="1:12" ht="15.75" x14ac:dyDescent="0.25">
      <c r="A15" s="15"/>
      <c r="B15" s="86"/>
      <c r="C15" s="78" t="s">
        <v>485</v>
      </c>
      <c r="D15" s="78"/>
      <c r="E15" s="389">
        <f>E12/$D$12</f>
        <v>0.1335881874402978</v>
      </c>
      <c r="F15" s="389">
        <f>F12/$D$12</f>
        <v>0.68995069140592813</v>
      </c>
      <c r="G15" s="389">
        <f>G12/$D$12</f>
        <v>0.12677033995482603</v>
      </c>
      <c r="H15" s="389">
        <f>H12/$D$12</f>
        <v>4.969078119894816E-2</v>
      </c>
      <c r="I15" s="87"/>
      <c r="J15" s="15"/>
      <c r="K15" s="15"/>
      <c r="L15" s="15"/>
    </row>
    <row r="16" spans="1:12" ht="8.1" customHeight="1" x14ac:dyDescent="0.25">
      <c r="A16" s="15"/>
      <c r="B16" s="86"/>
      <c r="C16" s="216"/>
      <c r="D16" s="78"/>
      <c r="E16" s="78"/>
      <c r="F16" s="78"/>
      <c r="G16" s="78"/>
      <c r="H16" s="78"/>
      <c r="I16" s="87"/>
      <c r="J16" s="15"/>
      <c r="K16" s="15"/>
      <c r="L16" s="15"/>
    </row>
    <row r="17" spans="1:12" ht="15.75" x14ac:dyDescent="0.25">
      <c r="A17" s="15"/>
      <c r="B17" s="86"/>
      <c r="C17" s="216" t="s">
        <v>487</v>
      </c>
      <c r="D17" s="78"/>
      <c r="E17" s="78"/>
      <c r="F17" s="78"/>
      <c r="G17" s="78"/>
      <c r="H17" s="78"/>
      <c r="I17" s="87"/>
      <c r="J17" s="15"/>
      <c r="K17" s="15">
        <f>D13-K13</f>
        <v>0</v>
      </c>
      <c r="L17" s="15"/>
    </row>
    <row r="18" spans="1:12" ht="15.75" x14ac:dyDescent="0.25">
      <c r="A18" s="15"/>
      <c r="B18" s="86"/>
      <c r="C18" s="476" t="s">
        <v>488</v>
      </c>
      <c r="D18" s="78">
        <f>-SAO!I13</f>
        <v>-78274.333333333328</v>
      </c>
      <c r="E18" s="78"/>
      <c r="F18" s="78"/>
      <c r="G18" s="78">
        <f>D18</f>
        <v>-78274.333333333328</v>
      </c>
      <c r="H18" s="78"/>
      <c r="I18" s="87"/>
      <c r="J18" s="15"/>
      <c r="K18" s="15"/>
      <c r="L18" s="15"/>
    </row>
    <row r="19" spans="1:12" ht="15.75" x14ac:dyDescent="0.25">
      <c r="A19" s="15"/>
      <c r="B19" s="86"/>
      <c r="C19" s="476" t="s">
        <v>489</v>
      </c>
      <c r="D19" s="78">
        <f>-SAO!I14</f>
        <v>-28070</v>
      </c>
      <c r="E19" s="78"/>
      <c r="F19" s="78"/>
      <c r="G19" s="78">
        <f>D19</f>
        <v>-28070</v>
      </c>
      <c r="H19" s="78"/>
      <c r="I19" s="87"/>
      <c r="J19" s="15"/>
      <c r="K19" s="15"/>
      <c r="L19" s="15"/>
    </row>
    <row r="20" spans="1:12" ht="18" x14ac:dyDescent="0.4">
      <c r="A20" s="15"/>
      <c r="B20" s="86"/>
      <c r="C20" s="78" t="s">
        <v>490</v>
      </c>
      <c r="D20" s="469">
        <f>SAO!I51</f>
        <v>-2839</v>
      </c>
      <c r="E20" s="469">
        <f>$D$20*E15</f>
        <v>-379.25686414300543</v>
      </c>
      <c r="F20" s="469">
        <f>$D$20*F15</f>
        <v>-1958.7700129014299</v>
      </c>
      <c r="G20" s="469">
        <f>$D$20*G15</f>
        <v>-359.90099513175113</v>
      </c>
      <c r="H20" s="469">
        <f>$D$20*H15</f>
        <v>-141.07212782381382</v>
      </c>
      <c r="I20" s="475"/>
      <c r="J20" s="15"/>
      <c r="K20" s="15"/>
      <c r="L20" s="15"/>
    </row>
    <row r="21" spans="1:12" ht="8.1" customHeight="1" x14ac:dyDescent="0.25">
      <c r="A21" s="15"/>
      <c r="B21" s="86"/>
      <c r="C21" s="78"/>
      <c r="D21" s="78"/>
      <c r="E21" s="78"/>
      <c r="F21" s="78"/>
      <c r="G21" s="78"/>
      <c r="H21" s="78"/>
      <c r="I21" s="87"/>
      <c r="J21" s="15"/>
      <c r="K21" s="15"/>
      <c r="L21" s="15"/>
    </row>
    <row r="22" spans="1:12" ht="15.75" x14ac:dyDescent="0.25">
      <c r="A22" s="15"/>
      <c r="B22" s="86"/>
      <c r="C22" s="216" t="s">
        <v>491</v>
      </c>
      <c r="D22" s="78">
        <f>SUM(D14:D20)</f>
        <v>3279149.6856693029</v>
      </c>
      <c r="E22" s="78">
        <f>SUM(E14:E20)</f>
        <v>425136.17607615027</v>
      </c>
      <c r="F22" s="78">
        <f>SUM(F14:F20)</f>
        <v>2366375.3647897774</v>
      </c>
      <c r="G22" s="78">
        <f>SUM(G14:G20)</f>
        <v>247811.14330837183</v>
      </c>
      <c r="H22" s="78">
        <f>SUM(H14:H20)</f>
        <v>239828.00149500405</v>
      </c>
      <c r="I22" s="87"/>
      <c r="J22" s="15">
        <f>SUM(E22:H22)</f>
        <v>3279150.6856693039</v>
      </c>
      <c r="K22" s="15">
        <f>SUM(E22:H22)</f>
        <v>3279150.6856693039</v>
      </c>
      <c r="L22" s="15"/>
    </row>
    <row r="23" spans="1:12" ht="15.75" x14ac:dyDescent="0.25">
      <c r="A23" s="15"/>
      <c r="B23" s="88"/>
      <c r="C23" s="17"/>
      <c r="D23" s="17"/>
      <c r="E23" s="17"/>
      <c r="F23" s="17"/>
      <c r="G23" s="17"/>
      <c r="H23" s="17"/>
      <c r="I23" s="89"/>
      <c r="J23" s="15"/>
      <c r="K23" s="15"/>
      <c r="L23" s="15"/>
    </row>
    <row r="24" spans="1:12" ht="15.7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15.75" x14ac:dyDescent="0.25">
      <c r="A25" s="15"/>
      <c r="C25" s="589" t="s">
        <v>595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5.7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5.75" x14ac:dyDescent="0.25">
      <c r="A27" s="15"/>
      <c r="B27" s="15"/>
      <c r="C27" s="506" t="s">
        <v>523</v>
      </c>
      <c r="D27" s="507">
        <f>Whol!H55</f>
        <v>14242.037566790466</v>
      </c>
      <c r="E27" s="507">
        <f>$D$27*(Al_Plnt!E36)</f>
        <v>1515.9678492063435</v>
      </c>
      <c r="F27" s="507">
        <f>D27*(Al_Plnt!F36+Al_Plnt!G36+Al_Plnt!H36)</f>
        <v>10919.537180465722</v>
      </c>
      <c r="G27" s="507">
        <f>D27*(G12/G28)*(Al_Plnt!J36+Al_Plnt!I36)</f>
        <v>1297.8198391382909</v>
      </c>
      <c r="H27" s="507">
        <f>D27*(Al_Plnt!I36+Al_Plnt!J36)-G27</f>
        <v>508.71269798010735</v>
      </c>
      <c r="I27" s="15"/>
      <c r="J27" s="15">
        <f>SUM(E27:H27)</f>
        <v>14242.037566790463</v>
      </c>
      <c r="K27" s="15"/>
      <c r="L27" s="15"/>
    </row>
    <row r="28" spans="1:12" ht="15.75" x14ac:dyDescent="0.25">
      <c r="A28" s="15"/>
      <c r="B28" s="15"/>
      <c r="C28" s="15"/>
      <c r="D28" s="15"/>
      <c r="E28" s="15"/>
      <c r="F28" s="15"/>
      <c r="G28" s="507">
        <f>G12+H12</f>
        <v>491669.77001366636</v>
      </c>
      <c r="H28" s="15"/>
      <c r="I28" s="15"/>
      <c r="J28" s="15"/>
      <c r="K28" s="15"/>
      <c r="L28" s="15"/>
    </row>
    <row r="29" spans="1:12" ht="15.75" x14ac:dyDescent="0.25">
      <c r="A29" s="15"/>
      <c r="B29" s="15"/>
      <c r="E29" s="15"/>
      <c r="F29" s="15"/>
      <c r="G29" s="474"/>
      <c r="H29" s="15"/>
      <c r="I29" s="15"/>
      <c r="J29" s="477">
        <f>G22+H22</f>
        <v>487639.14480337588</v>
      </c>
      <c r="K29" s="15"/>
      <c r="L29" s="15"/>
    </row>
    <row r="30" spans="1:12" ht="15.75" x14ac:dyDescent="0.25">
      <c r="A30" s="15"/>
      <c r="B30" s="15"/>
      <c r="E30" s="15"/>
      <c r="F30" s="15"/>
      <c r="G30" s="15"/>
      <c r="H30" s="15"/>
      <c r="I30" s="15"/>
      <c r="J30" s="15">
        <f>G14+H14</f>
        <v>594484.27479854366</v>
      </c>
      <c r="K30" s="15"/>
      <c r="L30" s="15"/>
    </row>
    <row r="31" spans="1:12" ht="15.75" x14ac:dyDescent="0.25">
      <c r="A31" s="15"/>
      <c r="B31" s="15"/>
      <c r="E31" s="15"/>
      <c r="F31" s="15"/>
      <c r="G31" s="15"/>
      <c r="H31" s="15"/>
      <c r="I31" s="15"/>
      <c r="J31" s="15"/>
      <c r="K31" s="15"/>
      <c r="L31" s="15"/>
    </row>
    <row r="32" spans="1:12" ht="15.75" x14ac:dyDescent="0.25">
      <c r="A32" s="15"/>
      <c r="B32" s="15"/>
      <c r="C32" s="461" t="s">
        <v>492</v>
      </c>
      <c r="D32" s="15">
        <f>Whol!H58</f>
        <v>3388333.0190026369</v>
      </c>
      <c r="E32" s="15"/>
      <c r="F32" s="15"/>
      <c r="G32" s="15"/>
      <c r="H32" s="15"/>
      <c r="I32" s="15"/>
      <c r="J32" s="15"/>
      <c r="K32" s="15"/>
      <c r="L32" s="15"/>
    </row>
    <row r="33" spans="1:12" ht="18" x14ac:dyDescent="0.4">
      <c r="A33" s="15"/>
      <c r="B33" s="15"/>
      <c r="C33" s="461" t="s">
        <v>493</v>
      </c>
      <c r="D33" s="478">
        <f>SUM(D18:D20)</f>
        <v>-109183.33333333333</v>
      </c>
      <c r="E33" s="15"/>
      <c r="F33" s="15"/>
      <c r="G33" s="15"/>
      <c r="H33" s="15"/>
      <c r="I33" s="15"/>
      <c r="J33" s="15"/>
      <c r="K33" s="15"/>
      <c r="L33" s="15"/>
    </row>
    <row r="34" spans="1:12" ht="15.75" x14ac:dyDescent="0.25">
      <c r="A34" s="15"/>
      <c r="B34" s="15"/>
      <c r="C34" s="461" t="s">
        <v>494</v>
      </c>
      <c r="D34" s="15">
        <f>SUM(D32:D33)</f>
        <v>3279149.6856693034</v>
      </c>
      <c r="E34" s="15"/>
      <c r="F34" s="461"/>
      <c r="G34" s="474"/>
      <c r="H34" s="474"/>
      <c r="I34" s="15"/>
      <c r="J34" s="15"/>
      <c r="K34" s="15"/>
      <c r="L34" s="15"/>
    </row>
    <row r="35" spans="1:12" ht="15.7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5.7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4">
    <mergeCell ref="C3:H3"/>
    <mergeCell ref="C4:H4"/>
    <mergeCell ref="C5:H5"/>
    <mergeCell ref="G8:H8"/>
  </mergeCells>
  <printOptions horizontalCentered="1"/>
  <pageMargins left="0.45" right="0.45" top="1.2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1384-9C2D-442E-8400-5CA78B010D32}">
  <sheetPr>
    <pageSetUpPr fitToPage="1"/>
  </sheetPr>
  <dimension ref="A1:L43"/>
  <sheetViews>
    <sheetView workbookViewId="0"/>
  </sheetViews>
  <sheetFormatPr defaultRowHeight="15" x14ac:dyDescent="0.2"/>
  <cols>
    <col min="2" max="2" width="1.33203125" customWidth="1"/>
    <col min="3" max="3" width="8.44140625" customWidth="1"/>
    <col min="4" max="5" width="9.33203125" customWidth="1"/>
    <col min="6" max="6" width="10.6640625" customWidth="1"/>
    <col min="7" max="7" width="9.33203125" customWidth="1"/>
    <col min="8" max="8" width="10" customWidth="1"/>
    <col min="9" max="9" width="8.6640625" customWidth="1"/>
    <col min="10" max="10" width="7.44140625" customWidth="1"/>
    <col min="11" max="11" width="0.88671875" customWidth="1"/>
  </cols>
  <sheetData>
    <row r="1" spans="1:12" ht="15.75" x14ac:dyDescent="0.25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ht="15.75" x14ac:dyDescent="0.25">
      <c r="A2" s="515"/>
      <c r="B2" s="516"/>
      <c r="C2" s="517"/>
      <c r="D2" s="517"/>
      <c r="E2" s="517"/>
      <c r="F2" s="517"/>
      <c r="G2" s="517"/>
      <c r="H2" s="517"/>
      <c r="I2" s="517"/>
      <c r="J2" s="517"/>
      <c r="K2" s="518"/>
      <c r="L2" s="515"/>
    </row>
    <row r="3" spans="1:12" ht="18.75" x14ac:dyDescent="0.3">
      <c r="A3" s="515"/>
      <c r="B3" s="519"/>
      <c r="C3" s="599" t="s">
        <v>550</v>
      </c>
      <c r="D3" s="599"/>
      <c r="E3" s="599"/>
      <c r="F3" s="599"/>
      <c r="G3" s="599"/>
      <c r="H3" s="599"/>
      <c r="I3" s="599"/>
      <c r="J3" s="599"/>
      <c r="K3" s="514"/>
      <c r="L3" s="511"/>
    </row>
    <row r="4" spans="1:12" ht="18.75" x14ac:dyDescent="0.3">
      <c r="A4" s="515"/>
      <c r="B4" s="519"/>
      <c r="C4" s="611" t="s">
        <v>528</v>
      </c>
      <c r="D4" s="611"/>
      <c r="E4" s="611"/>
      <c r="F4" s="611"/>
      <c r="G4" s="611"/>
      <c r="H4" s="611"/>
      <c r="I4" s="611"/>
      <c r="J4" s="611"/>
      <c r="K4" s="513"/>
      <c r="L4" s="512"/>
    </row>
    <row r="5" spans="1:12" ht="15.75" x14ac:dyDescent="0.25">
      <c r="A5" s="515"/>
      <c r="B5" s="519"/>
      <c r="C5" s="597" t="s">
        <v>167</v>
      </c>
      <c r="D5" s="597"/>
      <c r="E5" s="597"/>
      <c r="F5" s="597"/>
      <c r="G5" s="597"/>
      <c r="H5" s="597"/>
      <c r="I5" s="597"/>
      <c r="J5" s="597"/>
      <c r="K5" s="520"/>
      <c r="L5" s="521"/>
    </row>
    <row r="6" spans="1:12" ht="8.1" customHeight="1" x14ac:dyDescent="0.25">
      <c r="A6" s="515"/>
      <c r="B6" s="537"/>
      <c r="C6" s="539"/>
      <c r="D6" s="539"/>
      <c r="E6" s="539"/>
      <c r="F6" s="539"/>
      <c r="G6" s="539"/>
      <c r="H6" s="539"/>
      <c r="I6" s="539"/>
      <c r="J6" s="539"/>
      <c r="K6" s="540"/>
      <c r="L6" s="521"/>
    </row>
    <row r="7" spans="1:12" ht="15.75" x14ac:dyDescent="0.25">
      <c r="A7" s="515"/>
      <c r="B7" s="519"/>
      <c r="C7" s="521"/>
      <c r="D7" s="521"/>
      <c r="E7" s="521"/>
      <c r="F7" s="521"/>
      <c r="G7" s="521"/>
      <c r="H7" s="521"/>
      <c r="I7" s="521"/>
      <c r="J7" s="521"/>
      <c r="K7" s="520"/>
      <c r="L7" s="521"/>
    </row>
    <row r="8" spans="1:12" ht="15.75" x14ac:dyDescent="0.25">
      <c r="A8" s="515"/>
      <c r="B8" s="519"/>
      <c r="C8" s="522" t="s">
        <v>529</v>
      </c>
      <c r="D8" s="523"/>
      <c r="E8" s="523"/>
      <c r="F8" s="496"/>
      <c r="G8" s="496"/>
      <c r="H8" s="496"/>
      <c r="I8" s="496"/>
      <c r="J8" s="496"/>
      <c r="K8" s="497"/>
      <c r="L8" s="515"/>
    </row>
    <row r="9" spans="1:12" ht="18" x14ac:dyDescent="0.4">
      <c r="A9" s="515"/>
      <c r="B9" s="519"/>
      <c r="C9" s="498" t="s">
        <v>520</v>
      </c>
      <c r="D9" s="498" t="s">
        <v>521</v>
      </c>
      <c r="E9" s="498" t="s">
        <v>82</v>
      </c>
      <c r="F9" s="498" t="s">
        <v>82</v>
      </c>
      <c r="G9" s="498" t="s">
        <v>82</v>
      </c>
      <c r="H9" s="612" t="s">
        <v>530</v>
      </c>
      <c r="I9" s="612"/>
      <c r="J9" s="612"/>
      <c r="K9" s="524"/>
      <c r="L9" s="525"/>
    </row>
    <row r="10" spans="1:12" ht="18" x14ac:dyDescent="0.4">
      <c r="A10" s="515"/>
      <c r="B10" s="519"/>
      <c r="C10" s="499" t="s">
        <v>327</v>
      </c>
      <c r="D10" s="499" t="s">
        <v>531</v>
      </c>
      <c r="E10" s="499" t="s">
        <v>532</v>
      </c>
      <c r="F10" s="499" t="s">
        <v>533</v>
      </c>
      <c r="G10" s="499" t="s">
        <v>534</v>
      </c>
      <c r="H10" s="526" t="s">
        <v>535</v>
      </c>
      <c r="I10" s="526" t="s">
        <v>544</v>
      </c>
      <c r="J10" s="541" t="s">
        <v>545</v>
      </c>
      <c r="K10" s="527"/>
      <c r="L10" s="528"/>
    </row>
    <row r="11" spans="1:12" ht="15.75" x14ac:dyDescent="0.25">
      <c r="A11" s="515"/>
      <c r="B11" s="519"/>
      <c r="C11" s="529" t="s">
        <v>513</v>
      </c>
      <c r="D11" s="496">
        <v>22744</v>
      </c>
      <c r="E11" s="496">
        <f>D11*2000</f>
        <v>45488000</v>
      </c>
      <c r="F11" s="496">
        <v>21754200</v>
      </c>
      <c r="G11" s="496">
        <f>E11-F11</f>
        <v>23733800</v>
      </c>
      <c r="H11" s="496">
        <f>G11</f>
        <v>23733800</v>
      </c>
      <c r="I11" s="496"/>
      <c r="J11" s="496"/>
      <c r="K11" s="497"/>
      <c r="L11" s="515"/>
    </row>
    <row r="12" spans="1:12" ht="15.75" x14ac:dyDescent="0.25">
      <c r="A12" s="515"/>
      <c r="B12" s="519"/>
      <c r="C12" s="530" t="s">
        <v>514</v>
      </c>
      <c r="D12" s="496">
        <v>179</v>
      </c>
      <c r="E12" s="496">
        <f>D12*5000</f>
        <v>895000</v>
      </c>
      <c r="F12" s="496">
        <v>276600</v>
      </c>
      <c r="G12" s="496">
        <f t="shared" ref="G12:G19" si="0">E12-F12</f>
        <v>618400</v>
      </c>
      <c r="H12" s="496">
        <f>G12</f>
        <v>618400</v>
      </c>
      <c r="I12" s="496"/>
      <c r="J12" s="496"/>
      <c r="K12" s="497"/>
      <c r="L12" s="515"/>
    </row>
    <row r="13" spans="1:12" ht="15.75" x14ac:dyDescent="0.25">
      <c r="A13" s="515"/>
      <c r="B13" s="519"/>
      <c r="C13" s="530" t="s">
        <v>515</v>
      </c>
      <c r="D13" s="496">
        <v>0</v>
      </c>
      <c r="E13" s="496">
        <v>0</v>
      </c>
      <c r="F13" s="496">
        <v>0</v>
      </c>
      <c r="G13" s="496">
        <v>0</v>
      </c>
      <c r="H13" s="496">
        <v>0</v>
      </c>
      <c r="I13" s="496"/>
      <c r="J13" s="496"/>
      <c r="K13" s="497"/>
      <c r="L13" s="515"/>
    </row>
    <row r="14" spans="1:12" ht="15.75" x14ac:dyDescent="0.25">
      <c r="A14" s="515"/>
      <c r="B14" s="519"/>
      <c r="C14" s="530" t="s">
        <v>516</v>
      </c>
      <c r="D14" s="496">
        <f>40+107+86</f>
        <v>233</v>
      </c>
      <c r="E14" s="496">
        <f>D14*20000</f>
        <v>4660000</v>
      </c>
      <c r="F14" s="496">
        <f>264500+638500</f>
        <v>903000</v>
      </c>
      <c r="G14" s="496">
        <f t="shared" si="0"/>
        <v>3757000</v>
      </c>
      <c r="H14" s="496">
        <f>G14</f>
        <v>3757000</v>
      </c>
      <c r="I14" s="496"/>
      <c r="J14" s="496"/>
      <c r="K14" s="497"/>
      <c r="L14" s="515"/>
    </row>
    <row r="15" spans="1:12" ht="15.75" x14ac:dyDescent="0.25">
      <c r="A15" s="515"/>
      <c r="B15" s="519"/>
      <c r="C15" s="530"/>
      <c r="D15" s="496">
        <f>52+17</f>
        <v>69</v>
      </c>
      <c r="E15" s="496">
        <f>D15*20000</f>
        <v>1380000</v>
      </c>
      <c r="F15" s="496">
        <f>629500+291900</f>
        <v>921400</v>
      </c>
      <c r="G15" s="496">
        <f t="shared" si="0"/>
        <v>458600</v>
      </c>
      <c r="H15" s="496"/>
      <c r="I15" s="496">
        <f>G15</f>
        <v>458600</v>
      </c>
      <c r="J15" s="496"/>
      <c r="K15" s="497"/>
      <c r="L15" s="515"/>
    </row>
    <row r="16" spans="1:12" ht="15.75" x14ac:dyDescent="0.25">
      <c r="A16" s="515"/>
      <c r="B16" s="519"/>
      <c r="C16" s="530" t="s">
        <v>517</v>
      </c>
      <c r="D16" s="496">
        <v>18</v>
      </c>
      <c r="E16" s="496">
        <f>D16*30000</f>
        <v>540000</v>
      </c>
      <c r="F16" s="496">
        <f>24400+75400</f>
        <v>99800</v>
      </c>
      <c r="G16" s="496">
        <f t="shared" si="0"/>
        <v>440200</v>
      </c>
      <c r="H16" s="496">
        <f>G16</f>
        <v>440200</v>
      </c>
      <c r="I16" s="496"/>
      <c r="J16" s="496"/>
      <c r="K16" s="497"/>
      <c r="L16" s="515"/>
    </row>
    <row r="17" spans="1:12" ht="15.75" x14ac:dyDescent="0.25">
      <c r="A17" s="515"/>
      <c r="B17" s="519"/>
      <c r="C17" s="530"/>
      <c r="D17" s="496">
        <v>3</v>
      </c>
      <c r="E17" s="496">
        <f>D17*30000</f>
        <v>90000</v>
      </c>
      <c r="F17" s="496">
        <f>38000+25700</f>
        <v>63700</v>
      </c>
      <c r="G17" s="496">
        <f t="shared" si="0"/>
        <v>26300</v>
      </c>
      <c r="H17" s="496"/>
      <c r="I17" s="496">
        <f>G17</f>
        <v>26300</v>
      </c>
      <c r="J17" s="496"/>
      <c r="K17" s="497"/>
      <c r="L17" s="515"/>
    </row>
    <row r="18" spans="1:12" ht="15.75" x14ac:dyDescent="0.25">
      <c r="A18" s="515"/>
      <c r="B18" s="519"/>
      <c r="C18" s="530" t="s">
        <v>518</v>
      </c>
      <c r="D18" s="496">
        <v>10</v>
      </c>
      <c r="E18" s="496">
        <f>D18*100000</f>
        <v>1000000</v>
      </c>
      <c r="F18" s="496">
        <f>6000+19200</f>
        <v>25200</v>
      </c>
      <c r="G18" s="496">
        <f>E18-F18</f>
        <v>974800</v>
      </c>
      <c r="H18" s="496">
        <f>G18</f>
        <v>974800</v>
      </c>
      <c r="I18" s="496"/>
      <c r="J18" s="496"/>
      <c r="K18" s="497"/>
      <c r="L18" s="515"/>
    </row>
    <row r="19" spans="1:12" ht="18" x14ac:dyDescent="0.4">
      <c r="A19" s="515"/>
      <c r="B19" s="519"/>
      <c r="D19" s="503">
        <f>25-D18</f>
        <v>15</v>
      </c>
      <c r="E19" s="503">
        <f>D19*100000</f>
        <v>1500000</v>
      </c>
      <c r="F19" s="503">
        <f>611900-F18</f>
        <v>586700</v>
      </c>
      <c r="G19" s="503">
        <f t="shared" si="0"/>
        <v>913300</v>
      </c>
      <c r="H19" s="503">
        <v>0</v>
      </c>
      <c r="I19" s="503">
        <f>G19</f>
        <v>913300</v>
      </c>
      <c r="J19" s="503">
        <v>0</v>
      </c>
      <c r="K19" s="531"/>
      <c r="L19" s="532"/>
    </row>
    <row r="20" spans="1:12" ht="15.75" x14ac:dyDescent="0.25">
      <c r="A20" s="515"/>
      <c r="B20" s="519"/>
      <c r="C20" s="533" t="s">
        <v>42</v>
      </c>
      <c r="D20" s="496">
        <f t="shared" ref="D20:J20" si="1">SUM(D11:D19)</f>
        <v>23271</v>
      </c>
      <c r="E20" s="496">
        <f t="shared" si="1"/>
        <v>55553000</v>
      </c>
      <c r="F20" s="496">
        <f t="shared" si="1"/>
        <v>24630600</v>
      </c>
      <c r="G20" s="496">
        <f t="shared" si="1"/>
        <v>30922400</v>
      </c>
      <c r="H20" s="496">
        <f t="shared" si="1"/>
        <v>29524200</v>
      </c>
      <c r="I20" s="496">
        <f t="shared" si="1"/>
        <v>1398200</v>
      </c>
      <c r="J20" s="496">
        <f t="shared" si="1"/>
        <v>0</v>
      </c>
      <c r="K20" s="497"/>
      <c r="L20" s="515"/>
    </row>
    <row r="21" spans="1:12" ht="15.75" x14ac:dyDescent="0.25">
      <c r="A21" s="515"/>
      <c r="B21" s="519"/>
      <c r="C21" s="533"/>
      <c r="D21" s="496"/>
      <c r="E21" s="496"/>
      <c r="F21" s="496"/>
      <c r="G21" s="496"/>
      <c r="H21" s="496"/>
      <c r="I21" s="496"/>
      <c r="J21" s="496"/>
      <c r="K21" s="497"/>
      <c r="L21" s="515"/>
    </row>
    <row r="22" spans="1:12" ht="15.75" x14ac:dyDescent="0.25">
      <c r="A22" s="515"/>
      <c r="B22" s="519"/>
      <c r="C22" s="496"/>
      <c r="D22" s="496"/>
      <c r="E22" s="496"/>
      <c r="F22" s="496"/>
      <c r="G22" s="496"/>
      <c r="H22" s="496"/>
      <c r="I22" s="496"/>
      <c r="J22" s="496"/>
      <c r="K22" s="497"/>
      <c r="L22" s="515"/>
    </row>
    <row r="23" spans="1:12" ht="15.75" x14ac:dyDescent="0.25">
      <c r="A23" s="515"/>
      <c r="B23" s="519"/>
      <c r="E23" s="534" t="s">
        <v>536</v>
      </c>
      <c r="F23" s="535"/>
      <c r="G23" s="496"/>
      <c r="H23" s="496"/>
      <c r="I23" s="496"/>
      <c r="J23" s="496"/>
      <c r="K23" s="497"/>
      <c r="L23" s="515"/>
    </row>
    <row r="24" spans="1:12" ht="15.75" x14ac:dyDescent="0.25">
      <c r="A24" s="515"/>
      <c r="B24" s="519"/>
      <c r="E24" s="498" t="s">
        <v>464</v>
      </c>
      <c r="F24" s="498" t="s">
        <v>537</v>
      </c>
      <c r="G24" s="498" t="s">
        <v>9</v>
      </c>
      <c r="H24" s="498" t="s">
        <v>538</v>
      </c>
      <c r="I24" s="496"/>
      <c r="J24" s="496"/>
      <c r="K24" s="497"/>
      <c r="L24" s="515"/>
    </row>
    <row r="25" spans="1:12" ht="18" x14ac:dyDescent="0.4">
      <c r="A25" s="515"/>
      <c r="B25" s="519"/>
      <c r="E25" s="499" t="s">
        <v>539</v>
      </c>
      <c r="F25" s="499" t="s">
        <v>540</v>
      </c>
      <c r="G25" s="499" t="s">
        <v>541</v>
      </c>
      <c r="H25" s="499" t="s">
        <v>540</v>
      </c>
      <c r="I25" s="496"/>
      <c r="J25" s="496"/>
      <c r="K25" s="497"/>
      <c r="L25" s="515"/>
    </row>
    <row r="26" spans="1:12" ht="15.75" x14ac:dyDescent="0.25">
      <c r="A26" s="515"/>
      <c r="B26" s="519"/>
      <c r="E26" s="536" t="s">
        <v>542</v>
      </c>
      <c r="F26" s="496">
        <f>Usage!Y28</f>
        <v>220206000</v>
      </c>
      <c r="G26" s="496">
        <f>H20</f>
        <v>29524200</v>
      </c>
      <c r="H26" s="496">
        <f>F26+G26</f>
        <v>249730200</v>
      </c>
      <c r="I26" s="496"/>
      <c r="J26" s="496"/>
      <c r="K26" s="497"/>
      <c r="L26" s="515"/>
    </row>
    <row r="27" spans="1:12" ht="15.75" x14ac:dyDescent="0.25">
      <c r="A27" s="515"/>
      <c r="B27" s="519"/>
      <c r="E27" s="536" t="s">
        <v>544</v>
      </c>
      <c r="F27" s="496">
        <f>Usage!Z28</f>
        <v>49121100</v>
      </c>
      <c r="G27" s="496">
        <f>I20</f>
        <v>1398200</v>
      </c>
      <c r="H27" s="496">
        <f>F27+G27</f>
        <v>50519300</v>
      </c>
      <c r="I27" s="496"/>
      <c r="J27" s="496"/>
      <c r="K27" s="497"/>
      <c r="L27" s="515"/>
    </row>
    <row r="28" spans="1:12" ht="18" x14ac:dyDescent="0.4">
      <c r="A28" s="515"/>
      <c r="B28" s="519"/>
      <c r="E28" s="536" t="s">
        <v>545</v>
      </c>
      <c r="F28" s="503">
        <f>Usage!AA28</f>
        <v>81021500</v>
      </c>
      <c r="G28" s="503">
        <v>0</v>
      </c>
      <c r="H28" s="503">
        <f>F28+G28</f>
        <v>81021500</v>
      </c>
      <c r="I28" s="496"/>
      <c r="J28" s="496"/>
      <c r="K28" s="497"/>
      <c r="L28" s="515"/>
    </row>
    <row r="29" spans="1:12" ht="15.75" x14ac:dyDescent="0.25">
      <c r="A29" s="515"/>
      <c r="B29" s="519"/>
      <c r="E29" s="495" t="s">
        <v>42</v>
      </c>
      <c r="F29" s="496">
        <f>SUM(F26:F28)</f>
        <v>350348600</v>
      </c>
      <c r="G29" s="496">
        <f>SUM(G26:G28)</f>
        <v>30922400</v>
      </c>
      <c r="H29" s="496">
        <f>SUM(H26:H28)</f>
        <v>381271000</v>
      </c>
      <c r="I29" s="496"/>
      <c r="J29" s="496"/>
      <c r="K29" s="497"/>
      <c r="L29" s="515"/>
    </row>
    <row r="30" spans="1:12" ht="15.75" x14ac:dyDescent="0.25">
      <c r="A30" s="515"/>
      <c r="B30" s="519"/>
      <c r="E30" s="495"/>
      <c r="F30" s="496"/>
      <c r="G30" s="496"/>
      <c r="H30" s="496"/>
      <c r="I30" s="496"/>
      <c r="J30" s="496"/>
      <c r="K30" s="497"/>
      <c r="L30" s="515"/>
    </row>
    <row r="31" spans="1:12" ht="15.75" x14ac:dyDescent="0.25">
      <c r="A31" s="515"/>
      <c r="B31" s="519"/>
      <c r="E31" s="495"/>
      <c r="F31" s="496"/>
      <c r="G31" s="496"/>
      <c r="H31" s="496"/>
      <c r="I31" s="496"/>
      <c r="J31" s="496"/>
      <c r="K31" s="497"/>
      <c r="L31" s="515"/>
    </row>
    <row r="32" spans="1:12" ht="15.75" x14ac:dyDescent="0.25">
      <c r="A32" s="515"/>
      <c r="B32" s="519"/>
      <c r="E32" s="534" t="s">
        <v>519</v>
      </c>
      <c r="F32" s="535"/>
      <c r="G32" s="535"/>
      <c r="H32" s="496"/>
      <c r="I32" s="496"/>
      <c r="J32" s="496"/>
      <c r="K32" s="497"/>
      <c r="L32" s="515"/>
    </row>
    <row r="33" spans="1:12" ht="15.75" x14ac:dyDescent="0.25">
      <c r="A33" s="515"/>
      <c r="B33" s="519"/>
      <c r="E33" s="498" t="s">
        <v>520</v>
      </c>
      <c r="F33" s="498" t="s">
        <v>4</v>
      </c>
      <c r="G33" s="498" t="s">
        <v>521</v>
      </c>
      <c r="H33" s="498" t="s">
        <v>521</v>
      </c>
      <c r="I33" s="496"/>
      <c r="J33" s="496"/>
      <c r="K33" s="497"/>
      <c r="L33" s="515"/>
    </row>
    <row r="34" spans="1:12" ht="18" x14ac:dyDescent="0.4">
      <c r="A34" s="515"/>
      <c r="B34" s="519"/>
      <c r="E34" s="499" t="s">
        <v>327</v>
      </c>
      <c r="F34" s="499" t="s">
        <v>511</v>
      </c>
      <c r="G34" s="499" t="s">
        <v>543</v>
      </c>
      <c r="H34" s="499" t="s">
        <v>522</v>
      </c>
      <c r="I34" s="496"/>
      <c r="J34" s="496"/>
      <c r="K34" s="497"/>
      <c r="L34" s="515"/>
    </row>
    <row r="35" spans="1:12" ht="15.75" x14ac:dyDescent="0.25">
      <c r="A35" s="515"/>
      <c r="B35" s="519"/>
      <c r="E35" s="500" t="s">
        <v>513</v>
      </c>
      <c r="F35" s="501">
        <v>1</v>
      </c>
      <c r="G35" s="496">
        <v>62570</v>
      </c>
      <c r="H35" s="496">
        <f t="shared" ref="H35:H40" si="2">G35*F35</f>
        <v>62570</v>
      </c>
      <c r="I35" s="496"/>
      <c r="J35" s="496"/>
      <c r="K35" s="497"/>
      <c r="L35" s="515"/>
    </row>
    <row r="36" spans="1:12" ht="15.75" x14ac:dyDescent="0.25">
      <c r="A36" s="515"/>
      <c r="B36" s="519"/>
      <c r="E36" s="502" t="s">
        <v>514</v>
      </c>
      <c r="F36" s="501">
        <v>1.4</v>
      </c>
      <c r="G36" s="496">
        <v>420</v>
      </c>
      <c r="H36" s="496">
        <f t="shared" si="2"/>
        <v>588</v>
      </c>
      <c r="I36" s="496"/>
      <c r="J36" s="496"/>
      <c r="K36" s="497"/>
      <c r="L36" s="515"/>
    </row>
    <row r="37" spans="1:12" ht="15.75" x14ac:dyDescent="0.25">
      <c r="A37" s="515"/>
      <c r="B37" s="519"/>
      <c r="E37" s="502" t="s">
        <v>515</v>
      </c>
      <c r="F37" s="501">
        <v>1.8</v>
      </c>
      <c r="G37" s="496">
        <v>12</v>
      </c>
      <c r="H37" s="496">
        <f t="shared" si="2"/>
        <v>21.6</v>
      </c>
      <c r="I37" s="496"/>
      <c r="J37" s="496"/>
      <c r="K37" s="497"/>
      <c r="L37" s="515"/>
    </row>
    <row r="38" spans="1:12" ht="15.75" x14ac:dyDescent="0.25">
      <c r="A38" s="515"/>
      <c r="B38" s="519"/>
      <c r="E38" s="502" t="s">
        <v>516</v>
      </c>
      <c r="F38" s="501">
        <v>2.9</v>
      </c>
      <c r="G38" s="496">
        <v>564</v>
      </c>
      <c r="H38" s="496">
        <f t="shared" si="2"/>
        <v>1635.6</v>
      </c>
      <c r="I38" s="496"/>
      <c r="J38" s="496"/>
      <c r="K38" s="497"/>
      <c r="L38" s="515"/>
    </row>
    <row r="39" spans="1:12" ht="15.75" x14ac:dyDescent="0.25">
      <c r="A39" s="515"/>
      <c r="B39" s="519"/>
      <c r="E39" s="502" t="s">
        <v>517</v>
      </c>
      <c r="F39" s="501">
        <v>11</v>
      </c>
      <c r="G39" s="496">
        <v>30</v>
      </c>
      <c r="H39" s="496">
        <f t="shared" si="2"/>
        <v>330</v>
      </c>
      <c r="I39" s="496"/>
      <c r="J39" s="496"/>
      <c r="K39" s="497"/>
      <c r="L39" s="515"/>
    </row>
    <row r="40" spans="1:12" ht="18" x14ac:dyDescent="0.4">
      <c r="A40" s="515"/>
      <c r="B40" s="519"/>
      <c r="E40" s="502" t="s">
        <v>518</v>
      </c>
      <c r="F40" s="501">
        <v>21</v>
      </c>
      <c r="G40" s="503">
        <v>48</v>
      </c>
      <c r="H40" s="503">
        <f t="shared" si="2"/>
        <v>1008</v>
      </c>
      <c r="I40" s="496"/>
      <c r="J40" s="496"/>
      <c r="K40" s="497"/>
      <c r="L40" s="515"/>
    </row>
    <row r="41" spans="1:12" ht="15.75" x14ac:dyDescent="0.25">
      <c r="A41" s="515"/>
      <c r="B41" s="519"/>
      <c r="E41" s="495" t="s">
        <v>42</v>
      </c>
      <c r="F41" s="496"/>
      <c r="G41" s="496">
        <f>SUM(G35:G40)</f>
        <v>63644</v>
      </c>
      <c r="H41" s="496">
        <f>SUM(H35:H40)</f>
        <v>66153.2</v>
      </c>
      <c r="I41" s="496"/>
      <c r="J41" s="496"/>
      <c r="K41" s="497"/>
      <c r="L41" s="515"/>
    </row>
    <row r="42" spans="1:12" ht="15.75" x14ac:dyDescent="0.25">
      <c r="A42" s="515"/>
      <c r="B42" s="537"/>
      <c r="C42" s="535"/>
      <c r="D42" s="535"/>
      <c r="E42" s="535"/>
      <c r="F42" s="535"/>
      <c r="G42" s="535"/>
      <c r="H42" s="535"/>
      <c r="I42" s="535"/>
      <c r="J42" s="535"/>
      <c r="K42" s="538"/>
      <c r="L42" s="515"/>
    </row>
    <row r="43" spans="1:12" ht="15.75" x14ac:dyDescent="0.25">
      <c r="A43" s="515"/>
      <c r="B43" s="515"/>
      <c r="C43" s="515"/>
      <c r="D43" s="515"/>
      <c r="E43" s="515"/>
      <c r="F43" s="515"/>
      <c r="G43" s="515"/>
      <c r="H43" s="515"/>
      <c r="I43" s="515"/>
      <c r="J43" s="515"/>
      <c r="K43" s="515"/>
      <c r="L43" s="515"/>
    </row>
  </sheetData>
  <mergeCells count="4">
    <mergeCell ref="C3:J3"/>
    <mergeCell ref="C4:J4"/>
    <mergeCell ref="C5:J5"/>
    <mergeCell ref="H9:J9"/>
  </mergeCells>
  <printOptions horizontalCentered="1"/>
  <pageMargins left="0.7" right="0.45" top="1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FAF7-035C-4167-87E7-E7C5753BD75D}">
  <sheetPr>
    <pageSetUpPr fitToPage="1"/>
  </sheetPr>
  <dimension ref="A2:Q48"/>
  <sheetViews>
    <sheetView workbookViewId="0"/>
  </sheetViews>
  <sheetFormatPr defaultRowHeight="15" x14ac:dyDescent="0.2"/>
  <cols>
    <col min="2" max="2" width="1.77734375" customWidth="1"/>
    <col min="3" max="3" width="21.44140625" customWidth="1"/>
    <col min="4" max="4" width="12.109375" customWidth="1"/>
    <col min="5" max="5" width="12" customWidth="1"/>
    <col min="6" max="7" width="10.77734375" customWidth="1"/>
    <col min="8" max="8" width="1.77734375" customWidth="1"/>
    <col min="10" max="10" width="10" customWidth="1"/>
    <col min="11" max="11" width="9.77734375" bestFit="1" customWidth="1"/>
    <col min="12" max="12" width="10.77734375" customWidth="1"/>
    <col min="13" max="13" width="9" bestFit="1" customWidth="1"/>
    <col min="14" max="14" width="14" customWidth="1"/>
  </cols>
  <sheetData>
    <row r="2" spans="1:17" ht="15.75" x14ac:dyDescent="0.25">
      <c r="A2" s="15"/>
      <c r="B2" s="83"/>
      <c r="C2" s="84"/>
      <c r="D2" s="84"/>
      <c r="E2" s="84"/>
      <c r="F2" s="84"/>
      <c r="G2" s="84"/>
      <c r="H2" s="85"/>
      <c r="I2" s="15"/>
      <c r="J2" s="15"/>
      <c r="K2" s="15"/>
      <c r="L2" s="15"/>
      <c r="M2" s="15"/>
      <c r="N2" s="15"/>
    </row>
    <row r="3" spans="1:17" ht="18.75" x14ac:dyDescent="0.3">
      <c r="A3" s="15"/>
      <c r="B3" s="86"/>
      <c r="C3" s="604" t="s">
        <v>551</v>
      </c>
      <c r="D3" s="604"/>
      <c r="E3" s="604"/>
      <c r="F3" s="604"/>
      <c r="G3" s="604"/>
      <c r="H3" s="422"/>
      <c r="I3" s="15"/>
      <c r="J3" s="15"/>
      <c r="K3" s="15"/>
      <c r="L3" s="15"/>
      <c r="M3" s="15"/>
      <c r="N3" s="15"/>
    </row>
    <row r="4" spans="1:17" ht="18.75" x14ac:dyDescent="0.3">
      <c r="A4" s="15"/>
      <c r="B4" s="86"/>
      <c r="C4" s="607" t="s">
        <v>496</v>
      </c>
      <c r="D4" s="607"/>
      <c r="E4" s="607"/>
      <c r="F4" s="607"/>
      <c r="G4" s="607"/>
      <c r="H4" s="421"/>
      <c r="I4" s="15"/>
      <c r="J4" s="15"/>
      <c r="K4" s="15"/>
      <c r="L4" s="15"/>
      <c r="M4" s="15"/>
      <c r="N4" s="15"/>
    </row>
    <row r="5" spans="1:17" ht="15.75" x14ac:dyDescent="0.25">
      <c r="A5" s="15"/>
      <c r="B5" s="86"/>
      <c r="C5" s="597" t="s">
        <v>167</v>
      </c>
      <c r="D5" s="597"/>
      <c r="E5" s="597"/>
      <c r="F5" s="597"/>
      <c r="G5" s="597"/>
      <c r="H5" s="505"/>
      <c r="I5" s="504"/>
      <c r="L5" s="15"/>
      <c r="M5" s="15"/>
      <c r="N5" s="15"/>
    </row>
    <row r="6" spans="1:17" ht="15.75" x14ac:dyDescent="0.25">
      <c r="A6" s="15"/>
      <c r="B6" s="88"/>
      <c r="C6" s="387"/>
      <c r="D6" s="387"/>
      <c r="E6" s="387"/>
      <c r="F6" s="387"/>
      <c r="G6" s="387"/>
      <c r="H6" s="508"/>
      <c r="I6" s="504"/>
      <c r="L6" s="15"/>
      <c r="M6" s="15"/>
      <c r="N6" s="15"/>
    </row>
    <row r="7" spans="1:17" ht="18.75" x14ac:dyDescent="0.25">
      <c r="A7" s="15"/>
      <c r="B7" s="86"/>
      <c r="C7" s="471"/>
      <c r="D7" s="471"/>
      <c r="E7" s="471"/>
      <c r="F7" s="471"/>
      <c r="G7" s="471"/>
      <c r="H7" s="472"/>
      <c r="I7" s="15"/>
      <c r="J7" s="15"/>
      <c r="K7" s="15"/>
      <c r="L7" s="15"/>
      <c r="M7" s="15"/>
      <c r="N7" s="15"/>
    </row>
    <row r="8" spans="1:17" ht="15.75" x14ac:dyDescent="0.25">
      <c r="A8" s="15"/>
      <c r="B8" s="86"/>
      <c r="C8" s="78"/>
      <c r="D8" s="479"/>
      <c r="E8" s="479" t="s">
        <v>75</v>
      </c>
      <c r="F8" s="479" t="s">
        <v>76</v>
      </c>
      <c r="G8" s="479" t="s">
        <v>77</v>
      </c>
      <c r="H8" s="207"/>
      <c r="I8" s="15"/>
      <c r="J8" s="15"/>
      <c r="K8" s="15"/>
      <c r="L8" s="15"/>
      <c r="M8" s="122"/>
      <c r="N8" s="122"/>
    </row>
    <row r="9" spans="1:17" ht="18" x14ac:dyDescent="0.4">
      <c r="A9" s="15"/>
      <c r="B9" s="86"/>
      <c r="C9" s="78"/>
      <c r="D9" s="425" t="s">
        <v>378</v>
      </c>
      <c r="E9" s="480" t="s">
        <v>524</v>
      </c>
      <c r="F9" s="480" t="s">
        <v>525</v>
      </c>
      <c r="G9" s="480" t="s">
        <v>526</v>
      </c>
      <c r="H9" s="481"/>
      <c r="I9" s="15"/>
      <c r="J9" s="15"/>
      <c r="K9" s="15"/>
      <c r="L9" s="15"/>
      <c r="M9" s="15"/>
      <c r="N9" s="15"/>
    </row>
    <row r="10" spans="1:17" ht="18" x14ac:dyDescent="0.4">
      <c r="A10" s="15"/>
      <c r="B10" s="86"/>
      <c r="C10" s="78" t="s">
        <v>546</v>
      </c>
      <c r="D10" s="78">
        <f>SUM(E10:G10)</f>
        <v>381271000</v>
      </c>
      <c r="E10" s="78">
        <f>Units!H26</f>
        <v>249730200</v>
      </c>
      <c r="F10" s="78">
        <f>Units!H27</f>
        <v>50519300</v>
      </c>
      <c r="G10" s="78">
        <f>Units!H28</f>
        <v>81021500</v>
      </c>
      <c r="H10" s="87"/>
      <c r="I10" s="15"/>
      <c r="J10" s="15"/>
      <c r="K10" s="465"/>
      <c r="L10" s="465"/>
      <c r="M10" s="465"/>
      <c r="N10" s="465"/>
    </row>
    <row r="11" spans="1:17" ht="15.75" x14ac:dyDescent="0.25">
      <c r="A11" s="15"/>
      <c r="B11" s="86"/>
      <c r="C11" s="78" t="s">
        <v>497</v>
      </c>
      <c r="D11" s="389">
        <f>SUM(E11:G11)</f>
        <v>0.99999999999999989</v>
      </c>
      <c r="E11" s="389">
        <f>E10/$D$10</f>
        <v>0.65499395443136244</v>
      </c>
      <c r="F11" s="389">
        <f>F10/$D$10</f>
        <v>0.13250234085466767</v>
      </c>
      <c r="G11" s="389">
        <f>G10/$D$10</f>
        <v>0.21250370471396984</v>
      </c>
      <c r="H11" s="390"/>
      <c r="I11" s="15"/>
      <c r="J11" s="482"/>
      <c r="K11" s="15"/>
      <c r="L11" s="15"/>
      <c r="M11" s="15"/>
      <c r="N11" s="15"/>
    </row>
    <row r="12" spans="1:17" ht="8.1" customHeight="1" x14ac:dyDescent="0.25">
      <c r="A12" s="15"/>
      <c r="B12" s="86"/>
      <c r="C12" s="78"/>
      <c r="D12" s="78"/>
      <c r="E12" s="78"/>
      <c r="F12" s="78"/>
      <c r="G12" s="78"/>
      <c r="H12" s="87"/>
      <c r="I12" s="15"/>
      <c r="J12" s="15"/>
      <c r="K12" s="15"/>
      <c r="L12" s="15"/>
      <c r="M12" s="15"/>
      <c r="N12" s="15"/>
    </row>
    <row r="13" spans="1:17" ht="15.75" x14ac:dyDescent="0.25">
      <c r="A13" s="15"/>
      <c r="B13" s="86"/>
      <c r="C13" s="78" t="s">
        <v>498</v>
      </c>
      <c r="D13" s="78"/>
      <c r="E13" s="352">
        <v>2</v>
      </c>
      <c r="F13" s="352">
        <v>1.5</v>
      </c>
      <c r="G13" s="352">
        <v>1</v>
      </c>
      <c r="H13" s="483"/>
      <c r="I13" s="15"/>
      <c r="J13" s="15"/>
      <c r="K13" s="15"/>
      <c r="L13" s="352"/>
      <c r="M13" s="352"/>
      <c r="N13" s="352"/>
      <c r="O13" s="1"/>
      <c r="P13" s="1"/>
      <c r="Q13" s="1"/>
    </row>
    <row r="14" spans="1:17" ht="15.75" x14ac:dyDescent="0.25">
      <c r="A14" s="15"/>
      <c r="B14" s="86"/>
      <c r="C14" s="78" t="s">
        <v>499</v>
      </c>
      <c r="D14" s="78">
        <f>SUM(E14:G14)</f>
        <v>656260850</v>
      </c>
      <c r="E14" s="78">
        <f>E13*E10</f>
        <v>499460400</v>
      </c>
      <c r="F14" s="78">
        <f>F13*F10</f>
        <v>75778950</v>
      </c>
      <c r="G14" s="78">
        <f>G13*G10</f>
        <v>81021500</v>
      </c>
      <c r="H14" s="87"/>
      <c r="I14" s="15"/>
      <c r="J14" s="15"/>
      <c r="K14" s="15"/>
      <c r="L14" s="15"/>
      <c r="M14" s="15"/>
      <c r="N14" s="15"/>
      <c r="O14" s="1"/>
      <c r="P14" s="1"/>
      <c r="Q14" s="1"/>
    </row>
    <row r="15" spans="1:17" ht="15.75" x14ac:dyDescent="0.25">
      <c r="A15" s="15"/>
      <c r="B15" s="86"/>
      <c r="C15" s="78" t="s">
        <v>500</v>
      </c>
      <c r="D15" s="389">
        <f>SUM(E15:G15)</f>
        <v>1</v>
      </c>
      <c r="E15" s="389">
        <f>E14/$D$14</f>
        <v>0.76106993126285072</v>
      </c>
      <c r="F15" s="389">
        <f>F14/$D$14</f>
        <v>0.11547077659744596</v>
      </c>
      <c r="G15" s="389">
        <f>G14/$D$14</f>
        <v>0.12345929213970329</v>
      </c>
      <c r="H15" s="390"/>
      <c r="I15" s="15"/>
      <c r="J15" s="15"/>
      <c r="K15" s="15"/>
      <c r="L15" s="352"/>
      <c r="M15" s="352"/>
      <c r="N15" s="352"/>
      <c r="O15" s="1"/>
      <c r="P15" s="1"/>
      <c r="Q15" s="1"/>
    </row>
    <row r="16" spans="1:17" ht="8.1" customHeight="1" x14ac:dyDescent="0.25">
      <c r="A16" s="15"/>
      <c r="B16" s="86"/>
      <c r="C16" s="78"/>
      <c r="D16" s="78"/>
      <c r="E16" s="78"/>
      <c r="F16" s="78"/>
      <c r="G16" s="78"/>
      <c r="H16" s="87"/>
      <c r="I16" s="15"/>
      <c r="J16" s="15"/>
      <c r="K16" s="15"/>
      <c r="L16" s="15"/>
      <c r="M16" s="15"/>
      <c r="N16" s="15"/>
      <c r="O16" s="1"/>
      <c r="P16" s="1"/>
      <c r="Q16" s="1"/>
    </row>
    <row r="17" spans="1:17" ht="15.75" x14ac:dyDescent="0.25">
      <c r="A17" s="15"/>
      <c r="B17" s="86"/>
      <c r="C17" s="78" t="s">
        <v>501</v>
      </c>
      <c r="D17" s="78">
        <f>AlocSum!E22</f>
        <v>425136.17607615027</v>
      </c>
      <c r="E17" s="78">
        <f>$D17*E11</f>
        <v>278461.62513994565</v>
      </c>
      <c r="F17" s="78">
        <f>$D17*F11</f>
        <v>56331.538512092069</v>
      </c>
      <c r="G17" s="78">
        <f>$D17*G11</f>
        <v>90343.01242411253</v>
      </c>
      <c r="H17" s="87"/>
      <c r="I17" s="15">
        <f>SUM(E17:G17)</f>
        <v>425136.17607615027</v>
      </c>
      <c r="J17" s="15"/>
      <c r="K17" s="15"/>
      <c r="L17" s="15"/>
      <c r="M17" s="15"/>
      <c r="N17" s="15"/>
      <c r="O17" s="1"/>
      <c r="P17" s="1"/>
      <c r="Q17" s="1"/>
    </row>
    <row r="18" spans="1:17" ht="18" x14ac:dyDescent="0.4">
      <c r="A18" s="15"/>
      <c r="B18" s="86"/>
      <c r="C18" s="78" t="s">
        <v>502</v>
      </c>
      <c r="D18" s="469">
        <f>AlocSum!F22</f>
        <v>2366375.3647897774</v>
      </c>
      <c r="E18" s="469">
        <f>$D18*E15</f>
        <v>1800977.1362226591</v>
      </c>
      <c r="F18" s="469">
        <f>$D18*F15</f>
        <v>273247.20109334012</v>
      </c>
      <c r="G18" s="469">
        <f>$D18*G15</f>
        <v>292151.02747377806</v>
      </c>
      <c r="H18" s="87"/>
      <c r="I18" s="15">
        <f>SUM(E18:G18)</f>
        <v>2366375.3647897774</v>
      </c>
      <c r="K18" s="1"/>
      <c r="L18" s="1"/>
      <c r="M18" s="1"/>
      <c r="N18" s="1"/>
      <c r="O18" s="1"/>
      <c r="P18" s="1"/>
      <c r="Q18" s="1"/>
    </row>
    <row r="19" spans="1:17" ht="15.75" x14ac:dyDescent="0.25">
      <c r="A19" s="15"/>
      <c r="B19" s="86"/>
      <c r="C19" s="78" t="s">
        <v>503</v>
      </c>
      <c r="D19" s="78">
        <f>SUM(D17:D18)</f>
        <v>2791511.5408659279</v>
      </c>
      <c r="E19" s="78">
        <f>SUM(E17:E18)</f>
        <v>2079438.7613626048</v>
      </c>
      <c r="F19" s="78">
        <f>SUM(F17:F18)</f>
        <v>329578.7396054322</v>
      </c>
      <c r="G19" s="78">
        <f>SUM(G17:G18)</f>
        <v>382494.03989789059</v>
      </c>
      <c r="H19" s="87"/>
      <c r="I19" s="15">
        <f>SUM(E19:G19)</f>
        <v>2791511.5408659279</v>
      </c>
      <c r="K19" s="1"/>
      <c r="L19" s="581"/>
      <c r="M19" s="1"/>
      <c r="N19" s="1"/>
      <c r="O19" s="1"/>
      <c r="P19" s="1"/>
      <c r="Q19" s="1"/>
    </row>
    <row r="20" spans="1:17" ht="8.1" customHeight="1" x14ac:dyDescent="0.25">
      <c r="A20" s="15"/>
      <c r="B20" s="86"/>
      <c r="C20" s="78"/>
      <c r="D20" s="78"/>
      <c r="E20" s="78"/>
      <c r="F20" s="78"/>
      <c r="G20" s="78"/>
      <c r="H20" s="87"/>
      <c r="I20" s="15"/>
      <c r="K20" s="1"/>
      <c r="L20" s="1"/>
      <c r="M20" s="1"/>
      <c r="N20" s="1"/>
      <c r="O20" s="1"/>
      <c r="P20" s="1"/>
      <c r="Q20" s="1"/>
    </row>
    <row r="21" spans="1:17" ht="15.75" x14ac:dyDescent="0.25">
      <c r="A21" s="15"/>
      <c r="B21" s="86"/>
      <c r="C21" s="78" t="s">
        <v>527</v>
      </c>
      <c r="D21" s="78"/>
      <c r="E21" s="78">
        <f>E10/1000</f>
        <v>249730.2</v>
      </c>
      <c r="F21" s="78">
        <f>F10/1000</f>
        <v>50519.3</v>
      </c>
      <c r="G21" s="78">
        <f>G10/1000</f>
        <v>81021.5</v>
      </c>
      <c r="H21" s="87"/>
      <c r="I21" s="15"/>
      <c r="K21" s="1"/>
      <c r="L21" s="1"/>
      <c r="M21" s="1"/>
      <c r="N21" s="1"/>
      <c r="O21" s="1"/>
      <c r="P21" s="1"/>
      <c r="Q21" s="1"/>
    </row>
    <row r="22" spans="1:17" ht="8.1" customHeight="1" x14ac:dyDescent="0.25">
      <c r="A22" s="15"/>
      <c r="B22" s="86"/>
      <c r="C22" s="78"/>
      <c r="D22" s="78"/>
      <c r="E22" s="78"/>
      <c r="F22" s="78"/>
      <c r="G22" s="78"/>
      <c r="H22" s="87"/>
      <c r="I22" s="15"/>
      <c r="K22" s="1"/>
      <c r="L22" s="1"/>
      <c r="M22" s="1"/>
      <c r="N22" s="1"/>
      <c r="O22" s="1"/>
      <c r="P22" s="1"/>
      <c r="Q22" s="1"/>
    </row>
    <row r="23" spans="1:17" ht="15.75" x14ac:dyDescent="0.25">
      <c r="A23" s="15"/>
      <c r="B23" s="86"/>
      <c r="C23" s="509" t="s">
        <v>504</v>
      </c>
      <c r="D23" s="78"/>
      <c r="E23" s="484">
        <f>ROUND(E19/E21,2)</f>
        <v>8.33</v>
      </c>
      <c r="F23" s="484">
        <f>ROUND(F19/F21,2)</f>
        <v>6.52</v>
      </c>
      <c r="G23" s="484">
        <f>ROUND(G19/G21,2)</f>
        <v>4.72</v>
      </c>
      <c r="H23" s="485"/>
      <c r="I23" s="15"/>
      <c r="K23" s="1"/>
      <c r="L23" s="1"/>
      <c r="M23" s="1"/>
      <c r="N23" s="1"/>
      <c r="O23" s="1"/>
      <c r="P23" s="1"/>
      <c r="Q23" s="1"/>
    </row>
    <row r="24" spans="1:17" ht="8.1" customHeight="1" x14ac:dyDescent="0.25">
      <c r="A24" s="15"/>
      <c r="B24" s="86"/>
      <c r="C24" s="510"/>
      <c r="D24" s="78"/>
      <c r="E24" s="484"/>
      <c r="F24" s="484"/>
      <c r="G24" s="484"/>
      <c r="H24" s="485"/>
      <c r="I24" s="15"/>
      <c r="K24" s="1"/>
      <c r="L24" s="1"/>
      <c r="M24" s="1"/>
      <c r="N24" s="1"/>
      <c r="O24" s="1"/>
      <c r="P24" s="1"/>
      <c r="Q24" s="1"/>
    </row>
    <row r="25" spans="1:17" ht="15.75" x14ac:dyDescent="0.25">
      <c r="A25" s="15"/>
      <c r="B25" s="86"/>
      <c r="C25" s="543" t="s">
        <v>505</v>
      </c>
      <c r="D25" s="544"/>
      <c r="E25" s="545">
        <f>E23+0.04</f>
        <v>8.3699999999999992</v>
      </c>
      <c r="F25" s="545">
        <f>F23-0.07</f>
        <v>6.4499999999999993</v>
      </c>
      <c r="G25" s="546">
        <f>G23</f>
        <v>4.72</v>
      </c>
      <c r="H25" s="485"/>
      <c r="I25" s="15"/>
      <c r="K25" s="1"/>
      <c r="L25" s="1"/>
      <c r="M25" s="1"/>
      <c r="N25" s="1"/>
      <c r="O25" s="1"/>
      <c r="P25" s="1"/>
      <c r="Q25" s="1"/>
    </row>
    <row r="26" spans="1:17" ht="15.75" x14ac:dyDescent="0.25">
      <c r="A26" s="15"/>
      <c r="B26" s="86"/>
      <c r="C26" s="78" t="s">
        <v>506</v>
      </c>
      <c r="D26" s="78"/>
      <c r="E26" s="352"/>
      <c r="F26" s="352"/>
      <c r="G26" s="352"/>
      <c r="H26" s="483"/>
      <c r="I26" s="15"/>
      <c r="J26" s="15"/>
      <c r="K26" s="15"/>
      <c r="L26" s="15"/>
      <c r="M26" s="15"/>
      <c r="N26" s="15"/>
    </row>
    <row r="27" spans="1:17" ht="15.75" x14ac:dyDescent="0.25">
      <c r="A27" s="15"/>
      <c r="B27" s="86"/>
      <c r="C27" s="78"/>
      <c r="D27" s="78"/>
      <c r="E27" s="352"/>
      <c r="F27" s="352"/>
      <c r="G27" s="352"/>
      <c r="H27" s="483"/>
      <c r="I27" s="15"/>
      <c r="J27" s="15"/>
      <c r="K27" s="15"/>
      <c r="L27" s="15"/>
      <c r="M27" s="15"/>
      <c r="N27" s="15"/>
    </row>
    <row r="28" spans="1:17" ht="15.75" x14ac:dyDescent="0.25">
      <c r="A28" s="15"/>
      <c r="B28" s="86"/>
      <c r="C28" s="78"/>
      <c r="D28" s="78"/>
      <c r="E28" s="352"/>
      <c r="F28" s="352"/>
      <c r="G28" s="352"/>
      <c r="H28" s="483"/>
      <c r="I28" s="15"/>
      <c r="J28" s="15"/>
      <c r="K28" s="15"/>
      <c r="L28" s="15"/>
      <c r="M28" s="15"/>
      <c r="N28" s="15"/>
    </row>
    <row r="29" spans="1:17" ht="18" x14ac:dyDescent="0.25">
      <c r="A29" s="15"/>
      <c r="B29" s="86"/>
      <c r="C29" s="613" t="s">
        <v>507</v>
      </c>
      <c r="D29" s="613"/>
      <c r="E29" s="216"/>
      <c r="F29" s="486"/>
      <c r="G29" s="486"/>
      <c r="H29" s="483"/>
      <c r="I29" s="15"/>
      <c r="J29" s="15"/>
      <c r="K29" s="15"/>
      <c r="L29" s="15"/>
      <c r="M29" s="15"/>
      <c r="N29" s="15"/>
    </row>
    <row r="30" spans="1:17" ht="8.1" customHeight="1" x14ac:dyDescent="0.25">
      <c r="A30" s="15"/>
      <c r="B30" s="86"/>
      <c r="C30" s="1"/>
      <c r="D30" s="216"/>
      <c r="E30" s="216"/>
      <c r="F30" s="486"/>
      <c r="G30" s="486"/>
      <c r="H30" s="483"/>
      <c r="I30" s="15"/>
      <c r="J30" s="15"/>
      <c r="K30" s="15"/>
      <c r="L30" s="15"/>
      <c r="M30" s="15"/>
      <c r="N30" s="15"/>
    </row>
    <row r="31" spans="1:17" ht="15.75" x14ac:dyDescent="0.25">
      <c r="A31" s="15"/>
      <c r="B31" s="86"/>
      <c r="C31" s="1"/>
      <c r="D31" s="122" t="s">
        <v>469</v>
      </c>
      <c r="E31" s="122" t="s">
        <v>470</v>
      </c>
      <c r="F31" s="486"/>
      <c r="G31" s="486"/>
      <c r="H31" s="483"/>
      <c r="I31" s="15"/>
      <c r="J31" s="15"/>
      <c r="K31" s="15"/>
      <c r="L31" s="15"/>
      <c r="M31" s="15"/>
      <c r="N31" s="15"/>
    </row>
    <row r="32" spans="1:17" ht="18" x14ac:dyDescent="0.4">
      <c r="A32" s="15"/>
      <c r="B32" s="86"/>
      <c r="C32" s="1"/>
      <c r="D32" s="465" t="s">
        <v>474</v>
      </c>
      <c r="E32" s="465" t="s">
        <v>386</v>
      </c>
      <c r="F32" s="486"/>
      <c r="G32" s="486"/>
      <c r="H32" s="483"/>
      <c r="I32" s="15"/>
      <c r="J32" s="15"/>
      <c r="K32" s="15"/>
      <c r="L32" s="15"/>
      <c r="M32" s="15"/>
      <c r="N32" s="15"/>
    </row>
    <row r="33" spans="1:14" ht="15.75" x14ac:dyDescent="0.25">
      <c r="A33" s="15"/>
      <c r="B33" s="86"/>
      <c r="C33" s="1" t="s">
        <v>508</v>
      </c>
      <c r="D33" s="78">
        <f>AlocSum!G22</f>
        <v>247811.14330837183</v>
      </c>
      <c r="E33" s="78">
        <f>AlocSum!H22</f>
        <v>239828.00149500405</v>
      </c>
      <c r="F33" s="484"/>
      <c r="G33" s="484"/>
      <c r="H33" s="483"/>
      <c r="I33" s="15"/>
      <c r="J33" s="553">
        <f>D33+E33</f>
        <v>487639.14480337588</v>
      </c>
      <c r="K33" s="15"/>
      <c r="L33" s="15"/>
      <c r="M33" s="15"/>
      <c r="N33" s="15"/>
    </row>
    <row r="34" spans="1:14" ht="15.75" x14ac:dyDescent="0.25">
      <c r="A34" s="15"/>
      <c r="B34" s="86"/>
      <c r="C34" s="1" t="s">
        <v>509</v>
      </c>
      <c r="D34" s="78">
        <f>Units!G41</f>
        <v>63644</v>
      </c>
      <c r="E34" s="78">
        <f>Units!H41</f>
        <v>66153.2</v>
      </c>
      <c r="F34" s="484"/>
      <c r="G34" s="484"/>
      <c r="H34" s="483"/>
      <c r="I34" s="15"/>
      <c r="J34" s="556">
        <f>D19+D33+E33</f>
        <v>3279150.6856693039</v>
      </c>
      <c r="K34" s="19"/>
      <c r="L34" s="15"/>
      <c r="M34" s="15"/>
      <c r="N34" s="15"/>
    </row>
    <row r="35" spans="1:14" ht="15.75" x14ac:dyDescent="0.25">
      <c r="A35" s="15"/>
      <c r="B35" s="86"/>
      <c r="C35" s="1" t="s">
        <v>510</v>
      </c>
      <c r="D35" s="487">
        <f>D33/D34</f>
        <v>3.8937078641878546</v>
      </c>
      <c r="E35" s="487">
        <f>E33/E34</f>
        <v>3.6253424096642952</v>
      </c>
      <c r="F35" s="484"/>
      <c r="G35" s="484"/>
      <c r="H35" s="483"/>
      <c r="I35" s="15"/>
      <c r="J35" s="15"/>
      <c r="K35" s="19"/>
      <c r="L35" s="15"/>
      <c r="M35" s="15"/>
      <c r="N35" s="15"/>
    </row>
    <row r="36" spans="1:14" ht="15.6" customHeight="1" x14ac:dyDescent="0.25">
      <c r="A36" s="15"/>
      <c r="B36" s="86"/>
      <c r="C36" s="1"/>
      <c r="D36" s="487"/>
      <c r="E36" s="487"/>
      <c r="F36" s="484"/>
      <c r="G36" s="547" t="s">
        <v>378</v>
      </c>
      <c r="H36" s="483"/>
      <c r="I36" s="15"/>
      <c r="J36" s="15"/>
      <c r="K36" s="15"/>
      <c r="L36" s="15"/>
      <c r="M36" s="15"/>
      <c r="N36" s="15"/>
    </row>
    <row r="37" spans="1:14" ht="15.75" x14ac:dyDescent="0.25">
      <c r="A37" s="15"/>
      <c r="B37" s="86"/>
      <c r="C37" s="489"/>
      <c r="D37" s="490" t="s">
        <v>469</v>
      </c>
      <c r="E37" s="488" t="s">
        <v>4</v>
      </c>
      <c r="F37" s="488" t="s">
        <v>470</v>
      </c>
      <c r="G37" s="548" t="s">
        <v>370</v>
      </c>
      <c r="H37" s="483"/>
      <c r="I37" s="15"/>
      <c r="J37" s="15"/>
      <c r="K37" s="15"/>
      <c r="L37" s="15"/>
      <c r="M37" s="15"/>
      <c r="N37" s="15"/>
    </row>
    <row r="38" spans="1:14" ht="18" x14ac:dyDescent="0.4">
      <c r="A38" s="15"/>
      <c r="B38" s="86"/>
      <c r="C38" s="491" t="s">
        <v>144</v>
      </c>
      <c r="D38" s="464" t="s">
        <v>474</v>
      </c>
      <c r="E38" s="464" t="s">
        <v>511</v>
      </c>
      <c r="F38" s="464" t="s">
        <v>386</v>
      </c>
      <c r="G38" s="549" t="s">
        <v>512</v>
      </c>
      <c r="H38" s="483"/>
      <c r="I38" s="15"/>
      <c r="J38" s="15"/>
      <c r="K38" s="461" t="s">
        <v>547</v>
      </c>
      <c r="L38" s="13" t="s">
        <v>548</v>
      </c>
      <c r="M38" s="15"/>
      <c r="N38" s="15"/>
    </row>
    <row r="39" spans="1:14" ht="15.75" x14ac:dyDescent="0.25">
      <c r="A39" s="15"/>
      <c r="B39" s="86"/>
      <c r="C39" s="492" t="s">
        <v>513</v>
      </c>
      <c r="D39" s="221">
        <f t="shared" ref="D39:D44" si="0">$D$35</f>
        <v>3.8937078641878546</v>
      </c>
      <c r="E39" s="430">
        <v>1</v>
      </c>
      <c r="F39" s="221">
        <f t="shared" ref="F39:F44" si="1">$E$35*E39</f>
        <v>3.6253424096642952</v>
      </c>
      <c r="G39" s="550">
        <f t="shared" ref="G39:G44" si="2">ROUND(D39+F39,2)</f>
        <v>7.52</v>
      </c>
      <c r="H39" s="483"/>
      <c r="I39" s="15"/>
      <c r="J39" s="15"/>
      <c r="K39" s="15">
        <f>Units!G35</f>
        <v>62570</v>
      </c>
      <c r="L39" s="15">
        <f t="shared" ref="L39:L44" si="3">K39*G39</f>
        <v>470526.39999999997</v>
      </c>
      <c r="M39" s="15"/>
      <c r="N39" s="15"/>
    </row>
    <row r="40" spans="1:14" ht="15.75" x14ac:dyDescent="0.25">
      <c r="A40" s="15"/>
      <c r="B40" s="86"/>
      <c r="C40" s="493" t="s">
        <v>514</v>
      </c>
      <c r="D40" s="221">
        <f t="shared" si="0"/>
        <v>3.8937078641878546</v>
      </c>
      <c r="E40" s="430">
        <v>1.4</v>
      </c>
      <c r="F40" s="221">
        <f t="shared" si="1"/>
        <v>5.0754793735300128</v>
      </c>
      <c r="G40" s="550">
        <f t="shared" si="2"/>
        <v>8.9700000000000006</v>
      </c>
      <c r="H40" s="483"/>
      <c r="I40" s="15"/>
      <c r="J40" s="15"/>
      <c r="K40" s="15">
        <f>Units!G36</f>
        <v>420</v>
      </c>
      <c r="L40" s="15">
        <f t="shared" si="3"/>
        <v>3767.4</v>
      </c>
      <c r="M40" s="15"/>
      <c r="N40" s="15"/>
    </row>
    <row r="41" spans="1:14" ht="15.75" x14ac:dyDescent="0.25">
      <c r="A41" s="15"/>
      <c r="B41" s="86"/>
      <c r="C41" s="493" t="s">
        <v>515</v>
      </c>
      <c r="D41" s="221">
        <f t="shared" si="0"/>
        <v>3.8937078641878546</v>
      </c>
      <c r="E41" s="430">
        <v>1.8</v>
      </c>
      <c r="F41" s="221">
        <f t="shared" si="1"/>
        <v>6.5256163373957312</v>
      </c>
      <c r="G41" s="550">
        <f t="shared" si="2"/>
        <v>10.42</v>
      </c>
      <c r="H41" s="483"/>
      <c r="I41" s="15"/>
      <c r="J41" s="15"/>
      <c r="K41" s="15">
        <f>Units!G37</f>
        <v>12</v>
      </c>
      <c r="L41" s="15">
        <f t="shared" si="3"/>
        <v>125.03999999999999</v>
      </c>
      <c r="M41" s="15"/>
      <c r="N41" s="15"/>
    </row>
    <row r="42" spans="1:14" ht="15.75" x14ac:dyDescent="0.25">
      <c r="A42" s="15"/>
      <c r="B42" s="86"/>
      <c r="C42" s="493" t="s">
        <v>516</v>
      </c>
      <c r="D42" s="221">
        <f t="shared" si="0"/>
        <v>3.8937078641878546</v>
      </c>
      <c r="E42" s="430">
        <v>2.9</v>
      </c>
      <c r="F42" s="221">
        <f t="shared" si="1"/>
        <v>10.513492988026456</v>
      </c>
      <c r="G42" s="550">
        <f t="shared" si="2"/>
        <v>14.41</v>
      </c>
      <c r="H42" s="483"/>
      <c r="I42" s="15"/>
      <c r="J42" s="15"/>
      <c r="K42" s="15">
        <f>Units!G38</f>
        <v>564</v>
      </c>
      <c r="L42" s="15">
        <f t="shared" si="3"/>
        <v>8127.24</v>
      </c>
      <c r="M42" s="15"/>
      <c r="N42" s="15"/>
    </row>
    <row r="43" spans="1:14" ht="15.75" x14ac:dyDescent="0.25">
      <c r="A43" s="15"/>
      <c r="B43" s="86"/>
      <c r="C43" s="493" t="s">
        <v>517</v>
      </c>
      <c r="D43" s="221">
        <f t="shared" si="0"/>
        <v>3.8937078641878546</v>
      </c>
      <c r="E43" s="430">
        <v>11</v>
      </c>
      <c r="F43" s="221">
        <f t="shared" si="1"/>
        <v>39.878766506307244</v>
      </c>
      <c r="G43" s="550">
        <f t="shared" si="2"/>
        <v>43.77</v>
      </c>
      <c r="H43" s="483"/>
      <c r="I43" s="15"/>
      <c r="J43" s="15"/>
      <c r="K43" s="15">
        <f>Units!G39</f>
        <v>30</v>
      </c>
      <c r="L43" s="15">
        <f t="shared" si="3"/>
        <v>1313.1000000000001</v>
      </c>
      <c r="M43" s="15"/>
      <c r="N43" s="15"/>
    </row>
    <row r="44" spans="1:14" ht="15.75" x14ac:dyDescent="0.25">
      <c r="A44" s="15"/>
      <c r="B44" s="86"/>
      <c r="C44" s="493" t="s">
        <v>518</v>
      </c>
      <c r="D44" s="221">
        <f t="shared" si="0"/>
        <v>3.8937078641878546</v>
      </c>
      <c r="E44" s="430">
        <v>21</v>
      </c>
      <c r="F44" s="221">
        <f t="shared" si="1"/>
        <v>76.132190602950203</v>
      </c>
      <c r="G44" s="551">
        <f t="shared" si="2"/>
        <v>80.03</v>
      </c>
      <c r="H44" s="483"/>
      <c r="I44" s="15"/>
      <c r="J44" s="15"/>
      <c r="K44" s="15">
        <f>Units!G40</f>
        <v>48</v>
      </c>
      <c r="L44" s="15">
        <f t="shared" si="3"/>
        <v>3841.44</v>
      </c>
      <c r="M44" s="15"/>
      <c r="N44" s="15"/>
    </row>
    <row r="45" spans="1:14" ht="15.75" x14ac:dyDescent="0.25">
      <c r="A45" s="15"/>
      <c r="B45" s="88"/>
      <c r="C45" s="17"/>
      <c r="D45" s="17"/>
      <c r="E45" s="17"/>
      <c r="F45" s="17"/>
      <c r="G45" s="17"/>
      <c r="H45" s="494"/>
      <c r="I45" s="15"/>
      <c r="J45" s="15"/>
      <c r="K45" s="15"/>
      <c r="L45" s="554">
        <f>SUM(L39:L44)</f>
        <v>487700.61999999994</v>
      </c>
      <c r="M45" s="15"/>
      <c r="N45" s="15"/>
    </row>
    <row r="46" spans="1:14" ht="15.7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.7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5.7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</sheetData>
  <mergeCells count="4">
    <mergeCell ref="C3:G3"/>
    <mergeCell ref="C4:G4"/>
    <mergeCell ref="C5:G5"/>
    <mergeCell ref="C29:D29"/>
  </mergeCells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V49"/>
  <sheetViews>
    <sheetView workbookViewId="0"/>
  </sheetViews>
  <sheetFormatPr defaultColWidth="8.88671875" defaultRowHeight="15.75" x14ac:dyDescent="0.25"/>
  <cols>
    <col min="1" max="1" width="4.77734375" style="71" customWidth="1"/>
    <col min="2" max="2" width="1.109375" style="71" customWidth="1"/>
    <col min="3" max="3" width="3.77734375" style="71" bestFit="1" customWidth="1"/>
    <col min="4" max="4" width="7.21875" style="71" customWidth="1"/>
    <col min="5" max="5" width="5.6640625" style="71" bestFit="1" customWidth="1"/>
    <col min="6" max="6" width="7.33203125" style="71" customWidth="1"/>
    <col min="7" max="7" width="12.77734375" style="71" customWidth="1"/>
    <col min="8" max="8" width="1.21875" style="71" customWidth="1"/>
    <col min="9" max="9" width="3.77734375" style="71" bestFit="1" customWidth="1"/>
    <col min="10" max="10" width="7" style="71" bestFit="1" customWidth="1"/>
    <col min="11" max="11" width="5.6640625" style="71" bestFit="1" customWidth="1"/>
    <col min="12" max="12" width="7.33203125" style="71" customWidth="1"/>
    <col min="13" max="13" width="12.77734375" style="71" customWidth="1"/>
    <col min="14" max="204" width="9.6640625" style="71" customWidth="1"/>
    <col min="205" max="16384" width="8.88671875" style="25"/>
  </cols>
  <sheetData>
    <row r="2" spans="2:21" x14ac:dyDescent="0.2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21" ht="18.75" x14ac:dyDescent="0.3">
      <c r="B3" s="98"/>
      <c r="C3" s="614" t="s">
        <v>552</v>
      </c>
      <c r="D3" s="614"/>
      <c r="E3" s="614"/>
      <c r="F3" s="614"/>
      <c r="G3" s="614"/>
      <c r="H3" s="614"/>
      <c r="I3" s="614"/>
      <c r="J3" s="614"/>
      <c r="K3" s="614"/>
      <c r="L3" s="614"/>
      <c r="M3" s="615"/>
    </row>
    <row r="4" spans="2:21" ht="18.75" x14ac:dyDescent="0.3">
      <c r="B4" s="98"/>
      <c r="C4" s="614" t="s">
        <v>85</v>
      </c>
      <c r="D4" s="614"/>
      <c r="E4" s="614"/>
      <c r="F4" s="614"/>
      <c r="G4" s="614"/>
      <c r="H4" s="614"/>
      <c r="I4" s="614"/>
      <c r="J4" s="614"/>
      <c r="K4" s="614"/>
      <c r="L4" s="614"/>
      <c r="M4" s="615"/>
    </row>
    <row r="5" spans="2:21" ht="18.75" x14ac:dyDescent="0.25">
      <c r="B5" s="98"/>
      <c r="C5" s="596" t="s">
        <v>167</v>
      </c>
      <c r="D5" s="596"/>
      <c r="E5" s="596"/>
      <c r="F5" s="596"/>
      <c r="G5" s="596"/>
      <c r="H5" s="596"/>
      <c r="I5" s="596"/>
      <c r="J5" s="596"/>
      <c r="K5" s="596"/>
      <c r="L5" s="596"/>
      <c r="M5" s="618"/>
      <c r="N5" s="146"/>
      <c r="O5" s="146"/>
    </row>
    <row r="6" spans="2:21" x14ac:dyDescent="0.25">
      <c r="B6" s="98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21" x14ac:dyDescent="0.25">
      <c r="B7" s="95"/>
      <c r="C7" s="96"/>
      <c r="D7" s="96"/>
      <c r="E7" s="96"/>
      <c r="F7" s="96"/>
      <c r="G7" s="97"/>
      <c r="H7" s="95"/>
      <c r="I7" s="96"/>
      <c r="J7" s="96"/>
      <c r="K7" s="96"/>
      <c r="L7" s="96"/>
      <c r="M7" s="97"/>
    </row>
    <row r="8" spans="2:21" x14ac:dyDescent="0.25">
      <c r="B8" s="98"/>
      <c r="C8" s="616" t="s">
        <v>84</v>
      </c>
      <c r="D8" s="616"/>
      <c r="E8" s="616"/>
      <c r="F8" s="616"/>
      <c r="G8" s="617"/>
      <c r="H8" s="99"/>
      <c r="I8" s="616" t="s">
        <v>554</v>
      </c>
      <c r="J8" s="616"/>
      <c r="K8" s="616"/>
      <c r="L8" s="616"/>
      <c r="M8" s="617"/>
      <c r="O8" s="197"/>
    </row>
    <row r="9" spans="2:21" x14ac:dyDescent="0.25">
      <c r="B9" s="98"/>
      <c r="C9" s="99"/>
      <c r="D9" s="99"/>
      <c r="E9" s="99"/>
      <c r="F9" s="99"/>
      <c r="G9" s="100"/>
      <c r="H9" s="99"/>
      <c r="I9" s="99"/>
      <c r="J9" s="99"/>
      <c r="K9" s="99"/>
      <c r="L9" s="99"/>
      <c r="M9" s="100"/>
      <c r="P9" s="592"/>
      <c r="Q9" s="592" t="s">
        <v>465</v>
      </c>
      <c r="R9" s="592" t="s">
        <v>597</v>
      </c>
      <c r="S9" s="592" t="s">
        <v>145</v>
      </c>
      <c r="T9" s="592"/>
      <c r="U9" s="592"/>
    </row>
    <row r="10" spans="2:21" ht="18" x14ac:dyDescent="0.4">
      <c r="B10" s="49"/>
      <c r="C10" s="101" t="s">
        <v>121</v>
      </c>
      <c r="D10" s="99"/>
      <c r="E10" s="99"/>
      <c r="F10" s="99"/>
      <c r="G10" s="100"/>
      <c r="H10" s="7"/>
      <c r="I10" s="101" t="str">
        <f>C10</f>
        <v>5/8" x 3/4" Meters</v>
      </c>
      <c r="J10" s="99"/>
      <c r="K10" s="99"/>
      <c r="L10" s="172"/>
      <c r="M10" s="100"/>
      <c r="P10" s="593"/>
      <c r="Q10" s="593" t="s">
        <v>464</v>
      </c>
      <c r="R10" s="593" t="s">
        <v>83</v>
      </c>
      <c r="S10" s="593" t="s">
        <v>83</v>
      </c>
      <c r="T10" s="593" t="s">
        <v>598</v>
      </c>
      <c r="U10" s="593" t="s">
        <v>599</v>
      </c>
    </row>
    <row r="11" spans="2:21" x14ac:dyDescent="0.25">
      <c r="B11" s="49"/>
      <c r="C11" s="102" t="s">
        <v>75</v>
      </c>
      <c r="D11" s="103">
        <v>2000</v>
      </c>
      <c r="E11" s="99" t="s">
        <v>79</v>
      </c>
      <c r="F11" s="104">
        <v>24.22</v>
      </c>
      <c r="G11" s="100" t="s">
        <v>80</v>
      </c>
      <c r="H11" s="7"/>
      <c r="I11" s="102" t="s">
        <v>75</v>
      </c>
      <c r="J11" s="103">
        <f>D11</f>
        <v>2000</v>
      </c>
      <c r="K11" s="99" t="s">
        <v>79</v>
      </c>
      <c r="L11" s="104">
        <f>CalcRet!G39+2*CalcRet!E25</f>
        <v>24.259999999999998</v>
      </c>
      <c r="M11" s="100" t="s">
        <v>80</v>
      </c>
      <c r="P11" s="590" t="s">
        <v>596</v>
      </c>
      <c r="Q11" s="90">
        <v>4000</v>
      </c>
      <c r="R11" s="594">
        <v>39.21</v>
      </c>
      <c r="S11" s="594">
        <f>L11+2*L12</f>
        <v>41</v>
      </c>
      <c r="T11" s="594">
        <f>S11-R11</f>
        <v>1.7899999999999991</v>
      </c>
      <c r="U11" s="173">
        <f>T11/R11</f>
        <v>4.5651619484825275E-2</v>
      </c>
    </row>
    <row r="12" spans="2:21" x14ac:dyDescent="0.25">
      <c r="B12" s="49"/>
      <c r="C12" s="102" t="s">
        <v>76</v>
      </c>
      <c r="D12" s="103">
        <v>1500</v>
      </c>
      <c r="E12" s="99" t="s">
        <v>79</v>
      </c>
      <c r="F12" s="105">
        <v>7.7</v>
      </c>
      <c r="G12" s="100" t="s">
        <v>81</v>
      </c>
      <c r="H12" s="7"/>
      <c r="I12" s="102" t="s">
        <v>76</v>
      </c>
      <c r="J12" s="103">
        <v>8000</v>
      </c>
      <c r="K12" s="99" t="s">
        <v>79</v>
      </c>
      <c r="L12" s="105">
        <f>CalcRet!E25</f>
        <v>8.3699999999999992</v>
      </c>
      <c r="M12" s="100" t="s">
        <v>81</v>
      </c>
      <c r="P12" s="71" t="s">
        <v>514</v>
      </c>
      <c r="Q12" s="90">
        <v>15700</v>
      </c>
      <c r="R12" s="591">
        <f>F18+2.5*F19+8.2*F20</f>
        <v>98.003999999999991</v>
      </c>
      <c r="S12" s="591">
        <f>L18+5*L19+5.7*L20</f>
        <v>129.435</v>
      </c>
      <c r="T12" s="591">
        <f t="shared" ref="T12:T16" si="0">S12-R12</f>
        <v>31.431000000000012</v>
      </c>
      <c r="U12" s="173">
        <f t="shared" ref="U12:U16" si="1">T12/R12</f>
        <v>0.320711399534713</v>
      </c>
    </row>
    <row r="13" spans="2:21" x14ac:dyDescent="0.25">
      <c r="B13" s="49"/>
      <c r="C13" s="102" t="s">
        <v>76</v>
      </c>
      <c r="D13" s="103">
        <v>1500</v>
      </c>
      <c r="E13" s="99" t="s">
        <v>79</v>
      </c>
      <c r="F13" s="105">
        <v>6.87</v>
      </c>
      <c r="G13" s="100" t="s">
        <v>81</v>
      </c>
      <c r="H13" s="7"/>
      <c r="I13" s="102" t="s">
        <v>76</v>
      </c>
      <c r="J13" s="103">
        <v>65000</v>
      </c>
      <c r="K13" s="99" t="s">
        <v>79</v>
      </c>
      <c r="L13" s="105">
        <f>CalcRet!F25</f>
        <v>6.4499999999999993</v>
      </c>
      <c r="M13" s="100" t="s">
        <v>81</v>
      </c>
      <c r="P13" s="590" t="s">
        <v>515</v>
      </c>
      <c r="Q13" s="90">
        <v>105200</v>
      </c>
      <c r="R13" s="591">
        <f>F24+95.2*F25</f>
        <v>507.01400000000001</v>
      </c>
      <c r="S13" s="591">
        <f>L24+65*L25+30.2*L26</f>
        <v>655.91399999999987</v>
      </c>
      <c r="T13" s="591">
        <f t="shared" si="0"/>
        <v>148.89999999999986</v>
      </c>
      <c r="U13" s="173">
        <f t="shared" si="1"/>
        <v>0.29368025340523113</v>
      </c>
    </row>
    <row r="14" spans="2:21" x14ac:dyDescent="0.25">
      <c r="B14" s="49"/>
      <c r="C14" s="102" t="s">
        <v>76</v>
      </c>
      <c r="D14" s="103">
        <v>2500</v>
      </c>
      <c r="E14" s="99" t="s">
        <v>79</v>
      </c>
      <c r="F14" s="105">
        <v>5.78</v>
      </c>
      <c r="G14" s="100" t="s">
        <v>81</v>
      </c>
      <c r="H14" s="7"/>
      <c r="I14" s="102" t="s">
        <v>77</v>
      </c>
      <c r="J14" s="103">
        <v>75000</v>
      </c>
      <c r="K14" s="99" t="s">
        <v>79</v>
      </c>
      <c r="L14" s="105">
        <f>CalcRet!G25</f>
        <v>4.72</v>
      </c>
      <c r="M14" s="100" t="s">
        <v>81</v>
      </c>
      <c r="P14" s="71" t="s">
        <v>516</v>
      </c>
      <c r="Q14" s="90">
        <v>65500</v>
      </c>
      <c r="R14" s="591">
        <f>F29+45.5*F30</f>
        <v>325.58500000000004</v>
      </c>
      <c r="S14" s="591">
        <f>L29+45.5*L30</f>
        <v>456.08499999999992</v>
      </c>
      <c r="T14" s="591">
        <f t="shared" si="0"/>
        <v>130.49999999999989</v>
      </c>
      <c r="U14" s="173">
        <f t="shared" si="1"/>
        <v>0.4008169909547426</v>
      </c>
    </row>
    <row r="15" spans="2:21" x14ac:dyDescent="0.25">
      <c r="B15" s="49"/>
      <c r="C15" s="102" t="s">
        <v>77</v>
      </c>
      <c r="D15" s="103">
        <v>7500</v>
      </c>
      <c r="E15" s="99" t="s">
        <v>79</v>
      </c>
      <c r="F15" s="105">
        <v>4.57</v>
      </c>
      <c r="G15" s="100" t="s">
        <v>81</v>
      </c>
      <c r="H15" s="99"/>
      <c r="I15" s="102"/>
      <c r="J15" s="99"/>
      <c r="K15" s="99"/>
      <c r="L15" s="99"/>
      <c r="M15" s="100"/>
      <c r="P15" s="71" t="s">
        <v>517</v>
      </c>
      <c r="Q15" s="90">
        <v>32600</v>
      </c>
      <c r="R15" s="591">
        <f>F34+2.6*F35</f>
        <v>175.232</v>
      </c>
      <c r="S15" s="591">
        <f>L34+2.6*L35</f>
        <v>273.24</v>
      </c>
      <c r="T15" s="591">
        <f t="shared" si="0"/>
        <v>98.00800000000001</v>
      </c>
      <c r="U15" s="173">
        <f t="shared" si="1"/>
        <v>0.55930423666910156</v>
      </c>
    </row>
    <row r="16" spans="2:21" x14ac:dyDescent="0.25">
      <c r="B16" s="98"/>
      <c r="C16" s="103"/>
      <c r="D16" s="99"/>
      <c r="E16" s="99"/>
      <c r="F16" s="99"/>
      <c r="G16" s="100"/>
      <c r="H16" s="99"/>
      <c r="I16" s="103"/>
      <c r="J16" s="99"/>
      <c r="K16" s="99"/>
      <c r="L16" s="99"/>
      <c r="M16" s="100"/>
      <c r="P16" s="71" t="s">
        <v>518</v>
      </c>
      <c r="Q16" s="90">
        <v>1108700</v>
      </c>
      <c r="R16" s="591">
        <f>F39+1008.7*F40</f>
        <v>5093.0090000000009</v>
      </c>
      <c r="S16" s="591">
        <f>L39+1008.7*L40</f>
        <v>5462.0439999999999</v>
      </c>
      <c r="T16" s="591">
        <f t="shared" si="0"/>
        <v>369.03499999999894</v>
      </c>
      <c r="U16" s="173">
        <f t="shared" si="1"/>
        <v>7.2459129760029661E-2</v>
      </c>
    </row>
    <row r="17" spans="2:13" x14ac:dyDescent="0.25">
      <c r="B17" s="49"/>
      <c r="C17" s="101" t="s">
        <v>122</v>
      </c>
      <c r="D17" s="99"/>
      <c r="E17" s="99"/>
      <c r="F17" s="99"/>
      <c r="G17" s="100"/>
      <c r="H17" s="7"/>
      <c r="I17" s="101" t="s">
        <v>122</v>
      </c>
      <c r="J17" s="99"/>
      <c r="K17" s="99"/>
      <c r="L17" s="99"/>
      <c r="M17" s="100"/>
    </row>
    <row r="18" spans="2:13" x14ac:dyDescent="0.25">
      <c r="B18" s="49"/>
      <c r="C18" s="102" t="s">
        <v>75</v>
      </c>
      <c r="D18" s="103">
        <v>5000</v>
      </c>
      <c r="E18" s="99" t="s">
        <v>79</v>
      </c>
      <c r="F18" s="104">
        <v>46.08</v>
      </c>
      <c r="G18" s="100" t="s">
        <v>80</v>
      </c>
      <c r="H18" s="7"/>
      <c r="I18" s="102" t="s">
        <v>75</v>
      </c>
      <c r="J18" s="103">
        <f>D18</f>
        <v>5000</v>
      </c>
      <c r="K18" s="99" t="s">
        <v>79</v>
      </c>
      <c r="L18" s="104">
        <f>CalcRet!G40+5*CalcRet!E25</f>
        <v>50.819999999999993</v>
      </c>
      <c r="M18" s="100" t="s">
        <v>80</v>
      </c>
    </row>
    <row r="19" spans="2:13" x14ac:dyDescent="0.25">
      <c r="B19" s="49"/>
      <c r="C19" s="102" t="s">
        <v>76</v>
      </c>
      <c r="D19" s="103">
        <v>2500</v>
      </c>
      <c r="E19" s="99" t="s">
        <v>79</v>
      </c>
      <c r="F19" s="105">
        <v>5.78</v>
      </c>
      <c r="G19" s="100" t="s">
        <v>81</v>
      </c>
      <c r="H19" s="7"/>
      <c r="I19" s="102" t="s">
        <v>76</v>
      </c>
      <c r="J19" s="103">
        <v>5000</v>
      </c>
      <c r="K19" s="99" t="s">
        <v>79</v>
      </c>
      <c r="L19" s="105">
        <f>CalcRet!E25</f>
        <v>8.3699999999999992</v>
      </c>
      <c r="M19" s="100" t="s">
        <v>81</v>
      </c>
    </row>
    <row r="20" spans="2:13" x14ac:dyDescent="0.25">
      <c r="B20" s="49"/>
      <c r="C20" s="102" t="s">
        <v>77</v>
      </c>
      <c r="D20" s="103">
        <v>7500</v>
      </c>
      <c r="E20" s="99" t="s">
        <v>79</v>
      </c>
      <c r="F20" s="105">
        <v>4.57</v>
      </c>
      <c r="G20" s="100" t="s">
        <v>81</v>
      </c>
      <c r="H20" s="7"/>
      <c r="I20" s="102" t="s">
        <v>76</v>
      </c>
      <c r="J20" s="103">
        <v>65000</v>
      </c>
      <c r="K20" s="99" t="s">
        <v>79</v>
      </c>
      <c r="L20" s="105">
        <f>CalcRet!F25</f>
        <v>6.4499999999999993</v>
      </c>
      <c r="M20" s="100" t="s">
        <v>81</v>
      </c>
    </row>
    <row r="21" spans="2:13" x14ac:dyDescent="0.25">
      <c r="B21" s="49"/>
      <c r="C21" s="102"/>
      <c r="D21" s="103"/>
      <c r="E21" s="99"/>
      <c r="F21" s="105"/>
      <c r="G21" s="100"/>
      <c r="H21" s="7"/>
      <c r="I21" s="102" t="s">
        <v>77</v>
      </c>
      <c r="J21" s="103">
        <v>75000</v>
      </c>
      <c r="K21" s="99" t="s">
        <v>79</v>
      </c>
      <c r="L21" s="105">
        <f>CalcRet!G25</f>
        <v>4.72</v>
      </c>
      <c r="M21" s="100" t="s">
        <v>81</v>
      </c>
    </row>
    <row r="22" spans="2:13" x14ac:dyDescent="0.25">
      <c r="B22" s="49"/>
      <c r="C22" s="102"/>
      <c r="D22" s="103"/>
      <c r="E22" s="99"/>
      <c r="F22" s="105"/>
      <c r="G22" s="100"/>
      <c r="H22" s="7"/>
      <c r="I22" s="102"/>
      <c r="J22" s="103"/>
      <c r="K22" s="99"/>
      <c r="L22" s="105"/>
      <c r="M22" s="100"/>
    </row>
    <row r="23" spans="2:13" x14ac:dyDescent="0.25">
      <c r="B23" s="49"/>
      <c r="C23" s="101" t="s">
        <v>158</v>
      </c>
      <c r="D23" s="99"/>
      <c r="E23" s="99"/>
      <c r="F23" s="99"/>
      <c r="G23" s="100"/>
      <c r="H23" s="7"/>
      <c r="I23" s="101" t="str">
        <f>C23</f>
        <v>1-1/2" Meters</v>
      </c>
      <c r="J23" s="99"/>
      <c r="K23" s="99"/>
      <c r="L23" s="99"/>
      <c r="M23" s="100"/>
    </row>
    <row r="24" spans="2:13" x14ac:dyDescent="0.25">
      <c r="B24" s="49"/>
      <c r="C24" s="102" t="s">
        <v>75</v>
      </c>
      <c r="D24" s="103">
        <v>10000</v>
      </c>
      <c r="E24" s="99" t="s">
        <v>79</v>
      </c>
      <c r="F24" s="104">
        <v>71.95</v>
      </c>
      <c r="G24" s="100" t="s">
        <v>80</v>
      </c>
      <c r="H24" s="7"/>
      <c r="I24" s="102" t="s">
        <v>75</v>
      </c>
      <c r="J24" s="103">
        <f>D24</f>
        <v>10000</v>
      </c>
      <c r="K24" s="99" t="s">
        <v>79</v>
      </c>
      <c r="L24" s="104">
        <f>CalcRet!G41+10*CalcRet!E25</f>
        <v>94.11999999999999</v>
      </c>
      <c r="M24" s="100" t="s">
        <v>80</v>
      </c>
    </row>
    <row r="25" spans="2:13" x14ac:dyDescent="0.25">
      <c r="B25" s="98"/>
      <c r="C25" s="102" t="s">
        <v>77</v>
      </c>
      <c r="D25" s="103">
        <v>10000</v>
      </c>
      <c r="E25" s="99" t="s">
        <v>79</v>
      </c>
      <c r="F25" s="105">
        <v>4.57</v>
      </c>
      <c r="G25" s="100" t="s">
        <v>81</v>
      </c>
      <c r="H25" s="7"/>
      <c r="I25" s="102" t="s">
        <v>76</v>
      </c>
      <c r="J25" s="103">
        <v>65000</v>
      </c>
      <c r="K25" s="99" t="s">
        <v>79</v>
      </c>
      <c r="L25" s="105">
        <f>CalcRet!$F$25</f>
        <v>6.4499999999999993</v>
      </c>
      <c r="M25" s="100" t="s">
        <v>81</v>
      </c>
    </row>
    <row r="26" spans="2:13" x14ac:dyDescent="0.25">
      <c r="B26" s="98"/>
      <c r="C26" s="102"/>
      <c r="D26" s="103"/>
      <c r="E26" s="99"/>
      <c r="F26" s="105"/>
      <c r="G26" s="100"/>
      <c r="H26" s="7"/>
      <c r="I26" s="102" t="s">
        <v>77</v>
      </c>
      <c r="J26" s="103">
        <v>75000</v>
      </c>
      <c r="K26" s="99" t="s">
        <v>79</v>
      </c>
      <c r="L26" s="105">
        <f>$L$14</f>
        <v>4.72</v>
      </c>
      <c r="M26" s="100" t="s">
        <v>81</v>
      </c>
    </row>
    <row r="27" spans="2:13" x14ac:dyDescent="0.25">
      <c r="B27" s="98"/>
      <c r="C27" s="102"/>
      <c r="D27" s="103"/>
      <c r="E27" s="99"/>
      <c r="F27" s="105"/>
      <c r="G27" s="100"/>
      <c r="H27" s="7"/>
      <c r="I27" s="102"/>
      <c r="J27" s="103"/>
      <c r="K27" s="99"/>
      <c r="L27" s="105"/>
      <c r="M27" s="100"/>
    </row>
    <row r="28" spans="2:13" x14ac:dyDescent="0.25">
      <c r="B28" s="49"/>
      <c r="C28" s="101" t="s">
        <v>123</v>
      </c>
      <c r="D28" s="99"/>
      <c r="E28" s="99"/>
      <c r="F28" s="99"/>
      <c r="G28" s="100"/>
      <c r="H28" s="7"/>
      <c r="I28" s="101" t="s">
        <v>123</v>
      </c>
      <c r="J28" s="99"/>
      <c r="K28" s="99"/>
      <c r="L28" s="99"/>
      <c r="M28" s="100"/>
    </row>
    <row r="29" spans="2:13" x14ac:dyDescent="0.25">
      <c r="B29" s="49"/>
      <c r="C29" s="102" t="s">
        <v>75</v>
      </c>
      <c r="D29" s="103">
        <v>20000</v>
      </c>
      <c r="E29" s="99" t="s">
        <v>79</v>
      </c>
      <c r="F29" s="104">
        <v>117.65</v>
      </c>
      <c r="G29" s="100" t="s">
        <v>80</v>
      </c>
      <c r="H29" s="7"/>
      <c r="I29" s="102" t="s">
        <v>75</v>
      </c>
      <c r="J29" s="103">
        <f>D29</f>
        <v>20000</v>
      </c>
      <c r="K29" s="99" t="s">
        <v>79</v>
      </c>
      <c r="L29" s="104">
        <f>CalcRet!G42+10*CalcRet!E25+10*CalcRet!F25</f>
        <v>162.60999999999999</v>
      </c>
      <c r="M29" s="100" t="s">
        <v>80</v>
      </c>
    </row>
    <row r="30" spans="2:13" x14ac:dyDescent="0.25">
      <c r="B30" s="49"/>
      <c r="C30" s="102" t="s">
        <v>77</v>
      </c>
      <c r="D30" s="103">
        <v>20000</v>
      </c>
      <c r="E30" s="99" t="s">
        <v>79</v>
      </c>
      <c r="F30" s="105">
        <v>4.57</v>
      </c>
      <c r="G30" s="100" t="s">
        <v>81</v>
      </c>
      <c r="H30" s="7"/>
      <c r="I30" s="102" t="s">
        <v>76</v>
      </c>
      <c r="J30" s="103">
        <v>55000</v>
      </c>
      <c r="K30" s="99" t="s">
        <v>79</v>
      </c>
      <c r="L30" s="105">
        <f>CalcRet!$F$25</f>
        <v>6.4499999999999993</v>
      </c>
      <c r="M30" s="100" t="s">
        <v>81</v>
      </c>
    </row>
    <row r="31" spans="2:13" x14ac:dyDescent="0.25">
      <c r="B31" s="49"/>
      <c r="C31" s="102"/>
      <c r="D31" s="103"/>
      <c r="E31" s="99"/>
      <c r="F31" s="105"/>
      <c r="G31" s="100"/>
      <c r="H31" s="7"/>
      <c r="I31" s="102" t="s">
        <v>77</v>
      </c>
      <c r="J31" s="103">
        <v>75000</v>
      </c>
      <c r="K31" s="99" t="s">
        <v>79</v>
      </c>
      <c r="L31" s="105">
        <f>$L$14</f>
        <v>4.72</v>
      </c>
      <c r="M31" s="100" t="s">
        <v>81</v>
      </c>
    </row>
    <row r="32" spans="2:13" x14ac:dyDescent="0.25">
      <c r="B32" s="49"/>
      <c r="C32" s="102"/>
      <c r="D32" s="103"/>
      <c r="E32" s="99"/>
      <c r="F32" s="105"/>
      <c r="G32" s="100"/>
      <c r="H32" s="7"/>
      <c r="I32" s="102"/>
      <c r="J32" s="103"/>
      <c r="K32" s="99"/>
      <c r="L32" s="105"/>
      <c r="M32" s="100"/>
    </row>
    <row r="33" spans="2:18" x14ac:dyDescent="0.25">
      <c r="B33" s="49"/>
      <c r="C33" s="101" t="s">
        <v>159</v>
      </c>
      <c r="D33" s="99"/>
      <c r="E33" s="99"/>
      <c r="F33" s="99"/>
      <c r="G33" s="100"/>
      <c r="H33" s="7"/>
      <c r="I33" s="101" t="str">
        <f>C33</f>
        <v>3" Meters</v>
      </c>
      <c r="J33" s="99"/>
      <c r="K33" s="99"/>
      <c r="L33" s="99"/>
      <c r="M33" s="100"/>
    </row>
    <row r="34" spans="2:18" x14ac:dyDescent="0.25">
      <c r="B34" s="49"/>
      <c r="C34" s="102" t="s">
        <v>75</v>
      </c>
      <c r="D34" s="103">
        <v>30000</v>
      </c>
      <c r="E34" s="99" t="s">
        <v>79</v>
      </c>
      <c r="F34" s="104">
        <v>163.35</v>
      </c>
      <c r="G34" s="100" t="s">
        <v>80</v>
      </c>
      <c r="H34" s="7"/>
      <c r="I34" s="102" t="s">
        <v>75</v>
      </c>
      <c r="J34" s="103">
        <f>D34</f>
        <v>30000</v>
      </c>
      <c r="K34" s="99" t="s">
        <v>79</v>
      </c>
      <c r="L34" s="104">
        <f>CalcRet!G43+10*CalcRet!E25+20*CalcRet!F25</f>
        <v>256.47000000000003</v>
      </c>
      <c r="M34" s="100" t="s">
        <v>80</v>
      </c>
    </row>
    <row r="35" spans="2:18" x14ac:dyDescent="0.25">
      <c r="B35" s="49"/>
      <c r="C35" s="102" t="s">
        <v>77</v>
      </c>
      <c r="D35" s="103">
        <v>30000</v>
      </c>
      <c r="E35" s="99" t="s">
        <v>79</v>
      </c>
      <c r="F35" s="105">
        <v>4.57</v>
      </c>
      <c r="G35" s="100" t="s">
        <v>81</v>
      </c>
      <c r="H35" s="7"/>
      <c r="I35" s="102" t="s">
        <v>76</v>
      </c>
      <c r="J35" s="103">
        <v>45000</v>
      </c>
      <c r="K35" s="99" t="s">
        <v>79</v>
      </c>
      <c r="L35" s="105">
        <f>CalcRet!$F$25</f>
        <v>6.4499999999999993</v>
      </c>
      <c r="M35" s="100" t="s">
        <v>81</v>
      </c>
      <c r="O35" s="158"/>
    </row>
    <row r="36" spans="2:18" x14ac:dyDescent="0.25">
      <c r="B36" s="49"/>
      <c r="C36" s="102"/>
      <c r="D36" s="103"/>
      <c r="E36" s="99"/>
      <c r="F36" s="105"/>
      <c r="G36" s="100"/>
      <c r="H36" s="7"/>
      <c r="I36" s="102" t="s">
        <v>77</v>
      </c>
      <c r="J36" s="103">
        <v>75000</v>
      </c>
      <c r="K36" s="99" t="s">
        <v>79</v>
      </c>
      <c r="L36" s="105">
        <f>$L$14</f>
        <v>4.72</v>
      </c>
      <c r="M36" s="100" t="s">
        <v>81</v>
      </c>
    </row>
    <row r="37" spans="2:18" x14ac:dyDescent="0.25">
      <c r="B37" s="49"/>
      <c r="C37" s="102"/>
      <c r="D37" s="103"/>
      <c r="E37" s="99"/>
      <c r="F37" s="105"/>
      <c r="G37" s="100"/>
      <c r="H37" s="7"/>
      <c r="I37" s="102"/>
      <c r="J37" s="103"/>
      <c r="K37" s="99"/>
      <c r="L37" s="105"/>
      <c r="M37" s="100"/>
    </row>
    <row r="38" spans="2:18" x14ac:dyDescent="0.25">
      <c r="B38" s="49"/>
      <c r="C38" s="101" t="s">
        <v>196</v>
      </c>
      <c r="D38" s="99"/>
      <c r="E38" s="99"/>
      <c r="F38" s="99"/>
      <c r="G38" s="100"/>
      <c r="H38" s="7"/>
      <c r="I38" s="101" t="str">
        <f>C38</f>
        <v>6" Meters</v>
      </c>
      <c r="J38" s="103"/>
      <c r="K38" s="99"/>
      <c r="L38" s="99"/>
      <c r="M38" s="100"/>
    </row>
    <row r="39" spans="2:18" x14ac:dyDescent="0.25">
      <c r="B39" s="49"/>
      <c r="C39" s="102" t="s">
        <v>75</v>
      </c>
      <c r="D39" s="103">
        <v>100000</v>
      </c>
      <c r="E39" s="99" t="s">
        <v>79</v>
      </c>
      <c r="F39" s="104">
        <v>483.25</v>
      </c>
      <c r="G39" s="100" t="s">
        <v>80</v>
      </c>
      <c r="H39" s="7"/>
      <c r="I39" s="102" t="s">
        <v>75</v>
      </c>
      <c r="J39" s="103">
        <f>D39</f>
        <v>100000</v>
      </c>
      <c r="K39" s="99" t="s">
        <v>79</v>
      </c>
      <c r="L39" s="104">
        <f>CalcRet!G44+10*CalcRet!E25+65*CalcRet!F25+25*CalcRet!G25</f>
        <v>700.9799999999999</v>
      </c>
      <c r="M39" s="100" t="s">
        <v>80</v>
      </c>
    </row>
    <row r="40" spans="2:18" x14ac:dyDescent="0.25">
      <c r="B40" s="49"/>
      <c r="C40" s="102" t="s">
        <v>77</v>
      </c>
      <c r="D40" s="103">
        <v>100000</v>
      </c>
      <c r="E40" s="99" t="s">
        <v>79</v>
      </c>
      <c r="F40" s="105">
        <v>4.57</v>
      </c>
      <c r="G40" s="100" t="s">
        <v>81</v>
      </c>
      <c r="H40" s="7"/>
      <c r="I40" s="102" t="s">
        <v>77</v>
      </c>
      <c r="J40" s="103">
        <f>D40</f>
        <v>100000</v>
      </c>
      <c r="K40" s="99" t="s">
        <v>79</v>
      </c>
      <c r="L40" s="105">
        <f>$L$14</f>
        <v>4.72</v>
      </c>
      <c r="M40" s="100" t="s">
        <v>81</v>
      </c>
    </row>
    <row r="41" spans="2:18" x14ac:dyDescent="0.25">
      <c r="B41" s="49"/>
      <c r="C41" s="102"/>
      <c r="D41" s="103"/>
      <c r="E41" s="99"/>
      <c r="F41" s="105"/>
      <c r="G41" s="100"/>
      <c r="H41" s="7"/>
      <c r="I41" s="99"/>
      <c r="J41" s="99"/>
      <c r="K41" s="99"/>
      <c r="L41" s="99"/>
      <c r="M41" s="100"/>
    </row>
    <row r="42" spans="2:18" x14ac:dyDescent="0.25">
      <c r="B42" s="49"/>
      <c r="C42" s="101" t="s">
        <v>197</v>
      </c>
      <c r="D42" s="103"/>
      <c r="E42" s="99"/>
      <c r="F42" s="105"/>
      <c r="G42" s="100"/>
      <c r="H42" s="7"/>
      <c r="I42" s="101" t="str">
        <f>C42</f>
        <v>Wholesale Rates</v>
      </c>
      <c r="J42" s="103"/>
      <c r="K42" s="99"/>
      <c r="L42" s="99"/>
      <c r="M42" s="100"/>
      <c r="O42" s="110"/>
      <c r="P42" s="111"/>
      <c r="Q42" s="111"/>
      <c r="R42" s="111"/>
    </row>
    <row r="43" spans="2:18" x14ac:dyDescent="0.25">
      <c r="B43" s="49"/>
      <c r="C43" s="147" t="s">
        <v>314</v>
      </c>
      <c r="D43" s="103"/>
      <c r="E43" s="99"/>
      <c r="F43" s="104">
        <v>3.42</v>
      </c>
      <c r="G43" s="100" t="s">
        <v>81</v>
      </c>
      <c r="H43" s="7"/>
      <c r="I43" s="147" t="s">
        <v>314</v>
      </c>
      <c r="J43" s="103"/>
      <c r="K43" s="99"/>
      <c r="L43" s="105">
        <f>Whol!G62</f>
        <v>3.54</v>
      </c>
      <c r="M43" s="100" t="s">
        <v>81</v>
      </c>
      <c r="O43" s="31"/>
      <c r="P43" s="112"/>
      <c r="Q43" s="112"/>
      <c r="R43" s="113"/>
    </row>
    <row r="44" spans="2:18" x14ac:dyDescent="0.25">
      <c r="B44" s="106"/>
      <c r="C44" s="107"/>
      <c r="D44" s="108"/>
      <c r="E44" s="108"/>
      <c r="F44" s="108"/>
      <c r="G44" s="109"/>
      <c r="H44" s="108"/>
      <c r="I44" s="108"/>
      <c r="J44" s="108"/>
      <c r="K44" s="108"/>
      <c r="L44" s="108"/>
      <c r="M44" s="109"/>
      <c r="O44" s="31"/>
      <c r="P44" s="153"/>
      <c r="Q44" s="153"/>
      <c r="R44" s="113"/>
    </row>
    <row r="45" spans="2:18" x14ac:dyDescent="0.25">
      <c r="C45" s="90"/>
      <c r="O45" s="31"/>
      <c r="P45" s="153"/>
      <c r="Q45" s="153"/>
      <c r="R45" s="113"/>
    </row>
    <row r="46" spans="2:18" x14ac:dyDescent="0.25">
      <c r="C46" s="90"/>
      <c r="N46" s="90"/>
      <c r="O46" s="31"/>
      <c r="P46" s="153"/>
      <c r="Q46" s="153"/>
      <c r="R46" s="113"/>
    </row>
    <row r="47" spans="2:18" x14ac:dyDescent="0.25">
      <c r="C47" s="90"/>
    </row>
    <row r="48" spans="2:18" x14ac:dyDescent="0.25">
      <c r="C48" s="90"/>
    </row>
    <row r="49" spans="3:3" x14ac:dyDescent="0.25">
      <c r="C49" s="90"/>
    </row>
  </sheetData>
  <mergeCells count="5">
    <mergeCell ref="C3:M3"/>
    <mergeCell ref="C8:G8"/>
    <mergeCell ref="I8:M8"/>
    <mergeCell ref="C4:M4"/>
    <mergeCell ref="C5:M5"/>
  </mergeCells>
  <printOptions horizontalCentered="1"/>
  <pageMargins left="0.8" right="0.55000000000000004" top="0.95" bottom="0.5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A0C2-735D-4E87-8CD0-CB46EDA521D8}">
  <dimension ref="A3:AC29"/>
  <sheetViews>
    <sheetView workbookViewId="0"/>
  </sheetViews>
  <sheetFormatPr defaultColWidth="8.88671875" defaultRowHeight="15" x14ac:dyDescent="0.25"/>
  <cols>
    <col min="1" max="2" width="8.88671875" style="3"/>
    <col min="3" max="3" width="9.77734375" style="3" bestFit="1" customWidth="1"/>
    <col min="4" max="14" width="8.88671875" style="3"/>
    <col min="15" max="15" width="10.33203125" style="3" customWidth="1"/>
    <col min="16" max="16" width="2.6640625" style="3" customWidth="1"/>
    <col min="17" max="17" width="9.33203125" style="3" customWidth="1"/>
    <col min="18" max="18" width="8.33203125" style="3" customWidth="1"/>
    <col min="19" max="19" width="6.88671875" style="3" customWidth="1"/>
    <col min="20" max="20" width="11.5546875" style="3" customWidth="1"/>
    <col min="21" max="21" width="6.21875" style="3" customWidth="1"/>
    <col min="22" max="22" width="8.77734375" style="3" customWidth="1"/>
    <col min="23" max="23" width="8.88671875" style="3"/>
    <col min="24" max="24" width="10.6640625" style="3" customWidth="1"/>
    <col min="25" max="25" width="9.77734375" style="3" bestFit="1" customWidth="1"/>
    <col min="26" max="27" width="8.88671875" style="3"/>
    <col min="28" max="28" width="9.77734375" style="3" bestFit="1" customWidth="1"/>
    <col min="29" max="29" width="11.109375" style="3" customWidth="1"/>
    <col min="30" max="16384" width="8.88671875" style="3"/>
  </cols>
  <sheetData>
    <row r="3" spans="1:29" ht="17.25" x14ac:dyDescent="0.4">
      <c r="A3" s="15"/>
      <c r="B3" s="620" t="s">
        <v>461</v>
      </c>
      <c r="C3" s="620"/>
      <c r="D3" s="620" t="s">
        <v>122</v>
      </c>
      <c r="E3" s="620"/>
      <c r="F3" s="620" t="s">
        <v>158</v>
      </c>
      <c r="G3" s="620"/>
      <c r="H3" s="620" t="s">
        <v>462</v>
      </c>
      <c r="I3" s="620"/>
      <c r="J3" s="620" t="s">
        <v>159</v>
      </c>
      <c r="K3" s="620"/>
      <c r="L3" s="620" t="s">
        <v>196</v>
      </c>
      <c r="M3" s="620"/>
      <c r="N3" s="621" t="s">
        <v>2</v>
      </c>
      <c r="O3" s="619"/>
      <c r="P3" s="460"/>
      <c r="Q3" s="552"/>
      <c r="R3" s="619" t="s">
        <v>553</v>
      </c>
      <c r="S3" s="619"/>
      <c r="T3" s="619"/>
      <c r="U3" s="619"/>
      <c r="V3" s="460"/>
      <c r="W3" s="610" t="s">
        <v>467</v>
      </c>
      <c r="X3" s="610"/>
      <c r="Y3" s="610"/>
    </row>
    <row r="4" spans="1:29" ht="17.25" x14ac:dyDescent="0.4">
      <c r="A4" s="465" t="s">
        <v>463</v>
      </c>
      <c r="B4" s="462" t="s">
        <v>315</v>
      </c>
      <c r="C4" s="462" t="s">
        <v>464</v>
      </c>
      <c r="D4" s="462" t="s">
        <v>315</v>
      </c>
      <c r="E4" s="462" t="s">
        <v>464</v>
      </c>
      <c r="F4" s="462" t="s">
        <v>315</v>
      </c>
      <c r="G4" s="462" t="s">
        <v>464</v>
      </c>
      <c r="H4" s="462" t="s">
        <v>315</v>
      </c>
      <c r="I4" s="462" t="s">
        <v>464</v>
      </c>
      <c r="J4" s="462" t="s">
        <v>315</v>
      </c>
      <c r="K4" s="462" t="s">
        <v>464</v>
      </c>
      <c r="L4" s="462" t="s">
        <v>315</v>
      </c>
      <c r="M4" s="462" t="s">
        <v>464</v>
      </c>
      <c r="N4" s="463" t="s">
        <v>315</v>
      </c>
      <c r="O4" s="464" t="s">
        <v>464</v>
      </c>
      <c r="P4" s="464"/>
      <c r="Q4" s="464" t="s">
        <v>463</v>
      </c>
      <c r="R4" s="464" t="s">
        <v>315</v>
      </c>
      <c r="S4" s="464"/>
      <c r="T4" s="464" t="s">
        <v>464</v>
      </c>
      <c r="U4" s="464"/>
      <c r="V4" s="464"/>
      <c r="W4" s="464" t="s">
        <v>315</v>
      </c>
      <c r="X4" s="464" t="s">
        <v>464</v>
      </c>
      <c r="Y4" s="464" t="s">
        <v>465</v>
      </c>
    </row>
    <row r="5" spans="1:29" x14ac:dyDescent="0.25">
      <c r="A5" s="3">
        <v>0</v>
      </c>
      <c r="B5" s="3">
        <f>3060+494</f>
        <v>3554</v>
      </c>
      <c r="C5" s="3">
        <v>0</v>
      </c>
      <c r="D5" s="3">
        <f>4+39</f>
        <v>43</v>
      </c>
      <c r="E5" s="3">
        <f>0</f>
        <v>0</v>
      </c>
      <c r="H5" s="3">
        <v>40</v>
      </c>
      <c r="I5" s="3">
        <v>0</v>
      </c>
      <c r="K5" s="3">
        <v>0</v>
      </c>
      <c r="L5" s="3">
        <v>2</v>
      </c>
      <c r="M5" s="3">
        <v>0</v>
      </c>
      <c r="N5" s="466">
        <f>B5+D5+F5+H5+J5+L5</f>
        <v>3639</v>
      </c>
      <c r="O5" s="3">
        <f>C5+E5+G5+I5+K5+M5</f>
        <v>0</v>
      </c>
      <c r="Q5" s="3">
        <v>0</v>
      </c>
      <c r="R5" s="3">
        <f>N5</f>
        <v>3639</v>
      </c>
      <c r="S5" s="255">
        <f>R5/$N$22</f>
        <v>5.7177424423354911E-2</v>
      </c>
      <c r="T5" s="3">
        <f>O5</f>
        <v>0</v>
      </c>
      <c r="U5" s="255">
        <f>T5/$O$22</f>
        <v>0</v>
      </c>
      <c r="AB5" s="3">
        <v>0</v>
      </c>
      <c r="AC5" s="3">
        <v>0</v>
      </c>
    </row>
    <row r="6" spans="1:29" x14ac:dyDescent="0.25">
      <c r="A6" s="3">
        <v>5000</v>
      </c>
      <c r="B6" s="3">
        <f>42588+2614</f>
        <v>45202</v>
      </c>
      <c r="C6" s="3">
        <f>104165700+4306400</f>
        <v>108472100</v>
      </c>
      <c r="D6" s="82">
        <f>54+82</f>
        <v>136</v>
      </c>
      <c r="E6" s="82">
        <f>115800+160800</f>
        <v>276600</v>
      </c>
      <c r="H6" s="3">
        <f>51+56</f>
        <v>107</v>
      </c>
      <c r="I6" s="3">
        <f>142700+121800</f>
        <v>264500</v>
      </c>
      <c r="J6" s="3">
        <f>8+1</f>
        <v>9</v>
      </c>
      <c r="K6" s="3">
        <f>20300+4100</f>
        <v>24400</v>
      </c>
      <c r="L6" s="3">
        <v>6</v>
      </c>
      <c r="M6" s="3">
        <v>6000</v>
      </c>
      <c r="N6" s="466">
        <f t="shared" ref="N6:N21" si="0">B6+D6+F6+H6+J6+L6</f>
        <v>45460</v>
      </c>
      <c r="O6" s="3">
        <f t="shared" ref="O6:O21" si="1">C6+E6+G6+I6+K6+M6</f>
        <v>109043600</v>
      </c>
      <c r="Q6" s="3">
        <v>5000</v>
      </c>
      <c r="R6" s="3">
        <f>R5+N6</f>
        <v>49099</v>
      </c>
      <c r="S6" s="255">
        <f t="shared" ref="S6:S21" si="2">R6/$N$22</f>
        <v>0.77146313870906924</v>
      </c>
      <c r="T6" s="3">
        <f>T5+O6</f>
        <v>109043600</v>
      </c>
      <c r="U6" s="255">
        <f t="shared" ref="U6:U21" si="3">T6/$O$22</f>
        <v>0.31124314468503655</v>
      </c>
      <c r="AB6" s="3">
        <v>5000</v>
      </c>
      <c r="AC6" s="3">
        <v>109043600</v>
      </c>
    </row>
    <row r="7" spans="1:29" x14ac:dyDescent="0.25">
      <c r="A7" s="3">
        <f>+A6+5000</f>
        <v>10000</v>
      </c>
      <c r="B7" s="3">
        <f>10184+323</f>
        <v>10507</v>
      </c>
      <c r="C7" s="3">
        <f>69050500+2210500</f>
        <v>71261000</v>
      </c>
      <c r="D7" s="3">
        <f>47+38</f>
        <v>85</v>
      </c>
      <c r="E7" s="3">
        <f>328700+279600</f>
        <v>608300</v>
      </c>
      <c r="F7" s="82"/>
      <c r="G7" s="82"/>
      <c r="H7" s="3">
        <f>35+51</f>
        <v>86</v>
      </c>
      <c r="I7" s="3">
        <f>272400+366100</f>
        <v>638500</v>
      </c>
      <c r="J7" s="3">
        <f>6+3</f>
        <v>9</v>
      </c>
      <c r="K7" s="3">
        <f>53200+22200</f>
        <v>75400</v>
      </c>
      <c r="L7" s="3">
        <v>2</v>
      </c>
      <c r="M7" s="3">
        <v>19200</v>
      </c>
      <c r="N7" s="542">
        <f t="shared" si="0"/>
        <v>10689</v>
      </c>
      <c r="O7" s="82">
        <f t="shared" si="1"/>
        <v>72602400</v>
      </c>
      <c r="Q7" s="82">
        <v>10000</v>
      </c>
      <c r="R7" s="82">
        <f t="shared" ref="R7:R21" si="4">R6+N7</f>
        <v>59788</v>
      </c>
      <c r="S7" s="572">
        <f t="shared" si="2"/>
        <v>0.93941298472754697</v>
      </c>
      <c r="T7" s="82">
        <f t="shared" ref="T7:T21" si="5">T6+O7</f>
        <v>181646000</v>
      </c>
      <c r="U7" s="572">
        <f t="shared" si="3"/>
        <v>0.51847217314411986</v>
      </c>
      <c r="W7" s="3">
        <f>SUM(N5:N7)</f>
        <v>59788</v>
      </c>
      <c r="X7" s="3">
        <f>SUM(O5:O7)</f>
        <v>181646000</v>
      </c>
      <c r="Y7" s="3">
        <f>X7/W7</f>
        <v>3038.1681942864789</v>
      </c>
      <c r="Z7" s="255">
        <f>X7/$O$22</f>
        <v>0.51847217314411986</v>
      </c>
      <c r="AA7" s="255"/>
      <c r="AB7" s="3">
        <v>10000</v>
      </c>
      <c r="AC7" s="3">
        <v>181646000</v>
      </c>
    </row>
    <row r="8" spans="1:29" x14ac:dyDescent="0.25">
      <c r="A8" s="3">
        <f t="shared" ref="A8:A20" si="6">+A7+5000</f>
        <v>15000</v>
      </c>
      <c r="B8" s="3">
        <f>1833+90</f>
        <v>1923</v>
      </c>
      <c r="C8" s="3">
        <f>21943800+1085300</f>
        <v>23029100</v>
      </c>
      <c r="D8" s="3">
        <f>10+42</f>
        <v>52</v>
      </c>
      <c r="E8" s="3">
        <f>118800+523700</f>
        <v>642500</v>
      </c>
      <c r="H8" s="3">
        <f>17+35</f>
        <v>52</v>
      </c>
      <c r="I8" s="3">
        <f>206600+422900</f>
        <v>629500</v>
      </c>
      <c r="L8" s="3">
        <v>4</v>
      </c>
      <c r="M8" s="3">
        <v>49600</v>
      </c>
      <c r="N8" s="466">
        <f t="shared" si="0"/>
        <v>2031</v>
      </c>
      <c r="O8" s="3">
        <f t="shared" si="1"/>
        <v>24350700</v>
      </c>
      <c r="Q8" s="3">
        <v>15000</v>
      </c>
      <c r="R8" s="3">
        <f t="shared" si="4"/>
        <v>61819</v>
      </c>
      <c r="S8" s="255">
        <f t="shared" si="2"/>
        <v>0.97132486958707809</v>
      </c>
      <c r="T8" s="3">
        <f t="shared" si="5"/>
        <v>205996700</v>
      </c>
      <c r="U8" s="255">
        <f t="shared" si="3"/>
        <v>0.58797637552997217</v>
      </c>
      <c r="AB8" s="3">
        <v>15000</v>
      </c>
      <c r="AC8" s="3">
        <v>205996700</v>
      </c>
    </row>
    <row r="9" spans="1:29" x14ac:dyDescent="0.25">
      <c r="A9" s="3">
        <f t="shared" si="6"/>
        <v>20000</v>
      </c>
      <c r="B9" s="3">
        <f>562+37</f>
        <v>599</v>
      </c>
      <c r="C9" s="3">
        <f>9670000+628900</f>
        <v>10298900</v>
      </c>
      <c r="D9" s="3">
        <f>3+16</f>
        <v>19</v>
      </c>
      <c r="E9" s="3">
        <f>53900+263200</f>
        <v>317100</v>
      </c>
      <c r="H9" s="82">
        <f>3+14</f>
        <v>17</v>
      </c>
      <c r="I9" s="82">
        <f>51000+240900</f>
        <v>291900</v>
      </c>
      <c r="J9" s="3">
        <f>1+1</f>
        <v>2</v>
      </c>
      <c r="K9" s="3">
        <f>18700+19300</f>
        <v>38000</v>
      </c>
      <c r="N9" s="466">
        <f t="shared" si="0"/>
        <v>637</v>
      </c>
      <c r="O9" s="3">
        <f t="shared" si="1"/>
        <v>10945900</v>
      </c>
      <c r="Q9" s="3">
        <v>20000</v>
      </c>
      <c r="R9" s="3">
        <f t="shared" si="4"/>
        <v>62456</v>
      </c>
      <c r="S9" s="255">
        <f t="shared" si="2"/>
        <v>0.98133366853120485</v>
      </c>
      <c r="T9" s="3">
        <f t="shared" si="5"/>
        <v>216942600</v>
      </c>
      <c r="U9" s="255">
        <f t="shared" si="3"/>
        <v>0.6192192576194111</v>
      </c>
      <c r="AB9" s="3">
        <v>20000</v>
      </c>
      <c r="AC9" s="3">
        <v>216942600</v>
      </c>
    </row>
    <row r="10" spans="1:29" x14ac:dyDescent="0.25">
      <c r="A10" s="3">
        <f t="shared" si="6"/>
        <v>25000</v>
      </c>
      <c r="B10" s="3">
        <f>235+13</f>
        <v>248</v>
      </c>
      <c r="C10" s="3">
        <f>5227000+288500</f>
        <v>5515500</v>
      </c>
      <c r="D10" s="3">
        <v>12</v>
      </c>
      <c r="E10" s="3">
        <v>268500</v>
      </c>
      <c r="H10" s="3">
        <f>3+13</f>
        <v>16</v>
      </c>
      <c r="I10" s="3">
        <f>68000+296100</f>
        <v>364100</v>
      </c>
      <c r="L10" s="3">
        <v>1</v>
      </c>
      <c r="M10" s="3">
        <v>24200</v>
      </c>
      <c r="N10" s="466">
        <f t="shared" si="0"/>
        <v>277</v>
      </c>
      <c r="O10" s="3">
        <f t="shared" si="1"/>
        <v>6172300</v>
      </c>
      <c r="Q10" s="3">
        <v>25000</v>
      </c>
      <c r="R10" s="3">
        <f t="shared" si="4"/>
        <v>62733</v>
      </c>
      <c r="S10" s="255">
        <f t="shared" si="2"/>
        <v>0.98568600339387846</v>
      </c>
      <c r="T10" s="3">
        <f t="shared" si="5"/>
        <v>223114900</v>
      </c>
      <c r="U10" s="255">
        <f t="shared" si="3"/>
        <v>0.6368368533512051</v>
      </c>
      <c r="AB10" s="3">
        <v>25000</v>
      </c>
      <c r="AC10" s="3">
        <v>223114900</v>
      </c>
    </row>
    <row r="11" spans="1:29" x14ac:dyDescent="0.25">
      <c r="A11" s="3">
        <f t="shared" si="6"/>
        <v>30000</v>
      </c>
      <c r="B11" s="3">
        <f>121+18</f>
        <v>139</v>
      </c>
      <c r="C11" s="3">
        <f>3300300+497400</f>
        <v>3797700</v>
      </c>
      <c r="D11" s="3">
        <v>7</v>
      </c>
      <c r="E11" s="3">
        <v>189600</v>
      </c>
      <c r="H11" s="3">
        <f>1+9</f>
        <v>10</v>
      </c>
      <c r="I11" s="3">
        <f>28500+253800</f>
        <v>282300</v>
      </c>
      <c r="J11" s="82">
        <v>1</v>
      </c>
      <c r="K11" s="82">
        <v>25700</v>
      </c>
      <c r="L11" s="3">
        <v>2</v>
      </c>
      <c r="M11" s="3">
        <v>52000</v>
      </c>
      <c r="N11" s="466">
        <f t="shared" si="0"/>
        <v>159</v>
      </c>
      <c r="O11" s="3">
        <f t="shared" si="1"/>
        <v>4347300</v>
      </c>
      <c r="Q11" s="3">
        <v>30000</v>
      </c>
      <c r="R11" s="3">
        <f t="shared" si="4"/>
        <v>62892</v>
      </c>
      <c r="S11" s="255">
        <f t="shared" si="2"/>
        <v>0.98818427502985351</v>
      </c>
      <c r="T11" s="3">
        <f t="shared" si="5"/>
        <v>227462200</v>
      </c>
      <c r="U11" s="255">
        <f t="shared" si="3"/>
        <v>0.6492453516297767</v>
      </c>
      <c r="AB11" s="3">
        <v>30000</v>
      </c>
      <c r="AC11" s="3">
        <v>227462200</v>
      </c>
    </row>
    <row r="12" spans="1:29" x14ac:dyDescent="0.25">
      <c r="A12" s="3">
        <f t="shared" si="6"/>
        <v>35000</v>
      </c>
      <c r="B12" s="3">
        <f>83+19</f>
        <v>102</v>
      </c>
      <c r="C12" s="3">
        <f>2678600+611300</f>
        <v>3289900</v>
      </c>
      <c r="D12" s="3">
        <v>5</v>
      </c>
      <c r="E12" s="3">
        <v>165000</v>
      </c>
      <c r="H12" s="3">
        <f>4+14</f>
        <v>18</v>
      </c>
      <c r="I12" s="3">
        <f>129500+443500</f>
        <v>573000</v>
      </c>
      <c r="J12" s="3">
        <v>2</v>
      </c>
      <c r="K12" s="3">
        <v>65900</v>
      </c>
      <c r="N12" s="466">
        <f t="shared" si="0"/>
        <v>127</v>
      </c>
      <c r="O12" s="3">
        <f t="shared" si="1"/>
        <v>4093800</v>
      </c>
      <c r="Q12" s="3">
        <v>35000</v>
      </c>
      <c r="R12" s="3">
        <f t="shared" si="4"/>
        <v>63019</v>
      </c>
      <c r="S12" s="255">
        <f t="shared" si="2"/>
        <v>0.99017974985858837</v>
      </c>
      <c r="T12" s="3">
        <f t="shared" si="5"/>
        <v>231556000</v>
      </c>
      <c r="U12" s="255">
        <f t="shared" si="3"/>
        <v>0.66093028486484606</v>
      </c>
      <c r="AB12" s="3">
        <v>35000</v>
      </c>
      <c r="AC12" s="3">
        <v>231556000</v>
      </c>
    </row>
    <row r="13" spans="1:29" x14ac:dyDescent="0.25">
      <c r="A13" s="3">
        <f t="shared" si="6"/>
        <v>40000</v>
      </c>
      <c r="B13" s="3">
        <f>50+10</f>
        <v>60</v>
      </c>
      <c r="C13" s="3">
        <f>1865500+369200</f>
        <v>2234700</v>
      </c>
      <c r="D13" s="3">
        <v>5</v>
      </c>
      <c r="E13" s="3">
        <v>191100</v>
      </c>
      <c r="H13" s="3">
        <f>2+18</f>
        <v>20</v>
      </c>
      <c r="I13" s="3">
        <f>75600+671200</f>
        <v>746800</v>
      </c>
      <c r="J13" s="3">
        <v>1</v>
      </c>
      <c r="K13" s="3">
        <v>36100</v>
      </c>
      <c r="N13" s="466">
        <f t="shared" si="0"/>
        <v>86</v>
      </c>
      <c r="O13" s="3">
        <f t="shared" si="1"/>
        <v>3208700</v>
      </c>
      <c r="Q13" s="3">
        <v>40000</v>
      </c>
      <c r="R13" s="3">
        <f t="shared" si="4"/>
        <v>63105</v>
      </c>
      <c r="S13" s="255">
        <f t="shared" si="2"/>
        <v>0.99153101627804663</v>
      </c>
      <c r="T13" s="3">
        <f t="shared" si="5"/>
        <v>234764700</v>
      </c>
      <c r="U13" s="255">
        <f t="shared" si="3"/>
        <v>0.67008887719260191</v>
      </c>
      <c r="AB13" s="3">
        <v>40000</v>
      </c>
      <c r="AC13" s="3">
        <v>234764700</v>
      </c>
    </row>
    <row r="14" spans="1:29" x14ac:dyDescent="0.25">
      <c r="A14" s="3">
        <f t="shared" si="6"/>
        <v>45000</v>
      </c>
      <c r="B14" s="3">
        <f>43+7</f>
        <v>50</v>
      </c>
      <c r="C14" s="3">
        <f>1840900+300300</f>
        <v>2141200</v>
      </c>
      <c r="D14" s="3">
        <v>12</v>
      </c>
      <c r="E14" s="3">
        <v>518700</v>
      </c>
      <c r="H14" s="3">
        <v>15</v>
      </c>
      <c r="I14" s="3">
        <v>636300</v>
      </c>
      <c r="J14" s="3">
        <f>2+1</f>
        <v>3</v>
      </c>
      <c r="K14" s="3">
        <f>87000+40400</f>
        <v>127400</v>
      </c>
      <c r="L14" s="3">
        <v>1</v>
      </c>
      <c r="M14" s="3">
        <v>40900</v>
      </c>
      <c r="N14" s="466">
        <f t="shared" si="0"/>
        <v>81</v>
      </c>
      <c r="O14" s="3">
        <f t="shared" si="1"/>
        <v>3464500</v>
      </c>
      <c r="Q14" s="3">
        <v>45000</v>
      </c>
      <c r="R14" s="3">
        <f t="shared" si="4"/>
        <v>63186</v>
      </c>
      <c r="S14" s="255">
        <f t="shared" si="2"/>
        <v>0.99280372069637357</v>
      </c>
      <c r="T14" s="3">
        <f t="shared" si="5"/>
        <v>238229200</v>
      </c>
      <c r="U14" s="255">
        <f t="shared" si="3"/>
        <v>0.67997759945380121</v>
      </c>
      <c r="AB14" s="3">
        <v>45000</v>
      </c>
      <c r="AC14" s="3">
        <v>238229200</v>
      </c>
    </row>
    <row r="15" spans="1:29" x14ac:dyDescent="0.25">
      <c r="A15" s="3">
        <f t="shared" si="6"/>
        <v>50000</v>
      </c>
      <c r="B15" s="3">
        <f>19+9</f>
        <v>28</v>
      </c>
      <c r="C15" s="3">
        <f>906400+432200</f>
        <v>1338600</v>
      </c>
      <c r="D15" s="3">
        <f>1+12</f>
        <v>13</v>
      </c>
      <c r="E15" s="3">
        <f>49300+571000</f>
        <v>620300</v>
      </c>
      <c r="H15" s="3">
        <f>1+9</f>
        <v>10</v>
      </c>
      <c r="I15" s="3">
        <f>48600+425500</f>
        <v>474100</v>
      </c>
      <c r="L15" s="3">
        <v>1</v>
      </c>
      <c r="M15" s="3">
        <v>49500</v>
      </c>
      <c r="N15" s="466">
        <f t="shared" si="0"/>
        <v>52</v>
      </c>
      <c r="O15" s="3">
        <f t="shared" si="1"/>
        <v>2482500</v>
      </c>
      <c r="Q15" s="3">
        <v>50000</v>
      </c>
      <c r="R15" s="3">
        <f t="shared" si="4"/>
        <v>63238</v>
      </c>
      <c r="S15" s="255">
        <f t="shared" si="2"/>
        <v>0.99362076550813905</v>
      </c>
      <c r="T15" s="3">
        <f t="shared" si="5"/>
        <v>240711700</v>
      </c>
      <c r="U15" s="255">
        <f t="shared" si="3"/>
        <v>0.68706339914017067</v>
      </c>
      <c r="AB15" s="3">
        <v>50000</v>
      </c>
      <c r="AC15" s="3">
        <v>240711700</v>
      </c>
    </row>
    <row r="16" spans="1:29" x14ac:dyDescent="0.25">
      <c r="A16" s="3">
        <f t="shared" si="6"/>
        <v>55000</v>
      </c>
      <c r="B16" s="3">
        <f>15+3</f>
        <v>18</v>
      </c>
      <c r="C16" s="3">
        <f>786900+157800</f>
        <v>944700</v>
      </c>
      <c r="D16" s="3">
        <v>2</v>
      </c>
      <c r="E16" s="3">
        <v>106200</v>
      </c>
      <c r="H16" s="3">
        <v>14</v>
      </c>
      <c r="I16" s="3">
        <v>732400</v>
      </c>
      <c r="J16" s="3">
        <f>1+1</f>
        <v>2</v>
      </c>
      <c r="K16" s="3">
        <f>52300+52200</f>
        <v>104500</v>
      </c>
      <c r="L16" s="3">
        <v>1</v>
      </c>
      <c r="M16" s="3">
        <v>53300</v>
      </c>
      <c r="N16" s="466">
        <f t="shared" si="0"/>
        <v>37</v>
      </c>
      <c r="O16" s="3">
        <f t="shared" si="1"/>
        <v>1941100</v>
      </c>
      <c r="Q16" s="3">
        <v>55000</v>
      </c>
      <c r="R16" s="3">
        <f t="shared" si="4"/>
        <v>63275</v>
      </c>
      <c r="S16" s="255">
        <f t="shared" si="2"/>
        <v>0.99420212431651056</v>
      </c>
      <c r="T16" s="3">
        <f t="shared" si="5"/>
        <v>242652800</v>
      </c>
      <c r="U16" s="255">
        <f t="shared" si="3"/>
        <v>0.69260388082041713</v>
      </c>
      <c r="AB16" s="3">
        <v>55000</v>
      </c>
      <c r="AC16" s="3">
        <v>242652800</v>
      </c>
    </row>
    <row r="17" spans="1:29" x14ac:dyDescent="0.25">
      <c r="A17" s="3">
        <f t="shared" si="6"/>
        <v>60000</v>
      </c>
      <c r="B17" s="3">
        <f>21+1</f>
        <v>22</v>
      </c>
      <c r="C17" s="3">
        <f>1220700+59200</f>
        <v>1279900</v>
      </c>
      <c r="D17" s="3">
        <v>6</v>
      </c>
      <c r="E17" s="3">
        <v>341500</v>
      </c>
      <c r="H17" s="3">
        <v>4</v>
      </c>
      <c r="I17" s="3">
        <v>227900</v>
      </c>
      <c r="L17" s="3">
        <v>1</v>
      </c>
      <c r="M17" s="3">
        <v>55800</v>
      </c>
      <c r="N17" s="466">
        <f t="shared" si="0"/>
        <v>33</v>
      </c>
      <c r="O17" s="3">
        <f t="shared" si="1"/>
        <v>1905100</v>
      </c>
      <c r="Q17" s="3">
        <v>60000</v>
      </c>
      <c r="R17" s="3">
        <f t="shared" si="4"/>
        <v>63308</v>
      </c>
      <c r="S17" s="255">
        <f t="shared" si="2"/>
        <v>0.9947206335239771</v>
      </c>
      <c r="T17" s="3">
        <f t="shared" si="5"/>
        <v>244557900</v>
      </c>
      <c r="U17" s="255">
        <f t="shared" si="3"/>
        <v>0.69804160770158641</v>
      </c>
      <c r="AB17" s="3">
        <v>60000</v>
      </c>
      <c r="AC17" s="3">
        <v>244557900</v>
      </c>
    </row>
    <row r="18" spans="1:29" x14ac:dyDescent="0.25">
      <c r="A18" s="3">
        <f t="shared" si="6"/>
        <v>65000</v>
      </c>
      <c r="B18" s="3">
        <f>11</f>
        <v>11</v>
      </c>
      <c r="C18" s="3">
        <f>692100</f>
        <v>692100</v>
      </c>
      <c r="D18" s="3">
        <v>4</v>
      </c>
      <c r="E18" s="3">
        <v>254500</v>
      </c>
      <c r="F18" s="3">
        <v>1</v>
      </c>
      <c r="G18" s="3">
        <v>63500</v>
      </c>
      <c r="H18" s="3">
        <v>4</v>
      </c>
      <c r="I18" s="3">
        <v>248800</v>
      </c>
      <c r="L18" s="3">
        <v>3</v>
      </c>
      <c r="M18" s="3">
        <v>187800</v>
      </c>
      <c r="N18" s="466">
        <f t="shared" si="0"/>
        <v>23</v>
      </c>
      <c r="O18" s="3">
        <f t="shared" si="1"/>
        <v>1446700</v>
      </c>
      <c r="Q18" s="3">
        <v>65000</v>
      </c>
      <c r="R18" s="3">
        <f t="shared" si="4"/>
        <v>63331</v>
      </c>
      <c r="S18" s="255">
        <f t="shared" si="2"/>
        <v>0.99508201872918112</v>
      </c>
      <c r="T18" s="3">
        <f t="shared" si="5"/>
        <v>246004600</v>
      </c>
      <c r="U18" s="255">
        <f t="shared" si="3"/>
        <v>0.70217092347450516</v>
      </c>
      <c r="AB18" s="3">
        <v>65000</v>
      </c>
      <c r="AC18" s="3">
        <v>246004600</v>
      </c>
    </row>
    <row r="19" spans="1:29" x14ac:dyDescent="0.25">
      <c r="A19" s="3">
        <f t="shared" si="6"/>
        <v>70000</v>
      </c>
      <c r="B19" s="3">
        <f>7+1</f>
        <v>8</v>
      </c>
      <c r="C19" s="3">
        <f>473200+68500</f>
        <v>541700</v>
      </c>
      <c r="D19" s="3">
        <v>4</v>
      </c>
      <c r="E19" s="3">
        <v>268500</v>
      </c>
      <c r="F19" s="3">
        <v>1</v>
      </c>
      <c r="G19" s="3">
        <v>69900</v>
      </c>
      <c r="H19" s="3">
        <v>3</v>
      </c>
      <c r="I19" s="3">
        <v>198000</v>
      </c>
      <c r="N19" s="466">
        <f t="shared" si="0"/>
        <v>16</v>
      </c>
      <c r="O19" s="3">
        <f t="shared" si="1"/>
        <v>1078100</v>
      </c>
      <c r="Q19" s="3">
        <v>70000</v>
      </c>
      <c r="R19" s="3">
        <f t="shared" si="4"/>
        <v>63347</v>
      </c>
      <c r="S19" s="255">
        <f t="shared" si="2"/>
        <v>0.99533341713280121</v>
      </c>
      <c r="T19" s="3">
        <f t="shared" si="5"/>
        <v>247082700</v>
      </c>
      <c r="U19" s="255">
        <f t="shared" si="3"/>
        <v>0.70524814427687166</v>
      </c>
      <c r="AB19" s="3">
        <v>70000</v>
      </c>
      <c r="AC19" s="3">
        <v>247082700</v>
      </c>
    </row>
    <row r="20" spans="1:29" x14ac:dyDescent="0.25">
      <c r="A20" s="3">
        <f t="shared" si="6"/>
        <v>75000</v>
      </c>
      <c r="B20" s="3">
        <f>7+2</f>
        <v>9</v>
      </c>
      <c r="C20" s="3">
        <f>510700+147300</f>
        <v>658000</v>
      </c>
      <c r="D20" s="3">
        <v>1</v>
      </c>
      <c r="E20" s="3">
        <v>70100</v>
      </c>
      <c r="F20" s="3">
        <v>1</v>
      </c>
      <c r="G20" s="3">
        <v>74900</v>
      </c>
      <c r="H20" s="3">
        <v>4</v>
      </c>
      <c r="I20" s="3">
        <v>292800</v>
      </c>
      <c r="L20" s="3">
        <v>1</v>
      </c>
      <c r="M20" s="3">
        <v>73600</v>
      </c>
      <c r="N20" s="542">
        <f t="shared" si="0"/>
        <v>16</v>
      </c>
      <c r="O20" s="82">
        <f t="shared" si="1"/>
        <v>1169400</v>
      </c>
      <c r="Q20" s="82">
        <v>75000</v>
      </c>
      <c r="R20" s="82">
        <f t="shared" si="4"/>
        <v>63363</v>
      </c>
      <c r="S20" s="572">
        <f t="shared" si="2"/>
        <v>0.99558481553642131</v>
      </c>
      <c r="T20" s="82">
        <f t="shared" si="5"/>
        <v>248252100</v>
      </c>
      <c r="U20" s="572">
        <f t="shared" si="3"/>
        <v>0.70858596266689811</v>
      </c>
      <c r="V20" s="3">
        <f>W20/12</f>
        <v>297.91666666666669</v>
      </c>
      <c r="W20" s="3">
        <f>SUM(N8:N20)</f>
        <v>3575</v>
      </c>
      <c r="X20" s="3">
        <f>SUM(O8:O20)</f>
        <v>66606100</v>
      </c>
      <c r="Y20" s="3">
        <f>X20/W20</f>
        <v>18631.076923076922</v>
      </c>
      <c r="Z20" s="255">
        <f>X20/$O$22</f>
        <v>0.19011378952277816</v>
      </c>
      <c r="AA20" s="255"/>
      <c r="AB20" s="3">
        <v>75000</v>
      </c>
      <c r="AC20" s="3">
        <v>248252100</v>
      </c>
    </row>
    <row r="21" spans="1:29" ht="17.25" x14ac:dyDescent="0.4">
      <c r="A21" s="258" t="s">
        <v>466</v>
      </c>
      <c r="B21" s="72">
        <v>90</v>
      </c>
      <c r="C21" s="72">
        <v>15851900</v>
      </c>
      <c r="D21" s="72">
        <f>1+13</f>
        <v>14</v>
      </c>
      <c r="E21" s="72">
        <f>131400+1620000</f>
        <v>1751400</v>
      </c>
      <c r="F21" s="72">
        <v>9</v>
      </c>
      <c r="G21" s="72">
        <v>1054500</v>
      </c>
      <c r="H21" s="72">
        <f>3+141</f>
        <v>144</v>
      </c>
      <c r="I21" s="72">
        <f>277300+30072800</f>
        <v>30350100</v>
      </c>
      <c r="J21" s="72">
        <v>1</v>
      </c>
      <c r="K21" s="72">
        <v>481300</v>
      </c>
      <c r="L21" s="72">
        <v>23</v>
      </c>
      <c r="M21" s="72">
        <v>52607300</v>
      </c>
      <c r="N21" s="467">
        <f t="shared" si="0"/>
        <v>281</v>
      </c>
      <c r="O21" s="72">
        <f t="shared" si="1"/>
        <v>102096500</v>
      </c>
      <c r="P21" s="72"/>
      <c r="Q21" s="3" t="s">
        <v>466</v>
      </c>
      <c r="R21" s="3">
        <f t="shared" si="4"/>
        <v>63644</v>
      </c>
      <c r="S21" s="255">
        <f t="shared" si="2"/>
        <v>1</v>
      </c>
      <c r="T21" s="3">
        <f t="shared" si="5"/>
        <v>350348600</v>
      </c>
      <c r="U21" s="255">
        <f t="shared" si="3"/>
        <v>1</v>
      </c>
      <c r="V21" s="3">
        <f>W21/12</f>
        <v>23.416666666666668</v>
      </c>
      <c r="W21" s="3">
        <f>N21</f>
        <v>281</v>
      </c>
      <c r="X21" s="3">
        <f>O21</f>
        <v>102096500</v>
      </c>
      <c r="Y21" s="3">
        <f>X21/W21</f>
        <v>363332.74021352315</v>
      </c>
      <c r="Z21" s="255">
        <f>X21/$O$22</f>
        <v>0.29141403733310195</v>
      </c>
      <c r="AA21" s="255"/>
      <c r="AB21" s="3" t="s">
        <v>466</v>
      </c>
      <c r="AC21" s="3">
        <v>350348600</v>
      </c>
    </row>
    <row r="22" spans="1:29" x14ac:dyDescent="0.25">
      <c r="A22" s="3" t="s">
        <v>42</v>
      </c>
      <c r="B22" s="3">
        <f>SUM(B5:B21)</f>
        <v>62570</v>
      </c>
      <c r="C22" s="3">
        <f t="shared" ref="C22:M22" si="7">SUM(C5:C21)</f>
        <v>251347000</v>
      </c>
      <c r="D22" s="3">
        <f t="shared" si="7"/>
        <v>420</v>
      </c>
      <c r="E22" s="3">
        <f t="shared" si="7"/>
        <v>6589900</v>
      </c>
      <c r="F22" s="3">
        <f t="shared" si="7"/>
        <v>12</v>
      </c>
      <c r="G22" s="3">
        <f t="shared" si="7"/>
        <v>1262800</v>
      </c>
      <c r="H22" s="3">
        <f t="shared" si="7"/>
        <v>564</v>
      </c>
      <c r="I22" s="3">
        <f t="shared" si="7"/>
        <v>36951000</v>
      </c>
      <c r="J22" s="3">
        <f t="shared" si="7"/>
        <v>30</v>
      </c>
      <c r="K22" s="3">
        <f t="shared" si="7"/>
        <v>978700</v>
      </c>
      <c r="L22" s="3">
        <f t="shared" si="7"/>
        <v>48</v>
      </c>
      <c r="M22" s="3">
        <f t="shared" si="7"/>
        <v>53219200</v>
      </c>
      <c r="N22" s="3">
        <f>SUM(N5:N21)</f>
        <v>63644</v>
      </c>
      <c r="O22" s="3">
        <f>SUM(O5:O21)</f>
        <v>350348600</v>
      </c>
    </row>
    <row r="23" spans="1:29" x14ac:dyDescent="0.25">
      <c r="N23" s="466"/>
    </row>
    <row r="24" spans="1:29" ht="20.100000000000001" customHeight="1" x14ac:dyDescent="0.4">
      <c r="N24" s="466"/>
      <c r="U24" s="557"/>
      <c r="V24" s="558"/>
      <c r="W24" s="559" t="s">
        <v>315</v>
      </c>
      <c r="X24" s="559" t="s">
        <v>464</v>
      </c>
      <c r="Y24" s="560" t="s">
        <v>535</v>
      </c>
      <c r="Z24" s="560" t="s">
        <v>544</v>
      </c>
      <c r="AA24" s="561" t="s">
        <v>549</v>
      </c>
    </row>
    <row r="25" spans="1:29" x14ac:dyDescent="0.25">
      <c r="U25" s="562"/>
      <c r="V25" s="563" t="s">
        <v>535</v>
      </c>
      <c r="W25" s="564">
        <f>W7</f>
        <v>59788</v>
      </c>
      <c r="X25" s="564">
        <f>X7</f>
        <v>181646000</v>
      </c>
      <c r="Y25" s="564">
        <f>X25</f>
        <v>181646000</v>
      </c>
      <c r="Z25" s="564"/>
      <c r="AA25" s="565"/>
    </row>
    <row r="26" spans="1:29" ht="15.75" x14ac:dyDescent="0.25">
      <c r="B26"/>
      <c r="C26"/>
      <c r="D26"/>
      <c r="E26"/>
      <c r="U26" s="562"/>
      <c r="V26" s="563" t="s">
        <v>544</v>
      </c>
      <c r="W26" s="564">
        <f>W20</f>
        <v>3575</v>
      </c>
      <c r="X26" s="564">
        <f>X20</f>
        <v>66606100</v>
      </c>
      <c r="Y26" s="564">
        <f>W26*10000</f>
        <v>35750000</v>
      </c>
      <c r="Z26" s="564">
        <f>X26-Y26</f>
        <v>30856100</v>
      </c>
      <c r="AA26" s="565"/>
    </row>
    <row r="27" spans="1:29" ht="18" x14ac:dyDescent="0.4">
      <c r="B27"/>
      <c r="C27"/>
      <c r="D27"/>
      <c r="E27"/>
      <c r="U27" s="562"/>
      <c r="V27" s="563" t="s">
        <v>549</v>
      </c>
      <c r="W27" s="564">
        <f>W21</f>
        <v>281</v>
      </c>
      <c r="X27" s="566">
        <f>X21</f>
        <v>102096500</v>
      </c>
      <c r="Y27" s="566">
        <f>W27*10000</f>
        <v>2810000</v>
      </c>
      <c r="Z27" s="566">
        <f>W27*65000</f>
        <v>18265000</v>
      </c>
      <c r="AA27" s="567">
        <f>X27-Y27-Z27</f>
        <v>81021500</v>
      </c>
    </row>
    <row r="28" spans="1:29" ht="20.100000000000001" customHeight="1" x14ac:dyDescent="0.25">
      <c r="B28"/>
      <c r="C28"/>
      <c r="D28"/>
      <c r="E28"/>
      <c r="U28" s="568"/>
      <c r="V28" s="569"/>
      <c r="W28" s="569"/>
      <c r="X28" s="570">
        <f>SUM(X25:X27)</f>
        <v>350348600</v>
      </c>
      <c r="Y28" s="570">
        <f>SUM(Y25:Y27)</f>
        <v>220206000</v>
      </c>
      <c r="Z28" s="570">
        <f>SUM(Z25:Z27)</f>
        <v>49121100</v>
      </c>
      <c r="AA28" s="571">
        <f>SUM(AA25:AA27)</f>
        <v>81021500</v>
      </c>
    </row>
    <row r="29" spans="1:29" x14ac:dyDescent="0.25">
      <c r="C29" s="198"/>
    </row>
  </sheetData>
  <mergeCells count="9">
    <mergeCell ref="R3:U3"/>
    <mergeCell ref="W3:Y3"/>
    <mergeCell ref="B3:C3"/>
    <mergeCell ref="D3:E3"/>
    <mergeCell ref="H3:I3"/>
    <mergeCell ref="J3:K3"/>
    <mergeCell ref="L3:M3"/>
    <mergeCell ref="N3:O3"/>
    <mergeCell ref="F3:G3"/>
  </mergeCells>
  <printOptions horizontalCentered="1"/>
  <pageMargins left="0.7" right="0.7" top="1.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7"/>
  <sheetViews>
    <sheetView workbookViewId="0">
      <selection activeCell="A4" sqref="A4"/>
    </sheetView>
  </sheetViews>
  <sheetFormatPr defaultColWidth="8.88671875" defaultRowHeight="15" x14ac:dyDescent="0.25"/>
  <cols>
    <col min="1" max="1" width="8" style="1" customWidth="1"/>
    <col min="2" max="2" width="7.77734375" style="1" customWidth="1"/>
    <col min="3" max="3" width="7.21875" style="1" customWidth="1"/>
    <col min="4" max="7" width="10.77734375" style="1" customWidth="1"/>
    <col min="8" max="8" width="9.77734375" style="1" customWidth="1"/>
    <col min="9" max="9" width="11" style="1" customWidth="1"/>
    <col min="10" max="10" width="10.33203125" style="1" customWidth="1"/>
    <col min="11" max="11" width="5.21875" style="1" customWidth="1"/>
    <col min="12" max="16384" width="8.88671875" style="1"/>
  </cols>
  <sheetData>
    <row r="1" spans="1:12" ht="18.75" x14ac:dyDescent="0.3">
      <c r="A1" s="622" t="s">
        <v>157</v>
      </c>
      <c r="B1" s="622"/>
      <c r="C1" s="622"/>
      <c r="D1" s="622"/>
      <c r="E1" s="622"/>
      <c r="F1" s="622"/>
      <c r="G1" s="622"/>
      <c r="H1" s="622"/>
      <c r="I1" s="622"/>
      <c r="J1" s="622"/>
    </row>
    <row r="2" spans="1:12" ht="18.75" x14ac:dyDescent="0.25">
      <c r="A2" s="623" t="s">
        <v>167</v>
      </c>
      <c r="B2" s="623"/>
      <c r="C2" s="623"/>
      <c r="D2" s="623"/>
      <c r="E2" s="623"/>
      <c r="F2" s="623"/>
      <c r="G2" s="623"/>
      <c r="H2" s="623"/>
      <c r="I2" s="623"/>
      <c r="J2" s="623"/>
    </row>
    <row r="3" spans="1:12" ht="6.95" customHeight="1" x14ac:dyDescent="0.25"/>
    <row r="4" spans="1:12" x14ac:dyDescent="0.25">
      <c r="C4" s="80" t="s">
        <v>88</v>
      </c>
    </row>
    <row r="5" spans="1:12" x14ac:dyDescent="0.25">
      <c r="C5" s="142"/>
      <c r="D5" s="20"/>
      <c r="E5" s="11" t="s">
        <v>78</v>
      </c>
      <c r="F5" s="11" t="s">
        <v>48</v>
      </c>
      <c r="G5" s="11" t="s">
        <v>46</v>
      </c>
      <c r="H5" s="6"/>
      <c r="K5" s="148"/>
    </row>
    <row r="6" spans="1:12" x14ac:dyDescent="0.25">
      <c r="C6" s="1" t="s">
        <v>109</v>
      </c>
      <c r="E6" s="3">
        <f>C24</f>
        <v>62570</v>
      </c>
      <c r="F6" s="73">
        <f>D24</f>
        <v>251347000</v>
      </c>
      <c r="G6" s="75">
        <f>F33</f>
        <v>2443971.1310000001</v>
      </c>
      <c r="H6" s="75"/>
      <c r="K6" s="148"/>
    </row>
    <row r="7" spans="1:12" x14ac:dyDescent="0.25">
      <c r="C7" s="1" t="s">
        <v>110</v>
      </c>
      <c r="E7" s="3">
        <f>C41</f>
        <v>420</v>
      </c>
      <c r="F7" s="73">
        <f>D41</f>
        <v>6589900</v>
      </c>
      <c r="G7" s="3">
        <f>F48</f>
        <v>43341.767</v>
      </c>
      <c r="H7" s="3"/>
      <c r="K7" s="148"/>
    </row>
    <row r="8" spans="1:12" x14ac:dyDescent="0.25">
      <c r="C8" s="1" t="s">
        <v>153</v>
      </c>
      <c r="E8" s="3">
        <f>C55</f>
        <v>12</v>
      </c>
      <c r="F8" s="73">
        <f>D61</f>
        <v>1262800</v>
      </c>
      <c r="G8" s="3">
        <f>F61</f>
        <v>6085.996000000001</v>
      </c>
      <c r="H8" s="3"/>
      <c r="K8" s="148"/>
    </row>
    <row r="9" spans="1:12" x14ac:dyDescent="0.25">
      <c r="C9" s="1" t="s">
        <v>111</v>
      </c>
      <c r="E9" s="3">
        <f>C74</f>
        <v>564</v>
      </c>
      <c r="F9" s="73">
        <f>D74</f>
        <v>36951000</v>
      </c>
      <c r="G9" s="3">
        <f>F74</f>
        <v>202936.36199999999</v>
      </c>
      <c r="H9" s="3"/>
      <c r="K9" s="148"/>
    </row>
    <row r="10" spans="1:12" x14ac:dyDescent="0.25">
      <c r="C10" s="1" t="s">
        <v>187</v>
      </c>
      <c r="E10" s="3">
        <f>C81</f>
        <v>30</v>
      </c>
      <c r="F10" s="73">
        <f>D81</f>
        <v>978700</v>
      </c>
      <c r="G10" s="3">
        <f>F87</f>
        <v>7392.0640000000003</v>
      </c>
      <c r="H10" s="3"/>
      <c r="K10" s="148"/>
    </row>
    <row r="11" spans="1:12" ht="17.25" x14ac:dyDescent="0.4">
      <c r="C11" s="1" t="s">
        <v>188</v>
      </c>
      <c r="E11" s="72">
        <f>C94</f>
        <v>48</v>
      </c>
      <c r="F11" s="135">
        <f>D94</f>
        <v>53219200</v>
      </c>
      <c r="G11" s="72">
        <f>F100</f>
        <v>253100.36100000003</v>
      </c>
      <c r="H11" s="3"/>
      <c r="K11" s="148"/>
    </row>
    <row r="12" spans="1:12" x14ac:dyDescent="0.25">
      <c r="C12" s="1" t="s">
        <v>195</v>
      </c>
      <c r="E12" s="79">
        <f>SUM(E6:E11)</f>
        <v>63644</v>
      </c>
      <c r="F12" s="79">
        <f>SUM(F6:F11)</f>
        <v>350348600</v>
      </c>
      <c r="G12" s="139">
        <f>SUM(G6:G11)</f>
        <v>2956827.6809999999</v>
      </c>
      <c r="H12" s="4"/>
      <c r="I12" s="3"/>
      <c r="J12" s="79"/>
      <c r="K12" s="148"/>
    </row>
    <row r="13" spans="1:12" ht="17.25" x14ac:dyDescent="0.4">
      <c r="C13" s="1" t="s">
        <v>168</v>
      </c>
      <c r="F13" s="73">
        <f>B107*1000</f>
        <v>864915000</v>
      </c>
      <c r="G13" s="72">
        <f>D107</f>
        <v>2958009.3</v>
      </c>
      <c r="H13" s="72"/>
      <c r="I13" s="3"/>
      <c r="J13" s="148"/>
      <c r="K13" s="148"/>
    </row>
    <row r="14" spans="1:12" ht="20.100000000000001" customHeight="1" x14ac:dyDescent="0.25">
      <c r="C14" s="281" t="s">
        <v>194</v>
      </c>
      <c r="D14" s="282"/>
      <c r="E14" s="282"/>
      <c r="F14" s="168"/>
      <c r="G14" s="283">
        <f>G12+G13</f>
        <v>5914836.9809999997</v>
      </c>
      <c r="H14" s="139"/>
      <c r="I14" s="139"/>
      <c r="J14" s="150"/>
      <c r="K14" s="148"/>
    </row>
    <row r="15" spans="1:12" ht="6.95" customHeight="1" x14ac:dyDescent="0.4">
      <c r="D15" s="138"/>
      <c r="E15" s="138"/>
      <c r="F15" s="140"/>
      <c r="G15" s="141"/>
      <c r="H15" s="138"/>
      <c r="I15" s="139"/>
      <c r="J15" s="150"/>
      <c r="K15" s="148"/>
    </row>
    <row r="16" spans="1:12" ht="15.75" x14ac:dyDescent="0.25">
      <c r="A16" s="136" t="s">
        <v>106</v>
      </c>
      <c r="L16"/>
    </row>
    <row r="17" spans="1:12" ht="15.75" x14ac:dyDescent="0.25">
      <c r="E17" s="2" t="s">
        <v>49</v>
      </c>
      <c r="F17" s="2" t="s">
        <v>74</v>
      </c>
      <c r="G17" s="2" t="s">
        <v>74</v>
      </c>
      <c r="H17" s="2" t="s">
        <v>74</v>
      </c>
      <c r="I17" s="2" t="s">
        <v>50</v>
      </c>
      <c r="L17"/>
    </row>
    <row r="18" spans="1:12" ht="15.75" x14ac:dyDescent="0.25">
      <c r="B18" s="11" t="s">
        <v>51</v>
      </c>
      <c r="C18" s="12" t="s">
        <v>52</v>
      </c>
      <c r="D18" s="12" t="s">
        <v>53</v>
      </c>
      <c r="E18" s="12">
        <f>B19</f>
        <v>2000</v>
      </c>
      <c r="F18" s="12">
        <f>B20</f>
        <v>1500</v>
      </c>
      <c r="G18" s="12">
        <f>B21</f>
        <v>1500</v>
      </c>
      <c r="H18" s="12">
        <f>B22</f>
        <v>2500</v>
      </c>
      <c r="I18" s="12">
        <f>B23</f>
        <v>7500</v>
      </c>
      <c r="J18" s="11" t="s">
        <v>54</v>
      </c>
      <c r="L18"/>
    </row>
    <row r="19" spans="1:12" ht="15.75" x14ac:dyDescent="0.25">
      <c r="A19" s="13" t="s">
        <v>49</v>
      </c>
      <c r="B19" s="14">
        <v>2000</v>
      </c>
      <c r="C19" s="76">
        <f>20454+2290</f>
        <v>22744</v>
      </c>
      <c r="D19" s="76">
        <f>20080400+1673800</f>
        <v>21754200</v>
      </c>
      <c r="E19" s="76">
        <f>D19</f>
        <v>21754200</v>
      </c>
      <c r="F19" s="76">
        <v>0</v>
      </c>
      <c r="G19" s="76"/>
      <c r="H19" s="76"/>
      <c r="I19" s="76">
        <v>0</v>
      </c>
      <c r="J19" s="76">
        <f>SUM(E19:I19)</f>
        <v>21754200</v>
      </c>
      <c r="L19"/>
    </row>
    <row r="20" spans="1:12" ht="15.75" x14ac:dyDescent="0.25">
      <c r="A20" s="13" t="s">
        <v>74</v>
      </c>
      <c r="B20" s="14">
        <v>1500</v>
      </c>
      <c r="C20" s="76">
        <f>15480+564</f>
        <v>16044</v>
      </c>
      <c r="D20" s="76">
        <f>42888600+1519300</f>
        <v>44407900</v>
      </c>
      <c r="E20" s="76">
        <f>C20*E$18</f>
        <v>32088000</v>
      </c>
      <c r="F20" s="76">
        <f>D20-E20</f>
        <v>12319900</v>
      </c>
      <c r="G20" s="76"/>
      <c r="H20" s="76"/>
      <c r="I20" s="76">
        <v>0</v>
      </c>
      <c r="J20" s="76">
        <f>SUM(E20:I20)</f>
        <v>44407900</v>
      </c>
      <c r="L20"/>
    </row>
    <row r="21" spans="1:12" ht="15.75" x14ac:dyDescent="0.25">
      <c r="A21" s="13" t="s">
        <v>74</v>
      </c>
      <c r="B21" s="14">
        <v>1500</v>
      </c>
      <c r="C21" s="76">
        <f>9746+259</f>
        <v>10005</v>
      </c>
      <c r="D21" s="76">
        <f>41205400+1107900</f>
        <v>42313300</v>
      </c>
      <c r="E21" s="76">
        <f>C21*E$18</f>
        <v>20010000</v>
      </c>
      <c r="F21" s="76">
        <f>$C21*F$18</f>
        <v>15007500</v>
      </c>
      <c r="G21" s="76">
        <f>D21-(E21+F21)</f>
        <v>7295800</v>
      </c>
      <c r="H21" s="76"/>
      <c r="I21" s="76"/>
      <c r="J21" s="76">
        <f>SUM(E21:I21)</f>
        <v>42313300</v>
      </c>
      <c r="L21"/>
    </row>
    <row r="22" spans="1:12" ht="15.75" x14ac:dyDescent="0.25">
      <c r="A22" s="13" t="s">
        <v>74</v>
      </c>
      <c r="B22" s="14">
        <v>2500</v>
      </c>
      <c r="C22" s="76">
        <f>7411+227</f>
        <v>7638</v>
      </c>
      <c r="D22" s="76">
        <f>45233000+1384300</f>
        <v>46617300</v>
      </c>
      <c r="E22" s="76">
        <f>C22*E$18</f>
        <v>15276000</v>
      </c>
      <c r="F22" s="76">
        <f>$C22*F$18</f>
        <v>11457000</v>
      </c>
      <c r="G22" s="220">
        <f>$C22*G$18</f>
        <v>11457000</v>
      </c>
      <c r="H22" s="76">
        <f>D22-E22-F22-G22</f>
        <v>8427300</v>
      </c>
      <c r="I22" s="76"/>
      <c r="J22" s="76">
        <f>SUM(E22:I22)</f>
        <v>46617300</v>
      </c>
      <c r="L22"/>
    </row>
    <row r="23" spans="1:12" ht="15.75" x14ac:dyDescent="0.25">
      <c r="A23" s="13" t="s">
        <v>50</v>
      </c>
      <c r="B23" s="16">
        <v>7500</v>
      </c>
      <c r="C23" s="77">
        <f>5834+305</f>
        <v>6139</v>
      </c>
      <c r="D23" s="77">
        <f>90104100+6150200</f>
        <v>96254300</v>
      </c>
      <c r="E23" s="77">
        <f>C23*E$18</f>
        <v>12278000</v>
      </c>
      <c r="F23" s="77">
        <f>$C23*F$18</f>
        <v>9208500</v>
      </c>
      <c r="G23" s="77">
        <f>$C23*G$18</f>
        <v>9208500</v>
      </c>
      <c r="H23" s="77">
        <f>C23*H18</f>
        <v>15347500</v>
      </c>
      <c r="I23" s="77">
        <f>D23-(F23+E23+G23+H23)</f>
        <v>50211800</v>
      </c>
      <c r="J23" s="77">
        <f>SUM(E23:I23)</f>
        <v>96254300</v>
      </c>
      <c r="L23"/>
    </row>
    <row r="24" spans="1:12" ht="15.75" x14ac:dyDescent="0.25">
      <c r="A24" s="13"/>
      <c r="B24" s="14"/>
      <c r="C24" s="78">
        <f t="shared" ref="C24:J24" si="0">SUM(C19:C23)</f>
        <v>62570</v>
      </c>
      <c r="D24" s="78">
        <f t="shared" si="0"/>
        <v>251347000</v>
      </c>
      <c r="E24" s="78">
        <f t="shared" si="0"/>
        <v>101406200</v>
      </c>
      <c r="F24" s="78">
        <f t="shared" si="0"/>
        <v>47992900</v>
      </c>
      <c r="G24" s="78">
        <f t="shared" si="0"/>
        <v>27961300</v>
      </c>
      <c r="H24" s="78">
        <f t="shared" si="0"/>
        <v>23774800</v>
      </c>
      <c r="I24" s="78">
        <f t="shared" si="0"/>
        <v>50211800</v>
      </c>
      <c r="J24" s="78">
        <f t="shared" si="0"/>
        <v>251347000</v>
      </c>
      <c r="K24" s="79"/>
      <c r="L24"/>
    </row>
    <row r="25" spans="1:12" ht="15.75" x14ac:dyDescent="0.25">
      <c r="A25" s="13"/>
      <c r="B25" s="14"/>
      <c r="D25" s="14"/>
      <c r="E25" s="14"/>
      <c r="F25" s="14"/>
      <c r="G25" s="14"/>
      <c r="H25" s="14"/>
      <c r="I25" s="14"/>
      <c r="J25" s="14"/>
      <c r="L25"/>
    </row>
    <row r="26" spans="1:12" ht="15.75" x14ac:dyDescent="0.25">
      <c r="A26" s="18" t="s">
        <v>55</v>
      </c>
      <c r="B26" s="18"/>
      <c r="D26" s="14"/>
      <c r="E26" s="14"/>
      <c r="F26" s="14"/>
      <c r="G26" s="14"/>
      <c r="H26" s="14"/>
      <c r="I26" s="14"/>
      <c r="J26" s="14"/>
      <c r="L26"/>
    </row>
    <row r="27" spans="1:12" ht="15.75" x14ac:dyDescent="0.25">
      <c r="A27" s="13"/>
      <c r="B27" s="11"/>
      <c r="C27" s="12" t="s">
        <v>52</v>
      </c>
      <c r="D27" s="11" t="s">
        <v>53</v>
      </c>
      <c r="E27" s="12" t="s">
        <v>56</v>
      </c>
      <c r="F27" s="12" t="s">
        <v>57</v>
      </c>
      <c r="G27" s="14"/>
      <c r="H27" s="14"/>
      <c r="I27" s="14"/>
      <c r="J27" s="14"/>
      <c r="L27"/>
    </row>
    <row r="28" spans="1:12" ht="15.75" x14ac:dyDescent="0.25">
      <c r="A28" s="13" t="s">
        <v>49</v>
      </c>
      <c r="B28" s="14">
        <f>B19</f>
        <v>2000</v>
      </c>
      <c r="C28" s="15">
        <f>C24</f>
        <v>62570</v>
      </c>
      <c r="D28" s="76">
        <f>E24</f>
        <v>101406200</v>
      </c>
      <c r="E28" s="19">
        <v>24.22</v>
      </c>
      <c r="F28" s="9">
        <f>E28*C28</f>
        <v>1515445.4</v>
      </c>
      <c r="G28" s="14"/>
      <c r="J28" s="14"/>
      <c r="L28"/>
    </row>
    <row r="29" spans="1:12" ht="15.75" x14ac:dyDescent="0.25">
      <c r="A29" s="13" t="s">
        <v>74</v>
      </c>
      <c r="B29" s="14">
        <f>B20</f>
        <v>1500</v>
      </c>
      <c r="D29" s="76">
        <f>F24</f>
        <v>47992900</v>
      </c>
      <c r="E29" s="33">
        <v>7.7</v>
      </c>
      <c r="F29" s="3">
        <f>E29*(D29/1000)</f>
        <v>369545.33</v>
      </c>
      <c r="G29" s="14"/>
      <c r="J29" s="14"/>
      <c r="L29"/>
    </row>
    <row r="30" spans="1:12" ht="15.75" x14ac:dyDescent="0.25">
      <c r="A30" s="13" t="s">
        <v>74</v>
      </c>
      <c r="B30" s="14">
        <f>B21</f>
        <v>1500</v>
      </c>
      <c r="D30" s="76">
        <f>G24</f>
        <v>27961300</v>
      </c>
      <c r="E30" s="33">
        <v>6.87</v>
      </c>
      <c r="F30" s="3">
        <f>E30*(D30/1000)</f>
        <v>192094.13099999999</v>
      </c>
      <c r="G30" s="14"/>
      <c r="J30" s="14"/>
      <c r="L30"/>
    </row>
    <row r="31" spans="1:12" ht="15.75" x14ac:dyDescent="0.25">
      <c r="A31" s="13" t="s">
        <v>74</v>
      </c>
      <c r="B31" s="14">
        <v>2500</v>
      </c>
      <c r="D31" s="76">
        <f>H24</f>
        <v>23774800</v>
      </c>
      <c r="E31" s="33">
        <v>5.78</v>
      </c>
      <c r="F31" s="3">
        <f>E31*(D31/1000)</f>
        <v>137418.34400000001</v>
      </c>
      <c r="G31" s="14"/>
      <c r="J31" s="14"/>
      <c r="L31"/>
    </row>
    <row r="32" spans="1:12" x14ac:dyDescent="0.25">
      <c r="A32" s="13" t="s">
        <v>50</v>
      </c>
      <c r="B32" s="16">
        <f>B23</f>
        <v>7500</v>
      </c>
      <c r="C32" s="20"/>
      <c r="D32" s="77">
        <f>I24</f>
        <v>50211800</v>
      </c>
      <c r="E32" s="21">
        <v>4.57</v>
      </c>
      <c r="F32" s="82">
        <f>E32*(D32/1000)</f>
        <v>229467.92600000004</v>
      </c>
      <c r="G32" s="14"/>
      <c r="J32" s="14"/>
    </row>
    <row r="33" spans="1:11" x14ac:dyDescent="0.25">
      <c r="A33" s="13"/>
      <c r="B33" s="14" t="s">
        <v>54</v>
      </c>
      <c r="C33" s="3">
        <f>SUM(C28:C32)</f>
        <v>62570</v>
      </c>
      <c r="D33" s="78">
        <f>SUM(D28:D32)</f>
        <v>251347000</v>
      </c>
      <c r="F33" s="9">
        <f>SUM(F28:F32)</f>
        <v>2443971.1310000001</v>
      </c>
      <c r="G33" s="14"/>
      <c r="H33" s="14"/>
      <c r="I33" s="14"/>
      <c r="J33" s="14"/>
    </row>
    <row r="34" spans="1:11" x14ac:dyDescent="0.25">
      <c r="A34" s="13"/>
      <c r="B34" s="14"/>
      <c r="C34" s="3"/>
      <c r="D34" s="78"/>
      <c r="F34" s="9"/>
      <c r="G34" s="14"/>
      <c r="H34" s="14"/>
      <c r="I34" s="14"/>
      <c r="J34" s="14"/>
    </row>
    <row r="35" spans="1:11" ht="15.75" x14ac:dyDescent="0.25">
      <c r="A35" s="136" t="s">
        <v>107</v>
      </c>
    </row>
    <row r="36" spans="1:11" x14ac:dyDescent="0.25">
      <c r="E36" s="2" t="s">
        <v>49</v>
      </c>
      <c r="F36" s="2" t="s">
        <v>74</v>
      </c>
      <c r="G36" s="2" t="s">
        <v>50</v>
      </c>
      <c r="K36" s="3"/>
    </row>
    <row r="37" spans="1:11" x14ac:dyDescent="0.25">
      <c r="B37" s="11" t="s">
        <v>51</v>
      </c>
      <c r="C37" s="12" t="s">
        <v>52</v>
      </c>
      <c r="D37" s="12" t="s">
        <v>53</v>
      </c>
      <c r="E37" s="12">
        <f>B38</f>
        <v>5000</v>
      </c>
      <c r="F37" s="12">
        <f>B39</f>
        <v>2500</v>
      </c>
      <c r="G37" s="12">
        <f>B40</f>
        <v>7500</v>
      </c>
      <c r="H37" s="11" t="s">
        <v>54</v>
      </c>
      <c r="K37" s="3"/>
    </row>
    <row r="38" spans="1:11" x14ac:dyDescent="0.25">
      <c r="A38" s="13" t="s">
        <v>49</v>
      </c>
      <c r="B38" s="14">
        <v>5000</v>
      </c>
      <c r="C38" s="76">
        <f>58+121</f>
        <v>179</v>
      </c>
      <c r="D38" s="76">
        <f>115800+160800</f>
        <v>276600</v>
      </c>
      <c r="E38" s="76">
        <f>D38</f>
        <v>276600</v>
      </c>
      <c r="F38" s="76">
        <v>0</v>
      </c>
      <c r="G38" s="76">
        <v>0</v>
      </c>
      <c r="H38" s="76">
        <f>SUM(E38:G38)</f>
        <v>276600</v>
      </c>
      <c r="K38" s="3"/>
    </row>
    <row r="39" spans="1:11" x14ac:dyDescent="0.25">
      <c r="A39" s="13" t="s">
        <v>74</v>
      </c>
      <c r="B39" s="14">
        <v>2500</v>
      </c>
      <c r="C39" s="76">
        <f>29+22</f>
        <v>51</v>
      </c>
      <c r="D39" s="76">
        <f>176100+135500</f>
        <v>311600</v>
      </c>
      <c r="E39" s="76">
        <f>$C39*E$37</f>
        <v>255000</v>
      </c>
      <c r="F39" s="76">
        <f>D39-E39</f>
        <v>56600</v>
      </c>
      <c r="G39" s="76">
        <v>0</v>
      </c>
      <c r="H39" s="76">
        <f>SUM(E39:G39)</f>
        <v>311600</v>
      </c>
      <c r="K39" s="3"/>
    </row>
    <row r="40" spans="1:11" x14ac:dyDescent="0.25">
      <c r="A40" s="13" t="s">
        <v>50</v>
      </c>
      <c r="B40" s="16">
        <v>7500</v>
      </c>
      <c r="C40" s="77">
        <f>33+157</f>
        <v>190</v>
      </c>
      <c r="D40" s="77">
        <f>506000+5495700</f>
        <v>6001700</v>
      </c>
      <c r="E40" s="77">
        <f>$C40*E$37</f>
        <v>950000</v>
      </c>
      <c r="F40" s="77">
        <f>$C40*F$37</f>
        <v>475000</v>
      </c>
      <c r="G40" s="77">
        <f>D40-(F40+E40)</f>
        <v>4576700</v>
      </c>
      <c r="H40" s="77">
        <f>SUM(E40:G40)</f>
        <v>6001700</v>
      </c>
      <c r="K40" s="3"/>
    </row>
    <row r="41" spans="1:11" x14ac:dyDescent="0.25">
      <c r="A41" s="13"/>
      <c r="B41" s="14"/>
      <c r="C41" s="78">
        <f t="shared" ref="C41:H41" si="1">SUM(C38:C40)</f>
        <v>420</v>
      </c>
      <c r="D41" s="78">
        <f t="shared" si="1"/>
        <v>6589900</v>
      </c>
      <c r="E41" s="78">
        <f t="shared" si="1"/>
        <v>1481600</v>
      </c>
      <c r="F41" s="78">
        <f t="shared" si="1"/>
        <v>531600</v>
      </c>
      <c r="G41" s="78">
        <f t="shared" si="1"/>
        <v>4576700</v>
      </c>
      <c r="H41" s="78">
        <f t="shared" si="1"/>
        <v>6589900</v>
      </c>
      <c r="K41" s="3"/>
    </row>
    <row r="42" spans="1:11" x14ac:dyDescent="0.25">
      <c r="A42" s="13"/>
      <c r="B42" s="14"/>
      <c r="D42" s="14"/>
      <c r="E42" s="14"/>
      <c r="F42" s="14"/>
      <c r="G42" s="14"/>
      <c r="H42" s="14"/>
      <c r="I42" s="14"/>
      <c r="J42" s="14"/>
    </row>
    <row r="43" spans="1:11" x14ac:dyDescent="0.25">
      <c r="A43" s="18" t="s">
        <v>55</v>
      </c>
      <c r="B43" s="18"/>
      <c r="D43" s="14"/>
      <c r="E43" s="14"/>
      <c r="F43" s="14"/>
      <c r="G43" s="14"/>
      <c r="H43" s="14"/>
      <c r="I43" s="14"/>
      <c r="J43" s="14"/>
    </row>
    <row r="44" spans="1:11" x14ac:dyDescent="0.25">
      <c r="A44" s="13"/>
      <c r="B44" s="11"/>
      <c r="C44" s="12" t="s">
        <v>52</v>
      </c>
      <c r="D44" s="11" t="s">
        <v>53</v>
      </c>
      <c r="E44" s="12" t="s">
        <v>56</v>
      </c>
      <c r="F44" s="12" t="s">
        <v>57</v>
      </c>
      <c r="G44" s="14"/>
      <c r="H44" s="14"/>
      <c r="I44" s="14"/>
      <c r="J44" s="14"/>
    </row>
    <row r="45" spans="1:11" x14ac:dyDescent="0.25">
      <c r="A45" s="13" t="s">
        <v>49</v>
      </c>
      <c r="B45" s="14">
        <f>B38</f>
        <v>5000</v>
      </c>
      <c r="C45" s="15">
        <f>C41</f>
        <v>420</v>
      </c>
      <c r="D45" s="76">
        <f>E41</f>
        <v>1481600</v>
      </c>
      <c r="E45" s="19">
        <v>46.08</v>
      </c>
      <c r="F45" s="9">
        <f>E45*C45</f>
        <v>19353.599999999999</v>
      </c>
      <c r="G45" s="14"/>
      <c r="J45" s="14"/>
    </row>
    <row r="46" spans="1:11" x14ac:dyDescent="0.25">
      <c r="A46" s="13" t="s">
        <v>74</v>
      </c>
      <c r="B46" s="14">
        <f>B39</f>
        <v>2500</v>
      </c>
      <c r="D46" s="76">
        <f>F41</f>
        <v>531600</v>
      </c>
      <c r="E46" s="33">
        <v>5.78</v>
      </c>
      <c r="F46" s="3">
        <f>E46*(D46/1000)</f>
        <v>3072.6480000000001</v>
      </c>
      <c r="G46" s="14"/>
      <c r="J46" s="14"/>
    </row>
    <row r="47" spans="1:11" x14ac:dyDescent="0.25">
      <c r="A47" s="13" t="s">
        <v>50</v>
      </c>
      <c r="B47" s="16">
        <f>B40</f>
        <v>7500</v>
      </c>
      <c r="C47" s="20"/>
      <c r="D47" s="77">
        <f>G41</f>
        <v>4576700</v>
      </c>
      <c r="E47" s="21">
        <v>4.57</v>
      </c>
      <c r="F47" s="82">
        <f>E47*(D47/1000)</f>
        <v>20915.519</v>
      </c>
      <c r="G47" s="14"/>
      <c r="J47" s="14"/>
    </row>
    <row r="48" spans="1:11" x14ac:dyDescent="0.25">
      <c r="A48" s="13"/>
      <c r="B48" s="14" t="s">
        <v>54</v>
      </c>
      <c r="C48" s="3">
        <f>SUM(C45:C47)</f>
        <v>420</v>
      </c>
      <c r="D48" s="78">
        <f>SUM(D45:D47)</f>
        <v>6589900</v>
      </c>
      <c r="F48" s="9">
        <f>SUM(F45:F47)</f>
        <v>43341.767</v>
      </c>
      <c r="G48" s="14"/>
      <c r="H48" s="14"/>
      <c r="I48" s="14"/>
      <c r="J48" s="14"/>
    </row>
    <row r="49" spans="1:11" x14ac:dyDescent="0.25">
      <c r="A49" s="13"/>
      <c r="B49" s="14"/>
      <c r="C49" s="3"/>
      <c r="D49" s="78"/>
      <c r="F49" s="9"/>
      <c r="G49" s="14"/>
      <c r="H49" s="14"/>
      <c r="I49" s="14"/>
      <c r="J49" s="14"/>
    </row>
    <row r="50" spans="1:11" ht="15.75" x14ac:dyDescent="0.25">
      <c r="A50" s="136" t="s">
        <v>152</v>
      </c>
      <c r="J50" s="14"/>
    </row>
    <row r="51" spans="1:11" x14ac:dyDescent="0.25">
      <c r="E51" s="2" t="s">
        <v>49</v>
      </c>
      <c r="F51" s="2" t="s">
        <v>50</v>
      </c>
      <c r="H51" s="14"/>
      <c r="K51" s="3"/>
    </row>
    <row r="52" spans="1:11" x14ac:dyDescent="0.25">
      <c r="B52" s="180" t="s">
        <v>51</v>
      </c>
      <c r="C52" s="12" t="s">
        <v>52</v>
      </c>
      <c r="D52" s="12" t="s">
        <v>53</v>
      </c>
      <c r="E52" s="12">
        <f>B53</f>
        <v>10000</v>
      </c>
      <c r="F52" s="12">
        <f>B54</f>
        <v>10000</v>
      </c>
      <c r="G52" s="180" t="s">
        <v>54</v>
      </c>
      <c r="H52" s="14"/>
      <c r="K52" s="3"/>
    </row>
    <row r="53" spans="1:11" x14ac:dyDescent="0.25">
      <c r="A53" s="13" t="s">
        <v>49</v>
      </c>
      <c r="B53" s="14">
        <v>10000</v>
      </c>
      <c r="C53" s="76">
        <v>0</v>
      </c>
      <c r="D53" s="76">
        <v>0</v>
      </c>
      <c r="E53" s="76">
        <f>D53</f>
        <v>0</v>
      </c>
      <c r="F53" s="76">
        <v>0</v>
      </c>
      <c r="G53" s="76">
        <f>SUM(E53:F53)</f>
        <v>0</v>
      </c>
      <c r="H53" s="14"/>
      <c r="K53" s="3"/>
    </row>
    <row r="54" spans="1:11" x14ac:dyDescent="0.25">
      <c r="A54" s="13" t="s">
        <v>50</v>
      </c>
      <c r="B54" s="16">
        <v>10000</v>
      </c>
      <c r="C54" s="77">
        <v>12</v>
      </c>
      <c r="D54" s="77">
        <v>1262800</v>
      </c>
      <c r="E54" s="77">
        <f>$C54*E$52</f>
        <v>120000</v>
      </c>
      <c r="F54" s="77">
        <f>D54-E54</f>
        <v>1142800</v>
      </c>
      <c r="G54" s="77">
        <f>SUM(E54:F54)</f>
        <v>1262800</v>
      </c>
      <c r="H54" s="14"/>
      <c r="K54" s="3"/>
    </row>
    <row r="55" spans="1:11" x14ac:dyDescent="0.25">
      <c r="A55" s="13"/>
      <c r="B55" s="14"/>
      <c r="C55" s="78">
        <f>SUM(C53:C54)</f>
        <v>12</v>
      </c>
      <c r="D55" s="78">
        <f>SUM(D53:D54)</f>
        <v>1262800</v>
      </c>
      <c r="E55" s="78">
        <f>SUM(E53:E54)</f>
        <v>120000</v>
      </c>
      <c r="F55" s="78">
        <f>SUM(F53:F54)</f>
        <v>1142800</v>
      </c>
      <c r="G55" s="78">
        <f>SUM(G53:G54)</f>
        <v>1262800</v>
      </c>
      <c r="H55" s="14"/>
      <c r="K55" s="3"/>
    </row>
    <row r="56" spans="1:11" x14ac:dyDescent="0.25">
      <c r="A56" s="13"/>
      <c r="B56" s="14"/>
      <c r="D56" s="14"/>
      <c r="E56" s="14"/>
      <c r="F56" s="14"/>
      <c r="G56" s="14"/>
      <c r="H56" s="14"/>
      <c r="I56" s="14"/>
      <c r="J56" s="14"/>
    </row>
    <row r="57" spans="1:11" x14ac:dyDescent="0.25">
      <c r="A57" s="18" t="s">
        <v>55</v>
      </c>
      <c r="B57" s="18"/>
      <c r="D57" s="14"/>
      <c r="E57" s="14"/>
      <c r="F57" s="14"/>
      <c r="G57" s="14"/>
      <c r="H57" s="14"/>
      <c r="I57" s="14"/>
      <c r="J57" s="14"/>
    </row>
    <row r="58" spans="1:11" x14ac:dyDescent="0.25">
      <c r="A58" s="13"/>
      <c r="B58" s="180"/>
      <c r="C58" s="12" t="s">
        <v>52</v>
      </c>
      <c r="D58" s="180" t="s">
        <v>53</v>
      </c>
      <c r="E58" s="12" t="s">
        <v>56</v>
      </c>
      <c r="F58" s="12" t="s">
        <v>57</v>
      </c>
      <c r="G58" s="14"/>
      <c r="H58" s="14"/>
      <c r="I58" s="14"/>
      <c r="J58" s="14"/>
    </row>
    <row r="59" spans="1:11" x14ac:dyDescent="0.25">
      <c r="A59" s="13" t="s">
        <v>49</v>
      </c>
      <c r="B59" s="14">
        <f>B53</f>
        <v>10000</v>
      </c>
      <c r="C59" s="15">
        <f>C55</f>
        <v>12</v>
      </c>
      <c r="D59" s="76">
        <f>E55</f>
        <v>120000</v>
      </c>
      <c r="E59" s="19">
        <v>71.95</v>
      </c>
      <c r="F59" s="9">
        <f>E59*C59</f>
        <v>863.40000000000009</v>
      </c>
      <c r="G59" s="14"/>
      <c r="J59" s="14"/>
    </row>
    <row r="60" spans="1:11" x14ac:dyDescent="0.25">
      <c r="A60" s="13" t="s">
        <v>50</v>
      </c>
      <c r="B60" s="16">
        <f>B54</f>
        <v>10000</v>
      </c>
      <c r="C60" s="20"/>
      <c r="D60" s="77">
        <f>F55</f>
        <v>1142800</v>
      </c>
      <c r="E60" s="21">
        <v>4.57</v>
      </c>
      <c r="F60" s="82">
        <f>E60*(D60/1000)</f>
        <v>5222.5960000000005</v>
      </c>
      <c r="G60" s="14"/>
      <c r="J60" s="14"/>
    </row>
    <row r="61" spans="1:11" x14ac:dyDescent="0.25">
      <c r="A61" s="13"/>
      <c r="B61" s="14" t="s">
        <v>54</v>
      </c>
      <c r="C61" s="3">
        <f>SUM(C59:C60)</f>
        <v>12</v>
      </c>
      <c r="D61" s="78">
        <f>SUM(D59:D60)</f>
        <v>1262800</v>
      </c>
      <c r="F61" s="9">
        <f>SUM(F59:F60)</f>
        <v>6085.996000000001</v>
      </c>
      <c r="G61" s="14"/>
      <c r="H61" s="14"/>
      <c r="I61" s="14"/>
      <c r="J61" s="14"/>
    </row>
    <row r="62" spans="1:11" x14ac:dyDescent="0.25">
      <c r="A62" s="13"/>
      <c r="B62" s="14"/>
      <c r="C62" s="22"/>
      <c r="D62" s="78"/>
      <c r="F62" s="19"/>
      <c r="G62" s="14"/>
      <c r="H62" s="14"/>
      <c r="I62" s="14"/>
      <c r="J62" s="14"/>
    </row>
    <row r="63" spans="1:11" ht="15.75" x14ac:dyDescent="0.25">
      <c r="A63" s="136" t="s">
        <v>108</v>
      </c>
    </row>
    <row r="64" spans="1:11" x14ac:dyDescent="0.25">
      <c r="E64" s="2" t="s">
        <v>49</v>
      </c>
      <c r="F64" s="2" t="s">
        <v>50</v>
      </c>
    </row>
    <row r="65" spans="1:8" x14ac:dyDescent="0.25">
      <c r="B65" s="180" t="s">
        <v>51</v>
      </c>
      <c r="C65" s="12" t="s">
        <v>52</v>
      </c>
      <c r="D65" s="12" t="s">
        <v>53</v>
      </c>
      <c r="E65" s="12">
        <f>B66</f>
        <v>20000</v>
      </c>
      <c r="F65" s="12">
        <f>B67</f>
        <v>20000</v>
      </c>
      <c r="G65" s="180" t="s">
        <v>54</v>
      </c>
    </row>
    <row r="66" spans="1:8" x14ac:dyDescent="0.25">
      <c r="A66" s="13" t="s">
        <v>49</v>
      </c>
      <c r="B66" s="14">
        <v>20000</v>
      </c>
      <c r="C66" s="76">
        <f>106+196</f>
        <v>302</v>
      </c>
      <c r="D66" s="76">
        <f>672700+1151700</f>
        <v>1824400</v>
      </c>
      <c r="E66" s="76">
        <f>D66</f>
        <v>1824400</v>
      </c>
      <c r="F66" s="76">
        <f>D66-E66</f>
        <v>0</v>
      </c>
      <c r="G66" s="76">
        <f>SUM(E66:F66)</f>
        <v>1824400</v>
      </c>
    </row>
    <row r="67" spans="1:8" x14ac:dyDescent="0.25">
      <c r="A67" s="13" t="s">
        <v>50</v>
      </c>
      <c r="B67" s="16">
        <v>20000</v>
      </c>
      <c r="C67" s="77">
        <f>14+248</f>
        <v>262</v>
      </c>
      <c r="D67" s="77">
        <f>627500+34499100</f>
        <v>35126600</v>
      </c>
      <c r="E67" s="77">
        <f>$C67*E$65</f>
        <v>5240000</v>
      </c>
      <c r="F67" s="77">
        <f>D67-E67</f>
        <v>29886600</v>
      </c>
      <c r="G67" s="77">
        <f>SUM(E67:F67)</f>
        <v>35126600</v>
      </c>
    </row>
    <row r="68" spans="1:8" x14ac:dyDescent="0.25">
      <c r="A68" s="13"/>
      <c r="B68" s="14"/>
      <c r="C68" s="78">
        <f>SUM(C66:C67)</f>
        <v>564</v>
      </c>
      <c r="D68" s="78">
        <f>SUM(D66:D67)</f>
        <v>36951000</v>
      </c>
      <c r="E68" s="78">
        <f>SUM(E66:E67)</f>
        <v>7064400</v>
      </c>
      <c r="F68" s="78">
        <f>SUM(F66:F67)</f>
        <v>29886600</v>
      </c>
      <c r="G68" s="78">
        <f>SUM(G66:G67)</f>
        <v>36951000</v>
      </c>
    </row>
    <row r="69" spans="1:8" x14ac:dyDescent="0.25">
      <c r="A69" s="13"/>
      <c r="B69" s="14"/>
      <c r="D69" s="14"/>
      <c r="E69" s="14"/>
      <c r="F69" s="14"/>
      <c r="G69" s="14"/>
      <c r="H69" s="14"/>
    </row>
    <row r="70" spans="1:8" x14ac:dyDescent="0.25">
      <c r="A70" s="18" t="s">
        <v>55</v>
      </c>
      <c r="B70" s="18"/>
      <c r="D70" s="14"/>
      <c r="E70" s="14"/>
      <c r="F70" s="14"/>
      <c r="G70" s="14"/>
      <c r="H70" s="14"/>
    </row>
    <row r="71" spans="1:8" x14ac:dyDescent="0.25">
      <c r="A71" s="13"/>
      <c r="B71" s="180"/>
      <c r="C71" s="12" t="s">
        <v>52</v>
      </c>
      <c r="D71" s="180" t="s">
        <v>53</v>
      </c>
      <c r="E71" s="12" t="s">
        <v>56</v>
      </c>
      <c r="F71" s="12" t="s">
        <v>57</v>
      </c>
      <c r="G71" s="14"/>
      <c r="H71" s="14"/>
    </row>
    <row r="72" spans="1:8" x14ac:dyDescent="0.25">
      <c r="A72" s="13" t="s">
        <v>49</v>
      </c>
      <c r="B72" s="14">
        <f>B66</f>
        <v>20000</v>
      </c>
      <c r="C72" s="15">
        <f>C68</f>
        <v>564</v>
      </c>
      <c r="D72" s="76">
        <f>E68</f>
        <v>7064400</v>
      </c>
      <c r="E72" s="19">
        <v>117.65</v>
      </c>
      <c r="F72" s="9">
        <f>E72*C72</f>
        <v>66354.600000000006</v>
      </c>
      <c r="G72" s="14"/>
    </row>
    <row r="73" spans="1:8" x14ac:dyDescent="0.25">
      <c r="A73" s="13" t="s">
        <v>50</v>
      </c>
      <c r="B73" s="16">
        <f>B67</f>
        <v>20000</v>
      </c>
      <c r="C73" s="20"/>
      <c r="D73" s="77">
        <f>F68</f>
        <v>29886600</v>
      </c>
      <c r="E73" s="21">
        <v>4.57</v>
      </c>
      <c r="F73" s="82">
        <f>E73*(D73/1000)</f>
        <v>136581.76199999999</v>
      </c>
      <c r="G73" s="14"/>
    </row>
    <row r="74" spans="1:8" x14ac:dyDescent="0.25">
      <c r="A74" s="13"/>
      <c r="B74" s="14" t="s">
        <v>54</v>
      </c>
      <c r="C74" s="3">
        <f>SUM(C72:C73)</f>
        <v>564</v>
      </c>
      <c r="D74" s="78">
        <f>SUM(D72:D73)</f>
        <v>36951000</v>
      </c>
      <c r="F74" s="9">
        <f>SUM(F72:F73)</f>
        <v>202936.36199999999</v>
      </c>
      <c r="G74" s="14"/>
      <c r="H74" s="14"/>
    </row>
    <row r="76" spans="1:8" ht="15.75" x14ac:dyDescent="0.25">
      <c r="A76" s="136" t="s">
        <v>185</v>
      </c>
    </row>
    <row r="77" spans="1:8" x14ac:dyDescent="0.25">
      <c r="E77" s="2" t="s">
        <v>49</v>
      </c>
      <c r="F77" s="2" t="s">
        <v>50</v>
      </c>
    </row>
    <row r="78" spans="1:8" x14ac:dyDescent="0.25">
      <c r="B78" s="200" t="s">
        <v>51</v>
      </c>
      <c r="C78" s="12" t="s">
        <v>52</v>
      </c>
      <c r="D78" s="12" t="s">
        <v>53</v>
      </c>
      <c r="E78" s="12">
        <f>B79</f>
        <v>30000</v>
      </c>
      <c r="F78" s="12">
        <f>B80</f>
        <v>30000</v>
      </c>
      <c r="G78" s="200" t="s">
        <v>54</v>
      </c>
    </row>
    <row r="79" spans="1:8" x14ac:dyDescent="0.25">
      <c r="A79" s="13" t="s">
        <v>49</v>
      </c>
      <c r="B79" s="14">
        <v>30000</v>
      </c>
      <c r="C79" s="76">
        <f>6+15</f>
        <v>21</v>
      </c>
      <c r="D79" s="76">
        <f>71300+92200</f>
        <v>163500</v>
      </c>
      <c r="E79" s="76">
        <f>D79</f>
        <v>163500</v>
      </c>
      <c r="F79" s="76">
        <f>D79-E79</f>
        <v>0</v>
      </c>
      <c r="G79" s="76">
        <f>SUM(E79:F79)</f>
        <v>163500</v>
      </c>
    </row>
    <row r="80" spans="1:8" x14ac:dyDescent="0.25">
      <c r="A80" s="13" t="s">
        <v>50</v>
      </c>
      <c r="B80" s="16">
        <v>30000</v>
      </c>
      <c r="C80" s="77">
        <f>6+3</f>
        <v>9</v>
      </c>
      <c r="D80" s="77">
        <f>675900+139300</f>
        <v>815200</v>
      </c>
      <c r="E80" s="77">
        <f>$C80*E78</f>
        <v>270000</v>
      </c>
      <c r="F80" s="77">
        <f>D80-E80</f>
        <v>545200</v>
      </c>
      <c r="G80" s="77">
        <f>SUM(E80:F80)</f>
        <v>815200</v>
      </c>
    </row>
    <row r="81" spans="1:7" x14ac:dyDescent="0.25">
      <c r="A81" s="13"/>
      <c r="B81" s="14"/>
      <c r="C81" s="78">
        <f>SUM(C79:C80)</f>
        <v>30</v>
      </c>
      <c r="D81" s="78">
        <f>SUM(D79:D80)</f>
        <v>978700</v>
      </c>
      <c r="E81" s="78">
        <f>SUM(E79:E80)</f>
        <v>433500</v>
      </c>
      <c r="F81" s="78">
        <f>SUM(F79:F80)</f>
        <v>545200</v>
      </c>
      <c r="G81" s="78">
        <f>SUM(G79:G80)</f>
        <v>978700</v>
      </c>
    </row>
    <row r="82" spans="1:7" x14ac:dyDescent="0.25">
      <c r="A82" s="13"/>
      <c r="B82" s="14"/>
      <c r="D82" s="14"/>
      <c r="E82" s="14"/>
      <c r="F82" s="14"/>
      <c r="G82" s="14"/>
    </row>
    <row r="83" spans="1:7" x14ac:dyDescent="0.25">
      <c r="A83" s="18" t="s">
        <v>55</v>
      </c>
      <c r="B83" s="18"/>
      <c r="D83" s="14"/>
      <c r="E83" s="14"/>
      <c r="F83" s="14"/>
      <c r="G83" s="14"/>
    </row>
    <row r="84" spans="1:7" x14ac:dyDescent="0.25">
      <c r="A84" s="13"/>
      <c r="B84" s="200"/>
      <c r="C84" s="12" t="s">
        <v>52</v>
      </c>
      <c r="D84" s="200" t="s">
        <v>53</v>
      </c>
      <c r="E84" s="12" t="s">
        <v>56</v>
      </c>
      <c r="F84" s="12" t="s">
        <v>57</v>
      </c>
      <c r="G84" s="14"/>
    </row>
    <row r="85" spans="1:7" x14ac:dyDescent="0.25">
      <c r="A85" s="13" t="s">
        <v>49</v>
      </c>
      <c r="B85" s="14">
        <f>B79</f>
        <v>30000</v>
      </c>
      <c r="C85" s="15">
        <f>C81</f>
        <v>30</v>
      </c>
      <c r="D85" s="76">
        <f>E81</f>
        <v>433500</v>
      </c>
      <c r="E85" s="19">
        <v>163.35</v>
      </c>
      <c r="F85" s="9">
        <f>E85*C85</f>
        <v>4900.5</v>
      </c>
      <c r="G85" s="14"/>
    </row>
    <row r="86" spans="1:7" x14ac:dyDescent="0.25">
      <c r="A86" s="13" t="s">
        <v>50</v>
      </c>
      <c r="B86" s="16">
        <f>B80</f>
        <v>30000</v>
      </c>
      <c r="C86" s="20"/>
      <c r="D86" s="77">
        <f>F81</f>
        <v>545200</v>
      </c>
      <c r="E86" s="21">
        <v>4.57</v>
      </c>
      <c r="F86" s="82">
        <f>E86*(D86/1000)</f>
        <v>2491.5640000000003</v>
      </c>
      <c r="G86" s="14"/>
    </row>
    <row r="87" spans="1:7" x14ac:dyDescent="0.25">
      <c r="A87" s="13"/>
      <c r="B87" s="14" t="s">
        <v>54</v>
      </c>
      <c r="C87" s="3">
        <f>SUM(C85:C86)</f>
        <v>30</v>
      </c>
      <c r="D87" s="78">
        <f>SUM(D85:D86)</f>
        <v>978700</v>
      </c>
      <c r="F87" s="9">
        <f>SUM(F85:F86)</f>
        <v>7392.0640000000003</v>
      </c>
      <c r="G87" s="14"/>
    </row>
    <row r="89" spans="1:7" ht="15.75" x14ac:dyDescent="0.25">
      <c r="A89" s="136" t="s">
        <v>186</v>
      </c>
      <c r="F89" s="78"/>
    </row>
    <row r="90" spans="1:7" x14ac:dyDescent="0.25">
      <c r="E90" s="2" t="s">
        <v>49</v>
      </c>
      <c r="F90" s="2" t="s">
        <v>50</v>
      </c>
    </row>
    <row r="91" spans="1:7" x14ac:dyDescent="0.25">
      <c r="B91" s="200" t="s">
        <v>51</v>
      </c>
      <c r="C91" s="12" t="s">
        <v>52</v>
      </c>
      <c r="D91" s="12" t="s">
        <v>53</v>
      </c>
      <c r="E91" s="12">
        <f>B92</f>
        <v>100000</v>
      </c>
      <c r="F91" s="12">
        <f>B93</f>
        <v>100000</v>
      </c>
      <c r="G91" s="200" t="s">
        <v>54</v>
      </c>
    </row>
    <row r="92" spans="1:7" x14ac:dyDescent="0.25">
      <c r="A92" s="13" t="s">
        <v>49</v>
      </c>
      <c r="B92" s="14">
        <v>100000</v>
      </c>
      <c r="C92" s="76">
        <v>25</v>
      </c>
      <c r="D92" s="76">
        <v>611900</v>
      </c>
      <c r="E92" s="76">
        <f>D92</f>
        <v>611900</v>
      </c>
      <c r="F92" s="76">
        <f>D92-E92</f>
        <v>0</v>
      </c>
      <c r="G92" s="76">
        <f>SUM(E92:F92)</f>
        <v>611900</v>
      </c>
    </row>
    <row r="93" spans="1:7" x14ac:dyDescent="0.25">
      <c r="A93" s="13" t="s">
        <v>50</v>
      </c>
      <c r="B93" s="16">
        <v>100000</v>
      </c>
      <c r="C93" s="77">
        <v>23</v>
      </c>
      <c r="D93" s="77">
        <v>52607300</v>
      </c>
      <c r="E93" s="77">
        <f>$C93*E91</f>
        <v>2300000</v>
      </c>
      <c r="F93" s="77">
        <f>D93-E93</f>
        <v>50307300</v>
      </c>
      <c r="G93" s="77">
        <f>SUM(E93:F93)</f>
        <v>52607300</v>
      </c>
    </row>
    <row r="94" spans="1:7" x14ac:dyDescent="0.25">
      <c r="A94" s="13"/>
      <c r="B94" s="14"/>
      <c r="C94" s="78">
        <f>SUM(C92:C93)</f>
        <v>48</v>
      </c>
      <c r="D94" s="78">
        <f>SUM(D92:D93)</f>
        <v>53219200</v>
      </c>
      <c r="E94" s="78">
        <f>SUM(E92:E93)</f>
        <v>2911900</v>
      </c>
      <c r="F94" s="78">
        <f>SUM(F92:F93)</f>
        <v>50307300</v>
      </c>
      <c r="G94" s="78">
        <f>SUM(G92:G93)</f>
        <v>53219200</v>
      </c>
    </row>
    <row r="95" spans="1:7" x14ac:dyDescent="0.25">
      <c r="A95" s="13"/>
      <c r="B95" s="14"/>
      <c r="D95" s="14"/>
      <c r="E95" s="14"/>
      <c r="F95" s="14"/>
      <c r="G95" s="14"/>
    </row>
    <row r="96" spans="1:7" x14ac:dyDescent="0.25">
      <c r="A96" s="18" t="s">
        <v>55</v>
      </c>
      <c r="B96" s="18"/>
      <c r="D96" s="14"/>
      <c r="E96" s="14"/>
      <c r="F96" s="14"/>
      <c r="G96" s="14"/>
    </row>
    <row r="97" spans="1:7" x14ac:dyDescent="0.25">
      <c r="A97" s="13"/>
      <c r="B97" s="200"/>
      <c r="C97" s="12" t="s">
        <v>52</v>
      </c>
      <c r="D97" s="200" t="s">
        <v>53</v>
      </c>
      <c r="E97" s="12" t="s">
        <v>56</v>
      </c>
      <c r="F97" s="12" t="s">
        <v>57</v>
      </c>
      <c r="G97" s="14"/>
    </row>
    <row r="98" spans="1:7" x14ac:dyDescent="0.25">
      <c r="A98" s="13" t="s">
        <v>49</v>
      </c>
      <c r="B98" s="14">
        <f>B92</f>
        <v>100000</v>
      </c>
      <c r="C98" s="15">
        <f>C94</f>
        <v>48</v>
      </c>
      <c r="D98" s="76">
        <f>E94</f>
        <v>2911900</v>
      </c>
      <c r="E98" s="19">
        <v>483.25</v>
      </c>
      <c r="F98" s="9">
        <f>E98*C98</f>
        <v>23196</v>
      </c>
      <c r="G98" s="14"/>
    </row>
    <row r="99" spans="1:7" x14ac:dyDescent="0.25">
      <c r="A99" s="13" t="s">
        <v>50</v>
      </c>
      <c r="B99" s="16">
        <f>B93</f>
        <v>100000</v>
      </c>
      <c r="C99" s="20"/>
      <c r="D99" s="77">
        <f>F94</f>
        <v>50307300</v>
      </c>
      <c r="E99" s="21">
        <v>4.57</v>
      </c>
      <c r="F99" s="82">
        <f>E99*(D99/1000)</f>
        <v>229904.36100000003</v>
      </c>
      <c r="G99" s="14"/>
    </row>
    <row r="100" spans="1:7" x14ac:dyDescent="0.25">
      <c r="A100" s="13"/>
      <c r="B100" s="14" t="s">
        <v>54</v>
      </c>
      <c r="C100" s="3">
        <f>SUM(C98:C99)</f>
        <v>48</v>
      </c>
      <c r="D100" s="78">
        <f>SUM(D98:D99)</f>
        <v>53219200</v>
      </c>
      <c r="F100" s="9">
        <f>SUM(F98:F99)</f>
        <v>253100.36100000003</v>
      </c>
      <c r="G100" s="14"/>
    </row>
    <row r="102" spans="1:7" x14ac:dyDescent="0.25">
      <c r="A102" s="10" t="s">
        <v>189</v>
      </c>
    </row>
    <row r="103" spans="1:7" x14ac:dyDescent="0.25">
      <c r="B103" s="12" t="s">
        <v>193</v>
      </c>
      <c r="C103" s="12" t="s">
        <v>56</v>
      </c>
      <c r="D103" s="200" t="s">
        <v>54</v>
      </c>
    </row>
    <row r="104" spans="1:7" x14ac:dyDescent="0.25">
      <c r="A104" s="13" t="s">
        <v>190</v>
      </c>
      <c r="B104" s="3">
        <v>366938</v>
      </c>
      <c r="C104" s="33">
        <v>3.42</v>
      </c>
      <c r="D104" s="9">
        <f>B104*C104</f>
        <v>1254927.96</v>
      </c>
    </row>
    <row r="105" spans="1:7" x14ac:dyDescent="0.25">
      <c r="A105" s="13" t="s">
        <v>191</v>
      </c>
      <c r="B105" s="3">
        <v>484158</v>
      </c>
      <c r="C105" s="33">
        <v>3.42</v>
      </c>
      <c r="D105" s="3">
        <f>B105*C105</f>
        <v>1655820.3599999999</v>
      </c>
    </row>
    <row r="106" spans="1:7" ht="17.25" x14ac:dyDescent="0.4">
      <c r="A106" s="13" t="s">
        <v>192</v>
      </c>
      <c r="B106" s="72">
        <v>13819</v>
      </c>
      <c r="C106" s="33">
        <v>3.42</v>
      </c>
      <c r="D106" s="72">
        <f>B106*C106</f>
        <v>47260.979999999996</v>
      </c>
    </row>
    <row r="107" spans="1:7" x14ac:dyDescent="0.25">
      <c r="B107" s="79">
        <f>SUM(B104:B106)</f>
        <v>864915</v>
      </c>
      <c r="D107" s="9">
        <f>SUM(D104:D106)</f>
        <v>2958009.3</v>
      </c>
    </row>
  </sheetData>
  <mergeCells count="2">
    <mergeCell ref="A1:J1"/>
    <mergeCell ref="A2:J2"/>
  </mergeCells>
  <printOptions horizontalCentered="1"/>
  <pageMargins left="0.7" right="0.6" top="0.6" bottom="0.6" header="0.3" footer="0.3"/>
  <pageSetup scale="82" fitToHeight="2" orientation="portrait" r:id="rId1"/>
  <headerFooter>
    <oddFooter>Page &amp;P of &amp;N</oddFooter>
  </headerFooter>
  <rowBreaks count="1" manualBreakCount="1">
    <brk id="55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3"/>
  <sheetViews>
    <sheetView workbookViewId="0">
      <selection activeCell="A4" sqref="A4"/>
    </sheetView>
  </sheetViews>
  <sheetFormatPr defaultColWidth="8.88671875" defaultRowHeight="15" x14ac:dyDescent="0.25"/>
  <cols>
    <col min="1" max="1" width="9.88671875" style="1" customWidth="1"/>
    <col min="2" max="2" width="8.109375" style="1" customWidth="1"/>
    <col min="3" max="3" width="7.21875" style="1" customWidth="1"/>
    <col min="4" max="5" width="10.77734375" style="1" customWidth="1"/>
    <col min="6" max="6" width="10.33203125" style="1" customWidth="1"/>
    <col min="7" max="7" width="10.77734375" style="1" customWidth="1"/>
    <col min="8" max="9" width="9.77734375" style="1" customWidth="1"/>
    <col min="10" max="10" width="10.33203125" style="1" customWidth="1"/>
    <col min="11" max="16384" width="8.88671875" style="1"/>
  </cols>
  <sheetData>
    <row r="1" spans="1:10" ht="18.75" x14ac:dyDescent="0.3">
      <c r="A1" s="622" t="s">
        <v>160</v>
      </c>
      <c r="B1" s="622"/>
      <c r="C1" s="622"/>
      <c r="D1" s="622"/>
      <c r="E1" s="622"/>
      <c r="F1" s="622"/>
      <c r="G1" s="622"/>
      <c r="H1" s="622"/>
      <c r="I1" s="622"/>
      <c r="J1" s="333"/>
    </row>
    <row r="2" spans="1:10" ht="18.75" x14ac:dyDescent="0.25">
      <c r="A2" s="623" t="s">
        <v>167</v>
      </c>
      <c r="B2" s="623"/>
      <c r="C2" s="623"/>
      <c r="D2" s="623"/>
      <c r="E2" s="623"/>
      <c r="F2" s="623"/>
      <c r="G2" s="623"/>
      <c r="H2" s="623"/>
      <c r="I2" s="623"/>
      <c r="J2" s="332"/>
    </row>
    <row r="3" spans="1:10" ht="6.95" customHeight="1" x14ac:dyDescent="0.25"/>
    <row r="4" spans="1:10" x14ac:dyDescent="0.25">
      <c r="C4" s="80" t="s">
        <v>88</v>
      </c>
    </row>
    <row r="5" spans="1:10" x14ac:dyDescent="0.25">
      <c r="C5" s="142"/>
      <c r="D5" s="20"/>
      <c r="E5" s="223" t="s">
        <v>78</v>
      </c>
      <c r="F5" s="223" t="s">
        <v>48</v>
      </c>
      <c r="G5" s="223" t="s">
        <v>46</v>
      </c>
      <c r="H5" s="6"/>
    </row>
    <row r="6" spans="1:10" x14ac:dyDescent="0.25">
      <c r="C6" s="1" t="s">
        <v>109</v>
      </c>
      <c r="E6" s="3">
        <f>C23</f>
        <v>62570</v>
      </c>
      <c r="F6" s="73">
        <f>D23</f>
        <v>251347000</v>
      </c>
      <c r="G6" s="75">
        <f>F31</f>
        <v>2683202.1209999993</v>
      </c>
      <c r="H6" s="75"/>
    </row>
    <row r="7" spans="1:10" x14ac:dyDescent="0.25">
      <c r="C7" s="1" t="s">
        <v>110</v>
      </c>
      <c r="E7" s="3">
        <f>C40</f>
        <v>420</v>
      </c>
      <c r="F7" s="73">
        <f>D40</f>
        <v>6589900</v>
      </c>
      <c r="G7" s="3">
        <f>F48</f>
        <v>54929.048999999992</v>
      </c>
      <c r="H7" s="3"/>
    </row>
    <row r="8" spans="1:10" x14ac:dyDescent="0.25">
      <c r="C8" s="1" t="s">
        <v>153</v>
      </c>
      <c r="E8" s="3">
        <f>C56</f>
        <v>12</v>
      </c>
      <c r="F8" s="73">
        <f>D63</f>
        <v>1262800</v>
      </c>
      <c r="G8" s="3">
        <f>F63</f>
        <v>7843.9649999999983</v>
      </c>
      <c r="H8" s="3"/>
    </row>
    <row r="9" spans="1:10" x14ac:dyDescent="0.25">
      <c r="C9" s="1" t="s">
        <v>111</v>
      </c>
      <c r="E9" s="3">
        <f>C78</f>
        <v>564</v>
      </c>
      <c r="F9" s="73">
        <f>D78</f>
        <v>36951000</v>
      </c>
      <c r="G9" s="3">
        <f>F78</f>
        <v>250658.93699999998</v>
      </c>
      <c r="H9" s="3"/>
    </row>
    <row r="10" spans="1:10" x14ac:dyDescent="0.25">
      <c r="C10" s="1" t="s">
        <v>187</v>
      </c>
      <c r="E10" s="3">
        <f>C93</f>
        <v>30</v>
      </c>
      <c r="F10" s="73">
        <f>D93</f>
        <v>978700</v>
      </c>
      <c r="G10" s="3">
        <f>F93</f>
        <v>10507.741000000002</v>
      </c>
      <c r="H10" s="3"/>
    </row>
    <row r="11" spans="1:10" ht="17.25" x14ac:dyDescent="0.4">
      <c r="C11" s="1" t="s">
        <v>188</v>
      </c>
      <c r="E11" s="72">
        <f>C100</f>
        <v>48</v>
      </c>
      <c r="F11" s="135">
        <f>D100</f>
        <v>53219200</v>
      </c>
      <c r="G11" s="72">
        <f>F106</f>
        <v>271097.49599999998</v>
      </c>
      <c r="H11" s="3"/>
    </row>
    <row r="12" spans="1:10" x14ac:dyDescent="0.25">
      <c r="C12" s="1" t="s">
        <v>195</v>
      </c>
      <c r="E12" s="79">
        <f>SUM(E6:E11)</f>
        <v>63644</v>
      </c>
      <c r="F12" s="79">
        <f>SUM(F6:F11)</f>
        <v>350348600</v>
      </c>
      <c r="G12" s="139">
        <f>SUM(G6:G11)</f>
        <v>3278239.308999999</v>
      </c>
      <c r="H12" s="4"/>
      <c r="J12" s="74"/>
    </row>
    <row r="13" spans="1:10" ht="17.25" x14ac:dyDescent="0.4">
      <c r="C13" s="1" t="s">
        <v>168</v>
      </c>
      <c r="F13" s="73">
        <f>B113*1000</f>
        <v>864915000</v>
      </c>
      <c r="G13" s="72">
        <f>D113</f>
        <v>3061799.0999999996</v>
      </c>
      <c r="H13" s="72"/>
      <c r="J13" s="148"/>
    </row>
    <row r="14" spans="1:10" ht="20.100000000000001" customHeight="1" x14ac:dyDescent="0.25">
      <c r="C14" s="281" t="s">
        <v>194</v>
      </c>
      <c r="D14" s="282"/>
      <c r="E14" s="282"/>
      <c r="F14" s="168"/>
      <c r="G14" s="283">
        <f>G12+G13</f>
        <v>6340038.4089999981</v>
      </c>
      <c r="H14" s="139"/>
      <c r="I14" s="139"/>
      <c r="J14" s="150"/>
    </row>
    <row r="15" spans="1:10" ht="6.95" customHeight="1" x14ac:dyDescent="0.4">
      <c r="D15" s="138"/>
      <c r="E15" s="138"/>
      <c r="F15" s="140"/>
      <c r="G15" s="141"/>
      <c r="H15" s="138"/>
      <c r="I15" s="139"/>
      <c r="J15" s="150"/>
    </row>
    <row r="16" spans="1:10" ht="15.75" x14ac:dyDescent="0.25">
      <c r="A16" s="136" t="s">
        <v>106</v>
      </c>
    </row>
    <row r="17" spans="1:10" x14ac:dyDescent="0.25">
      <c r="E17" s="2" t="s">
        <v>49</v>
      </c>
      <c r="F17" s="2" t="s">
        <v>74</v>
      </c>
      <c r="G17" s="2" t="s">
        <v>74</v>
      </c>
      <c r="H17" s="2" t="s">
        <v>50</v>
      </c>
    </row>
    <row r="18" spans="1:10" x14ac:dyDescent="0.25">
      <c r="B18" s="223" t="s">
        <v>51</v>
      </c>
      <c r="C18" s="12" t="s">
        <v>52</v>
      </c>
      <c r="D18" s="12" t="s">
        <v>53</v>
      </c>
      <c r="E18" s="12">
        <f>B19</f>
        <v>2000</v>
      </c>
      <c r="F18" s="12">
        <f>B20</f>
        <v>8000</v>
      </c>
      <c r="G18" s="12">
        <f>B21</f>
        <v>65000</v>
      </c>
      <c r="H18" s="12">
        <f>B22</f>
        <v>75000</v>
      </c>
      <c r="I18" s="223" t="s">
        <v>54</v>
      </c>
    </row>
    <row r="19" spans="1:10" x14ac:dyDescent="0.25">
      <c r="A19" s="13" t="s">
        <v>49</v>
      </c>
      <c r="B19" s="14">
        <v>2000</v>
      </c>
      <c r="C19" s="76">
        <f>20454+2290</f>
        <v>22744</v>
      </c>
      <c r="D19" s="76">
        <f>20080400+1673800</f>
        <v>21754200</v>
      </c>
      <c r="E19" s="76">
        <f>D19</f>
        <v>21754200</v>
      </c>
      <c r="F19" s="76">
        <v>0</v>
      </c>
      <c r="G19" s="76"/>
      <c r="H19" s="76">
        <v>0</v>
      </c>
      <c r="I19" s="76">
        <f>SUM(E19:H19)</f>
        <v>21754200</v>
      </c>
    </row>
    <row r="20" spans="1:10" x14ac:dyDescent="0.25">
      <c r="A20" s="13" t="s">
        <v>74</v>
      </c>
      <c r="B20" s="14">
        <v>8000</v>
      </c>
      <c r="C20" s="76">
        <f>Usage!B5+Usage!B6+Usage!B7-C19</f>
        <v>36519</v>
      </c>
      <c r="D20" s="76">
        <f>Usage!C5+Usage!C6+Usage!C7-D19</f>
        <v>157978900</v>
      </c>
      <c r="E20" s="76">
        <f>C20*E$18</f>
        <v>73038000</v>
      </c>
      <c r="F20" s="76">
        <f>D20-E20</f>
        <v>84940900</v>
      </c>
      <c r="G20" s="76"/>
      <c r="H20" s="76">
        <v>0</v>
      </c>
      <c r="I20" s="76">
        <f>SUM(E20:H20)</f>
        <v>157978900</v>
      </c>
    </row>
    <row r="21" spans="1:10" x14ac:dyDescent="0.25">
      <c r="A21" s="13" t="s">
        <v>74</v>
      </c>
      <c r="B21" s="14">
        <v>65000</v>
      </c>
      <c r="C21" s="76">
        <f>Usage!B22-Usage!B21-C19-C20</f>
        <v>3217</v>
      </c>
      <c r="D21" s="76">
        <f>Usage!C22-Usage!C21-D19-D20</f>
        <v>55762000</v>
      </c>
      <c r="E21" s="76">
        <f>C21*E$18</f>
        <v>6434000</v>
      </c>
      <c r="F21" s="76">
        <f>$C21*F$18</f>
        <v>25736000</v>
      </c>
      <c r="G21" s="76">
        <f>D21-(E21+F21)</f>
        <v>23592000</v>
      </c>
      <c r="H21" s="76"/>
      <c r="I21" s="76">
        <f>SUM(E21:H21)</f>
        <v>55762000</v>
      </c>
    </row>
    <row r="22" spans="1:10" x14ac:dyDescent="0.25">
      <c r="A22" s="13" t="s">
        <v>50</v>
      </c>
      <c r="B22" s="16">
        <v>75000</v>
      </c>
      <c r="C22" s="77">
        <f>Usage!B21</f>
        <v>90</v>
      </c>
      <c r="D22" s="77">
        <f>Usage!C21</f>
        <v>15851900</v>
      </c>
      <c r="E22" s="77">
        <f>C22*E$18</f>
        <v>180000</v>
      </c>
      <c r="F22" s="77">
        <f>$C22*F$18</f>
        <v>720000</v>
      </c>
      <c r="G22" s="77">
        <f>$C22*G$18</f>
        <v>5850000</v>
      </c>
      <c r="H22" s="77">
        <f>D22-(F22+E22+G22)</f>
        <v>9101900</v>
      </c>
      <c r="I22" s="77">
        <f>SUM(E22:H22)</f>
        <v>15851900</v>
      </c>
    </row>
    <row r="23" spans="1:10" x14ac:dyDescent="0.25">
      <c r="A23" s="13"/>
      <c r="B23" s="14"/>
      <c r="C23" s="78">
        <f t="shared" ref="C23:I23" si="0">SUM(C19:C22)</f>
        <v>62570</v>
      </c>
      <c r="D23" s="78">
        <f t="shared" si="0"/>
        <v>251347000</v>
      </c>
      <c r="E23" s="78">
        <f t="shared" si="0"/>
        <v>101406200</v>
      </c>
      <c r="F23" s="78">
        <f t="shared" si="0"/>
        <v>111396900</v>
      </c>
      <c r="G23" s="78">
        <f t="shared" si="0"/>
        <v>29442000</v>
      </c>
      <c r="H23" s="78">
        <f t="shared" si="0"/>
        <v>9101900</v>
      </c>
      <c r="I23" s="78">
        <f t="shared" si="0"/>
        <v>251347000</v>
      </c>
    </row>
    <row r="24" spans="1:10" x14ac:dyDescent="0.25">
      <c r="A24" s="13"/>
      <c r="B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8" t="s">
        <v>55</v>
      </c>
      <c r="B25" s="18"/>
      <c r="D25" s="14"/>
      <c r="E25" s="14"/>
      <c r="F25" s="14"/>
      <c r="G25" s="14"/>
      <c r="H25" s="14"/>
      <c r="I25" s="14"/>
      <c r="J25" s="14"/>
    </row>
    <row r="26" spans="1:10" x14ac:dyDescent="0.25">
      <c r="A26" s="13"/>
      <c r="B26" s="223"/>
      <c r="C26" s="12" t="s">
        <v>52</v>
      </c>
      <c r="D26" s="223" t="s">
        <v>53</v>
      </c>
      <c r="E26" s="12" t="s">
        <v>56</v>
      </c>
      <c r="F26" s="12" t="s">
        <v>57</v>
      </c>
      <c r="G26" s="14"/>
      <c r="H26" s="14"/>
      <c r="I26" s="14"/>
      <c r="J26" s="14"/>
    </row>
    <row r="27" spans="1:10" x14ac:dyDescent="0.25">
      <c r="A27" s="13" t="s">
        <v>49</v>
      </c>
      <c r="B27" s="14">
        <f>B19</f>
        <v>2000</v>
      </c>
      <c r="C27" s="15">
        <f>C23</f>
        <v>62570</v>
      </c>
      <c r="D27" s="76">
        <f>E23</f>
        <v>101406200</v>
      </c>
      <c r="E27" s="19">
        <f>Rates!L11</f>
        <v>24.259999999999998</v>
      </c>
      <c r="F27" s="9">
        <f>E27*C27</f>
        <v>1517948.2</v>
      </c>
      <c r="G27" s="14"/>
      <c r="J27" s="14"/>
    </row>
    <row r="28" spans="1:10" x14ac:dyDescent="0.25">
      <c r="A28" s="13" t="s">
        <v>74</v>
      </c>
      <c r="B28" s="14">
        <f>B20</f>
        <v>8000</v>
      </c>
      <c r="D28" s="76">
        <f>F23</f>
        <v>111396900</v>
      </c>
      <c r="E28" s="33">
        <f>Rates!L12</f>
        <v>8.3699999999999992</v>
      </c>
      <c r="F28" s="3">
        <f>E28*(D28/1000)</f>
        <v>932392.05299999984</v>
      </c>
      <c r="G28" s="14"/>
      <c r="J28" s="14"/>
    </row>
    <row r="29" spans="1:10" x14ac:dyDescent="0.25">
      <c r="A29" s="13" t="s">
        <v>74</v>
      </c>
      <c r="B29" s="14">
        <f>B21</f>
        <v>65000</v>
      </c>
      <c r="D29" s="76">
        <f>G23</f>
        <v>29442000</v>
      </c>
      <c r="E29" s="33">
        <f>Rates!L13</f>
        <v>6.4499999999999993</v>
      </c>
      <c r="F29" s="3">
        <f>E29*(D29/1000)</f>
        <v>189900.89999999997</v>
      </c>
      <c r="G29" s="14"/>
      <c r="J29" s="14"/>
    </row>
    <row r="30" spans="1:10" x14ac:dyDescent="0.25">
      <c r="A30" s="13" t="s">
        <v>50</v>
      </c>
      <c r="B30" s="16">
        <f>B22</f>
        <v>75000</v>
      </c>
      <c r="C30" s="20"/>
      <c r="D30" s="77">
        <f>H23</f>
        <v>9101900</v>
      </c>
      <c r="E30" s="21">
        <f>Rates!L14</f>
        <v>4.72</v>
      </c>
      <c r="F30" s="82">
        <f>E30*(D30/1000)</f>
        <v>42960.967999999993</v>
      </c>
      <c r="G30" s="14"/>
      <c r="J30" s="14"/>
    </row>
    <row r="31" spans="1:10" x14ac:dyDescent="0.25">
      <c r="A31" s="13"/>
      <c r="B31" s="14" t="s">
        <v>54</v>
      </c>
      <c r="C31" s="3">
        <f>SUM(C27:C30)</f>
        <v>62570</v>
      </c>
      <c r="D31" s="78">
        <f>SUM(D27:D30)</f>
        <v>251347000</v>
      </c>
      <c r="F31" s="9">
        <f>SUM(F27:F30)</f>
        <v>2683202.1209999993</v>
      </c>
      <c r="G31" s="14"/>
      <c r="H31" s="14"/>
      <c r="I31" s="14"/>
      <c r="J31" s="14"/>
    </row>
    <row r="32" spans="1:10" x14ac:dyDescent="0.25">
      <c r="A32" s="13"/>
      <c r="B32" s="14"/>
      <c r="C32" s="3"/>
      <c r="D32" s="78"/>
      <c r="F32" s="9"/>
      <c r="G32" s="14"/>
      <c r="H32" s="14"/>
      <c r="I32" s="14"/>
      <c r="J32" s="14"/>
    </row>
    <row r="33" spans="1:10" ht="15.75" x14ac:dyDescent="0.25">
      <c r="A33" s="136" t="s">
        <v>107</v>
      </c>
    </row>
    <row r="34" spans="1:10" x14ac:dyDescent="0.25">
      <c r="E34" s="2" t="s">
        <v>49</v>
      </c>
      <c r="F34" s="2" t="s">
        <v>74</v>
      </c>
      <c r="G34" s="2" t="s">
        <v>74</v>
      </c>
      <c r="H34" s="2" t="s">
        <v>50</v>
      </c>
    </row>
    <row r="35" spans="1:10" x14ac:dyDescent="0.25">
      <c r="B35" s="223" t="s">
        <v>51</v>
      </c>
      <c r="C35" s="12" t="s">
        <v>52</v>
      </c>
      <c r="D35" s="12" t="s">
        <v>53</v>
      </c>
      <c r="E35" s="12">
        <f>B36</f>
        <v>5000</v>
      </c>
      <c r="F35" s="12">
        <f>B37</f>
        <v>5000</v>
      </c>
      <c r="G35" s="12">
        <f>B38</f>
        <v>65000</v>
      </c>
      <c r="H35" s="12">
        <f>B39</f>
        <v>75000</v>
      </c>
      <c r="I35" s="223" t="s">
        <v>54</v>
      </c>
    </row>
    <row r="36" spans="1:10" x14ac:dyDescent="0.25">
      <c r="A36" s="13" t="s">
        <v>49</v>
      </c>
      <c r="B36" s="14">
        <v>5000</v>
      </c>
      <c r="C36" s="76">
        <f>58+121</f>
        <v>179</v>
      </c>
      <c r="D36" s="76">
        <f>115800+160800</f>
        <v>276600</v>
      </c>
      <c r="E36" s="76">
        <f>D36</f>
        <v>276600</v>
      </c>
      <c r="F36" s="76">
        <v>0</v>
      </c>
      <c r="G36" s="76">
        <v>0</v>
      </c>
      <c r="H36" s="76">
        <v>0</v>
      </c>
      <c r="I36" s="76">
        <f>SUM(E36:H36)</f>
        <v>276600</v>
      </c>
    </row>
    <row r="37" spans="1:10" x14ac:dyDescent="0.25">
      <c r="A37" s="13" t="s">
        <v>74</v>
      </c>
      <c r="B37" s="14">
        <v>5000</v>
      </c>
      <c r="C37" s="76">
        <f>Usage!D7</f>
        <v>85</v>
      </c>
      <c r="D37" s="76">
        <f>Usage!E7</f>
        <v>608300</v>
      </c>
      <c r="E37" s="76">
        <f>$C37*E$35</f>
        <v>425000</v>
      </c>
      <c r="F37" s="76">
        <f>D37-E37</f>
        <v>183300</v>
      </c>
      <c r="G37" s="76">
        <v>0</v>
      </c>
      <c r="H37" s="76">
        <v>0</v>
      </c>
      <c r="I37" s="76">
        <f>SUM(E37:H37)</f>
        <v>608300</v>
      </c>
    </row>
    <row r="38" spans="1:10" x14ac:dyDescent="0.25">
      <c r="A38" s="13" t="s">
        <v>74</v>
      </c>
      <c r="B38" s="14">
        <v>65000</v>
      </c>
      <c r="C38" s="76">
        <f>Usage!D22-C36-C37-Usage!D21</f>
        <v>142</v>
      </c>
      <c r="D38" s="76">
        <f>Usage!E22-D36-D37-Usage!E21</f>
        <v>3953600</v>
      </c>
      <c r="E38" s="76">
        <f>$C38*E$35</f>
        <v>710000</v>
      </c>
      <c r="F38" s="76">
        <f>$C38*F$35</f>
        <v>710000</v>
      </c>
      <c r="G38" s="76">
        <f>D38-E38-F38</f>
        <v>2533600</v>
      </c>
      <c r="H38" s="76">
        <v>0</v>
      </c>
      <c r="I38" s="76">
        <f>SUM(E38:H38)</f>
        <v>3953600</v>
      </c>
    </row>
    <row r="39" spans="1:10" x14ac:dyDescent="0.25">
      <c r="A39" s="13" t="s">
        <v>50</v>
      </c>
      <c r="B39" s="16">
        <v>75000</v>
      </c>
      <c r="C39" s="77">
        <f>Usage!D21</f>
        <v>14</v>
      </c>
      <c r="D39" s="77">
        <f>Usage!E21</f>
        <v>1751400</v>
      </c>
      <c r="E39" s="77">
        <f>$C39*E$35</f>
        <v>70000</v>
      </c>
      <c r="F39" s="77">
        <f>$C39*F$35</f>
        <v>70000</v>
      </c>
      <c r="G39" s="77">
        <f>$C39*G$35</f>
        <v>910000</v>
      </c>
      <c r="H39" s="77">
        <f>D39-(G39+F39+E39)</f>
        <v>701400</v>
      </c>
      <c r="I39" s="77">
        <f>SUM(E39:H39)</f>
        <v>1751400</v>
      </c>
    </row>
    <row r="40" spans="1:10" x14ac:dyDescent="0.25">
      <c r="A40" s="13"/>
      <c r="B40" s="14"/>
      <c r="C40" s="78">
        <f t="shared" ref="C40:I40" si="1">SUM(C36:C39)</f>
        <v>420</v>
      </c>
      <c r="D40" s="78">
        <f t="shared" si="1"/>
        <v>6589900</v>
      </c>
      <c r="E40" s="78">
        <f t="shared" si="1"/>
        <v>1481600</v>
      </c>
      <c r="F40" s="78">
        <f t="shared" si="1"/>
        <v>963300</v>
      </c>
      <c r="G40" s="78">
        <f t="shared" si="1"/>
        <v>3443600</v>
      </c>
      <c r="H40" s="78">
        <f t="shared" si="1"/>
        <v>701400</v>
      </c>
      <c r="I40" s="78">
        <f t="shared" si="1"/>
        <v>6589900</v>
      </c>
    </row>
    <row r="41" spans="1:10" x14ac:dyDescent="0.25">
      <c r="A41" s="13"/>
      <c r="B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8" t="s">
        <v>55</v>
      </c>
      <c r="B42" s="18"/>
      <c r="D42" s="14"/>
      <c r="E42" s="14"/>
      <c r="F42" s="14"/>
      <c r="G42" s="14"/>
      <c r="H42" s="14"/>
      <c r="I42" s="14"/>
      <c r="J42" s="14"/>
    </row>
    <row r="43" spans="1:10" x14ac:dyDescent="0.25">
      <c r="A43" s="13"/>
      <c r="B43" s="223"/>
      <c r="C43" s="12" t="s">
        <v>52</v>
      </c>
      <c r="D43" s="223" t="s">
        <v>53</v>
      </c>
      <c r="E43" s="12" t="s">
        <v>56</v>
      </c>
      <c r="F43" s="12" t="s">
        <v>57</v>
      </c>
      <c r="G43" s="14"/>
      <c r="H43" s="14"/>
      <c r="I43" s="14"/>
      <c r="J43" s="14"/>
    </row>
    <row r="44" spans="1:10" x14ac:dyDescent="0.25">
      <c r="A44" s="13" t="s">
        <v>49</v>
      </c>
      <c r="B44" s="14">
        <f>B36</f>
        <v>5000</v>
      </c>
      <c r="C44" s="15">
        <f>C40</f>
        <v>420</v>
      </c>
      <c r="D44" s="76">
        <f>E40</f>
        <v>1481600</v>
      </c>
      <c r="E44" s="19">
        <f>Rates!L18</f>
        <v>50.819999999999993</v>
      </c>
      <c r="F44" s="9">
        <f>E44*C44</f>
        <v>21344.399999999998</v>
      </c>
      <c r="G44" s="14"/>
      <c r="J44" s="14"/>
    </row>
    <row r="45" spans="1:10" x14ac:dyDescent="0.25">
      <c r="A45" s="13" t="s">
        <v>74</v>
      </c>
      <c r="B45" s="14">
        <f>B37</f>
        <v>5000</v>
      </c>
      <c r="D45" s="76">
        <f>F40</f>
        <v>963300</v>
      </c>
      <c r="E45" s="33">
        <f>Rates!L19</f>
        <v>8.3699999999999992</v>
      </c>
      <c r="F45" s="3">
        <f>E45*(D45/1000)</f>
        <v>8062.820999999999</v>
      </c>
      <c r="G45" s="14"/>
      <c r="J45" s="14"/>
    </row>
    <row r="46" spans="1:10" x14ac:dyDescent="0.25">
      <c r="A46" s="13" t="s">
        <v>74</v>
      </c>
      <c r="B46" s="14">
        <f>B38</f>
        <v>65000</v>
      </c>
      <c r="D46" s="76">
        <f>G40</f>
        <v>3443600</v>
      </c>
      <c r="E46" s="33">
        <f>Rates!L20</f>
        <v>6.4499999999999993</v>
      </c>
      <c r="F46" s="3">
        <f>E46*(D46/1000)</f>
        <v>22211.219999999998</v>
      </c>
      <c r="G46" s="14"/>
      <c r="J46" s="14"/>
    </row>
    <row r="47" spans="1:10" x14ac:dyDescent="0.25">
      <c r="A47" s="13" t="s">
        <v>50</v>
      </c>
      <c r="B47" s="16">
        <f>B39</f>
        <v>75000</v>
      </c>
      <c r="C47" s="20"/>
      <c r="D47" s="77">
        <f>H40</f>
        <v>701400</v>
      </c>
      <c r="E47" s="21">
        <f>Rates!L21</f>
        <v>4.72</v>
      </c>
      <c r="F47" s="82">
        <f>E47*(D47/1000)</f>
        <v>3310.6079999999997</v>
      </c>
      <c r="G47" s="14"/>
      <c r="J47" s="14"/>
    </row>
    <row r="48" spans="1:10" x14ac:dyDescent="0.25">
      <c r="A48" s="13"/>
      <c r="B48" s="14" t="s">
        <v>54</v>
      </c>
      <c r="C48" s="3">
        <f>SUM(C44:C47)</f>
        <v>420</v>
      </c>
      <c r="D48" s="78">
        <f>SUM(D44:D47)</f>
        <v>6589900</v>
      </c>
      <c r="F48" s="9">
        <f>SUM(F44:F47)</f>
        <v>54929.048999999992</v>
      </c>
      <c r="G48" s="14"/>
      <c r="H48" s="14"/>
      <c r="I48" s="14"/>
      <c r="J48" s="14"/>
    </row>
    <row r="49" spans="1:10" x14ac:dyDescent="0.25">
      <c r="A49" s="13"/>
      <c r="B49" s="14"/>
      <c r="C49" s="3"/>
      <c r="D49" s="78"/>
      <c r="F49" s="9"/>
      <c r="G49" s="14"/>
      <c r="H49" s="14"/>
      <c r="I49" s="14"/>
      <c r="J49" s="14"/>
    </row>
    <row r="50" spans="1:10" ht="15.75" x14ac:dyDescent="0.25">
      <c r="A50" s="136" t="s">
        <v>152</v>
      </c>
      <c r="J50" s="14"/>
    </row>
    <row r="51" spans="1:10" x14ac:dyDescent="0.25">
      <c r="E51" s="2" t="s">
        <v>49</v>
      </c>
      <c r="F51" s="2" t="s">
        <v>74</v>
      </c>
      <c r="G51" s="2" t="s">
        <v>50</v>
      </c>
      <c r="I51" s="14"/>
    </row>
    <row r="52" spans="1:10" x14ac:dyDescent="0.25">
      <c r="B52" s="223" t="s">
        <v>51</v>
      </c>
      <c r="C52" s="12" t="s">
        <v>52</v>
      </c>
      <c r="D52" s="12" t="s">
        <v>53</v>
      </c>
      <c r="E52" s="12">
        <f>B53</f>
        <v>10000</v>
      </c>
      <c r="F52" s="12">
        <f>B54</f>
        <v>65000</v>
      </c>
      <c r="G52" s="12">
        <f>B55</f>
        <v>75000</v>
      </c>
      <c r="H52" s="223" t="s">
        <v>54</v>
      </c>
      <c r="I52" s="14"/>
    </row>
    <row r="53" spans="1:10" x14ac:dyDescent="0.25">
      <c r="A53" s="13" t="s">
        <v>49</v>
      </c>
      <c r="B53" s="14">
        <v>10000</v>
      </c>
      <c r="C53" s="76">
        <v>0</v>
      </c>
      <c r="D53" s="76">
        <v>0</v>
      </c>
      <c r="E53" s="76">
        <f>D53</f>
        <v>0</v>
      </c>
      <c r="F53" s="76"/>
      <c r="G53" s="76">
        <v>0</v>
      </c>
      <c r="H53" s="76">
        <f>SUM(E53:G53)</f>
        <v>0</v>
      </c>
      <c r="I53" s="14"/>
    </row>
    <row r="54" spans="1:10" x14ac:dyDescent="0.25">
      <c r="A54" s="13" t="s">
        <v>74</v>
      </c>
      <c r="B54" s="14">
        <v>65000</v>
      </c>
      <c r="C54" s="76">
        <f>SUM(Usage!F18:F20)</f>
        <v>3</v>
      </c>
      <c r="D54" s="76">
        <f>SUM(Usage!G18:G20)</f>
        <v>208300</v>
      </c>
      <c r="E54" s="76">
        <f>C54*E52</f>
        <v>30000</v>
      </c>
      <c r="F54" s="76">
        <f>D54-E54</f>
        <v>178300</v>
      </c>
      <c r="G54" s="76">
        <v>0</v>
      </c>
      <c r="H54" s="76">
        <f>SUM(E54:G54)</f>
        <v>208300</v>
      </c>
      <c r="I54" s="14"/>
    </row>
    <row r="55" spans="1:10" x14ac:dyDescent="0.25">
      <c r="A55" s="13" t="s">
        <v>50</v>
      </c>
      <c r="B55" s="16">
        <v>75000</v>
      </c>
      <c r="C55" s="77">
        <f>Usage!F21</f>
        <v>9</v>
      </c>
      <c r="D55" s="77">
        <f>Usage!G21</f>
        <v>1054500</v>
      </c>
      <c r="E55" s="77">
        <f>$C55*E$52</f>
        <v>90000</v>
      </c>
      <c r="F55" s="77">
        <f>$C55*F$52</f>
        <v>585000</v>
      </c>
      <c r="G55" s="77">
        <f>D55-E55-F55</f>
        <v>379500</v>
      </c>
      <c r="H55" s="77">
        <f>SUM(E55:G55)</f>
        <v>1054500</v>
      </c>
      <c r="I55" s="14"/>
    </row>
    <row r="56" spans="1:10" x14ac:dyDescent="0.25">
      <c r="A56" s="13"/>
      <c r="B56" s="14"/>
      <c r="C56" s="78">
        <f t="shared" ref="C56:H56" si="2">SUM(C53:C55)</f>
        <v>12</v>
      </c>
      <c r="D56" s="78">
        <f t="shared" si="2"/>
        <v>1262800</v>
      </c>
      <c r="E56" s="78">
        <f t="shared" si="2"/>
        <v>120000</v>
      </c>
      <c r="F56" s="78">
        <f t="shared" si="2"/>
        <v>763300</v>
      </c>
      <c r="G56" s="78">
        <f t="shared" si="2"/>
        <v>379500</v>
      </c>
      <c r="H56" s="78">
        <f t="shared" si="2"/>
        <v>1262800</v>
      </c>
      <c r="I56" s="14"/>
    </row>
    <row r="57" spans="1:10" x14ac:dyDescent="0.25">
      <c r="A57" s="13"/>
      <c r="B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8" t="s">
        <v>55</v>
      </c>
      <c r="B58" s="18"/>
      <c r="D58" s="14"/>
      <c r="E58" s="14"/>
      <c r="F58" s="14"/>
      <c r="G58" s="14"/>
      <c r="H58" s="14"/>
      <c r="I58" s="14"/>
      <c r="J58" s="14"/>
    </row>
    <row r="59" spans="1:10" x14ac:dyDescent="0.25">
      <c r="A59" s="13"/>
      <c r="B59" s="223"/>
      <c r="C59" s="12" t="s">
        <v>52</v>
      </c>
      <c r="D59" s="223" t="s">
        <v>53</v>
      </c>
      <c r="E59" s="12" t="s">
        <v>56</v>
      </c>
      <c r="F59" s="12" t="s">
        <v>57</v>
      </c>
      <c r="G59" s="14"/>
      <c r="H59" s="14"/>
      <c r="I59" s="14"/>
      <c r="J59" s="14"/>
    </row>
    <row r="60" spans="1:10" x14ac:dyDescent="0.25">
      <c r="A60" s="13" t="s">
        <v>49</v>
      </c>
      <c r="B60" s="14">
        <f>B53</f>
        <v>10000</v>
      </c>
      <c r="C60" s="15">
        <f>C56</f>
        <v>12</v>
      </c>
      <c r="D60" s="76">
        <f>E56</f>
        <v>120000</v>
      </c>
      <c r="E60" s="19">
        <f>Rates!L24</f>
        <v>94.11999999999999</v>
      </c>
      <c r="F60" s="9">
        <f>E60*C60</f>
        <v>1129.4399999999998</v>
      </c>
      <c r="G60" s="14"/>
      <c r="J60" s="14"/>
    </row>
    <row r="61" spans="1:10" x14ac:dyDescent="0.25">
      <c r="A61" s="13" t="s">
        <v>74</v>
      </c>
      <c r="B61" s="14">
        <f>B54</f>
        <v>65000</v>
      </c>
      <c r="C61" s="15"/>
      <c r="D61" s="76">
        <f>F56</f>
        <v>763300</v>
      </c>
      <c r="E61" s="148">
        <f>Rates!L25</f>
        <v>6.4499999999999993</v>
      </c>
      <c r="F61" s="3">
        <f>E61*(D61/1000)</f>
        <v>4923.2849999999989</v>
      </c>
      <c r="G61" s="14"/>
      <c r="J61" s="14"/>
    </row>
    <row r="62" spans="1:10" x14ac:dyDescent="0.25">
      <c r="A62" s="13" t="s">
        <v>50</v>
      </c>
      <c r="B62" s="16">
        <f>B55</f>
        <v>75000</v>
      </c>
      <c r="C62" s="20"/>
      <c r="D62" s="77">
        <f>G56</f>
        <v>379500</v>
      </c>
      <c r="E62" s="21">
        <f>Rates!L26</f>
        <v>4.72</v>
      </c>
      <c r="F62" s="82">
        <f>E62*(D62/1000)</f>
        <v>1791.24</v>
      </c>
      <c r="G62" s="14"/>
      <c r="J62" s="14"/>
    </row>
    <row r="63" spans="1:10" x14ac:dyDescent="0.25">
      <c r="A63" s="13"/>
      <c r="B63" s="14" t="s">
        <v>54</v>
      </c>
      <c r="C63" s="3">
        <f>SUM(C60:C62)</f>
        <v>12</v>
      </c>
      <c r="D63" s="78">
        <f>SUM(D60:D62)</f>
        <v>1262800</v>
      </c>
      <c r="F63" s="9">
        <f>SUM(F60:F62)</f>
        <v>7843.9649999999983</v>
      </c>
      <c r="G63" s="14"/>
      <c r="H63" s="14"/>
      <c r="I63" s="14"/>
      <c r="J63" s="14"/>
    </row>
    <row r="64" spans="1:10" x14ac:dyDescent="0.25">
      <c r="A64" s="13"/>
      <c r="B64" s="14"/>
      <c r="C64" s="22"/>
      <c r="D64" s="78"/>
      <c r="F64" s="19"/>
      <c r="G64" s="14"/>
      <c r="H64" s="14"/>
      <c r="I64" s="14"/>
      <c r="J64" s="14"/>
    </row>
    <row r="65" spans="1:8" ht="15.75" x14ac:dyDescent="0.25">
      <c r="A65" s="136" t="s">
        <v>108</v>
      </c>
    </row>
    <row r="66" spans="1:8" x14ac:dyDescent="0.25">
      <c r="E66" s="2" t="s">
        <v>49</v>
      </c>
      <c r="F66" s="2" t="s">
        <v>74</v>
      </c>
      <c r="G66" s="2" t="s">
        <v>50</v>
      </c>
    </row>
    <row r="67" spans="1:8" x14ac:dyDescent="0.25">
      <c r="B67" s="223" t="s">
        <v>51</v>
      </c>
      <c r="C67" s="12" t="s">
        <v>52</v>
      </c>
      <c r="D67" s="12" t="s">
        <v>53</v>
      </c>
      <c r="E67" s="12">
        <f>B68</f>
        <v>20000</v>
      </c>
      <c r="F67" s="12">
        <f>B69</f>
        <v>55000</v>
      </c>
      <c r="G67" s="12">
        <f>B70</f>
        <v>75000</v>
      </c>
      <c r="H67" s="223" t="s">
        <v>54</v>
      </c>
    </row>
    <row r="68" spans="1:8" x14ac:dyDescent="0.25">
      <c r="A68" s="13" t="s">
        <v>49</v>
      </c>
      <c r="B68" s="14">
        <v>20000</v>
      </c>
      <c r="C68" s="76">
        <f>SUM(Usage!H5:H9)</f>
        <v>302</v>
      </c>
      <c r="D68" s="76">
        <f>SUM(Usage!I5:I9)</f>
        <v>1824400</v>
      </c>
      <c r="E68" s="76">
        <f>D68</f>
        <v>1824400</v>
      </c>
      <c r="F68" s="76"/>
      <c r="G68" s="76">
        <f>D68-E68</f>
        <v>0</v>
      </c>
      <c r="H68" s="76">
        <f>SUM(E68:G68)</f>
        <v>1824400</v>
      </c>
    </row>
    <row r="69" spans="1:8" x14ac:dyDescent="0.25">
      <c r="A69" s="13" t="s">
        <v>74</v>
      </c>
      <c r="B69" s="14">
        <v>55000</v>
      </c>
      <c r="C69" s="76">
        <f>SUM(Usage!H10:H20)</f>
        <v>118</v>
      </c>
      <c r="D69" s="76">
        <f>SUM(Usage!I10:I20)</f>
        <v>4776500</v>
      </c>
      <c r="E69" s="220">
        <f>$C69*E$67</f>
        <v>2360000</v>
      </c>
      <c r="F69" s="76">
        <f>D69-E69</f>
        <v>2416500</v>
      </c>
      <c r="G69" s="76"/>
      <c r="H69" s="76">
        <f>SUM(E69:G69)</f>
        <v>4776500</v>
      </c>
    </row>
    <row r="70" spans="1:8" x14ac:dyDescent="0.25">
      <c r="A70" s="13" t="s">
        <v>50</v>
      </c>
      <c r="B70" s="16">
        <v>75000</v>
      </c>
      <c r="C70" s="77">
        <f>Usage!H21</f>
        <v>144</v>
      </c>
      <c r="D70" s="77">
        <f>Usage!I21</f>
        <v>30350100</v>
      </c>
      <c r="E70" s="77">
        <f>$C70*E$67</f>
        <v>2880000</v>
      </c>
      <c r="F70" s="77">
        <f>$C70*F$67</f>
        <v>7920000</v>
      </c>
      <c r="G70" s="77">
        <f>D70-E70-F70</f>
        <v>19550100</v>
      </c>
      <c r="H70" s="77">
        <f>SUM(E70:G70)</f>
        <v>30350100</v>
      </c>
    </row>
    <row r="71" spans="1:8" x14ac:dyDescent="0.25">
      <c r="A71" s="13"/>
      <c r="B71" s="14"/>
      <c r="C71" s="78">
        <f t="shared" ref="C71:H71" si="3">SUM(C68:C70)</f>
        <v>564</v>
      </c>
      <c r="D71" s="78">
        <f t="shared" si="3"/>
        <v>36951000</v>
      </c>
      <c r="E71" s="78">
        <f t="shared" si="3"/>
        <v>7064400</v>
      </c>
      <c r="F71" s="78">
        <f t="shared" si="3"/>
        <v>10336500</v>
      </c>
      <c r="G71" s="78">
        <f t="shared" si="3"/>
        <v>19550100</v>
      </c>
      <c r="H71" s="78">
        <f t="shared" si="3"/>
        <v>36951000</v>
      </c>
    </row>
    <row r="72" spans="1:8" x14ac:dyDescent="0.25">
      <c r="A72" s="13"/>
      <c r="B72" s="14"/>
      <c r="D72" s="14"/>
      <c r="E72" s="14"/>
      <c r="F72" s="14"/>
      <c r="G72" s="14"/>
      <c r="H72" s="14"/>
    </row>
    <row r="73" spans="1:8" x14ac:dyDescent="0.25">
      <c r="A73" s="18" t="s">
        <v>55</v>
      </c>
      <c r="B73" s="18"/>
      <c r="D73" s="14"/>
      <c r="E73" s="14"/>
      <c r="F73" s="14"/>
      <c r="G73" s="14"/>
      <c r="H73" s="14"/>
    </row>
    <row r="74" spans="1:8" x14ac:dyDescent="0.25">
      <c r="A74" s="13"/>
      <c r="B74" s="223"/>
      <c r="C74" s="12" t="s">
        <v>52</v>
      </c>
      <c r="D74" s="223" t="s">
        <v>53</v>
      </c>
      <c r="E74" s="12" t="s">
        <v>56</v>
      </c>
      <c r="F74" s="12" t="s">
        <v>57</v>
      </c>
      <c r="G74" s="14"/>
      <c r="H74" s="14"/>
    </row>
    <row r="75" spans="1:8" x14ac:dyDescent="0.25">
      <c r="A75" s="13" t="s">
        <v>49</v>
      </c>
      <c r="B75" s="14">
        <f>B68</f>
        <v>20000</v>
      </c>
      <c r="C75" s="15">
        <f>C71</f>
        <v>564</v>
      </c>
      <c r="D75" s="76">
        <f>E71</f>
        <v>7064400</v>
      </c>
      <c r="E75" s="19">
        <f>Rates!L29</f>
        <v>162.60999999999999</v>
      </c>
      <c r="F75" s="9">
        <f>E75*C75</f>
        <v>91712.04</v>
      </c>
      <c r="G75" s="14"/>
    </row>
    <row r="76" spans="1:8" x14ac:dyDescent="0.25">
      <c r="A76" s="13" t="s">
        <v>74</v>
      </c>
      <c r="B76" s="14">
        <f>B69</f>
        <v>55000</v>
      </c>
      <c r="C76" s="15"/>
      <c r="D76" s="76">
        <f>F71</f>
        <v>10336500</v>
      </c>
      <c r="E76" s="148">
        <f>Rates!L30</f>
        <v>6.4499999999999993</v>
      </c>
      <c r="F76" s="3">
        <f>E76*(D76/1000)</f>
        <v>66670.424999999988</v>
      </c>
      <c r="G76" s="14"/>
    </row>
    <row r="77" spans="1:8" x14ac:dyDescent="0.25">
      <c r="A77" s="13" t="s">
        <v>50</v>
      </c>
      <c r="B77" s="16">
        <f>B70</f>
        <v>75000</v>
      </c>
      <c r="C77" s="20"/>
      <c r="D77" s="77">
        <f>G71</f>
        <v>19550100</v>
      </c>
      <c r="E77" s="21">
        <f>Rates!L31</f>
        <v>4.72</v>
      </c>
      <c r="F77" s="82">
        <f>E77*(D77/1000)</f>
        <v>92276.471999999994</v>
      </c>
      <c r="G77" s="14"/>
    </row>
    <row r="78" spans="1:8" x14ac:dyDescent="0.25">
      <c r="A78" s="13"/>
      <c r="B78" s="14" t="s">
        <v>54</v>
      </c>
      <c r="C78" s="3">
        <f>SUM(C75:C77)</f>
        <v>564</v>
      </c>
      <c r="D78" s="78">
        <f>SUM(D75:D77)</f>
        <v>36951000</v>
      </c>
      <c r="F78" s="9">
        <f>SUM(F75:F77)</f>
        <v>250658.93699999998</v>
      </c>
      <c r="G78" s="14"/>
      <c r="H78" s="14"/>
    </row>
    <row r="80" spans="1:8" ht="15.75" x14ac:dyDescent="0.25">
      <c r="A80" s="136" t="s">
        <v>185</v>
      </c>
    </row>
    <row r="81" spans="1:9" x14ac:dyDescent="0.25">
      <c r="E81" s="2" t="s">
        <v>49</v>
      </c>
      <c r="F81" s="2" t="s">
        <v>74</v>
      </c>
      <c r="G81" s="2" t="s">
        <v>50</v>
      </c>
    </row>
    <row r="82" spans="1:9" x14ac:dyDescent="0.25">
      <c r="B82" s="223" t="s">
        <v>51</v>
      </c>
      <c r="C82" s="12" t="s">
        <v>52</v>
      </c>
      <c r="D82" s="12" t="s">
        <v>53</v>
      </c>
      <c r="E82" s="12">
        <f>B83</f>
        <v>30000</v>
      </c>
      <c r="F82" s="12">
        <f>B84</f>
        <v>45000</v>
      </c>
      <c r="G82" s="12">
        <f>B85</f>
        <v>75000</v>
      </c>
      <c r="H82" s="223" t="s">
        <v>54</v>
      </c>
    </row>
    <row r="83" spans="1:9" x14ac:dyDescent="0.25">
      <c r="A83" s="13" t="s">
        <v>49</v>
      </c>
      <c r="B83" s="14">
        <v>30000</v>
      </c>
      <c r="C83" s="76">
        <f>SUM(Usage!J5:J11)</f>
        <v>21</v>
      </c>
      <c r="D83" s="76">
        <f>SUM(Usage!K5:K11)</f>
        <v>163500</v>
      </c>
      <c r="E83" s="76">
        <f>D83</f>
        <v>163500</v>
      </c>
      <c r="F83" s="76"/>
      <c r="G83" s="76">
        <f>D83-E83</f>
        <v>0</v>
      </c>
      <c r="H83" s="76">
        <f>SUM(E83:G83)</f>
        <v>163500</v>
      </c>
      <c r="I83" s="7"/>
    </row>
    <row r="84" spans="1:9" x14ac:dyDescent="0.25">
      <c r="A84" s="13" t="s">
        <v>74</v>
      </c>
      <c r="B84" s="14">
        <v>45000</v>
      </c>
      <c r="C84" s="76">
        <f>SUM(Usage!J12:J20)</f>
        <v>8</v>
      </c>
      <c r="D84" s="76">
        <f>SUM(Usage!K12:K20)</f>
        <v>333900</v>
      </c>
      <c r="E84" s="220">
        <f>$C84*E$82</f>
        <v>240000</v>
      </c>
      <c r="F84" s="76">
        <f>D84-E84</f>
        <v>93900</v>
      </c>
      <c r="G84" s="76"/>
      <c r="H84" s="76">
        <f>SUM(E84:G84)</f>
        <v>333900</v>
      </c>
      <c r="I84" s="7"/>
    </row>
    <row r="85" spans="1:9" x14ac:dyDescent="0.25">
      <c r="A85" s="13" t="s">
        <v>50</v>
      </c>
      <c r="B85" s="16">
        <v>75000</v>
      </c>
      <c r="C85" s="77">
        <f>Usage!J21</f>
        <v>1</v>
      </c>
      <c r="D85" s="77">
        <f>Usage!K21</f>
        <v>481300</v>
      </c>
      <c r="E85" s="77">
        <f>$C85*E$82</f>
        <v>30000</v>
      </c>
      <c r="F85" s="77">
        <f>$C85*F$82</f>
        <v>45000</v>
      </c>
      <c r="G85" s="77">
        <f>D85-E85-F85</f>
        <v>406300</v>
      </c>
      <c r="H85" s="77">
        <f>SUM(E85:G85)</f>
        <v>481300</v>
      </c>
      <c r="I85" s="7"/>
    </row>
    <row r="86" spans="1:9" x14ac:dyDescent="0.25">
      <c r="A86" s="13"/>
      <c r="B86" s="14"/>
      <c r="C86" s="78">
        <f t="shared" ref="C86:H86" si="4">SUM(C83:C85)</f>
        <v>30</v>
      </c>
      <c r="D86" s="78">
        <f t="shared" si="4"/>
        <v>978700</v>
      </c>
      <c r="E86" s="78">
        <f t="shared" si="4"/>
        <v>433500</v>
      </c>
      <c r="F86" s="78">
        <f t="shared" si="4"/>
        <v>138900</v>
      </c>
      <c r="G86" s="78">
        <f t="shared" si="4"/>
        <v>406300</v>
      </c>
      <c r="H86" s="78">
        <f t="shared" si="4"/>
        <v>978700</v>
      </c>
      <c r="I86" s="7"/>
    </row>
    <row r="87" spans="1:9" x14ac:dyDescent="0.25">
      <c r="A87" s="13"/>
      <c r="B87" s="14"/>
      <c r="D87" s="14"/>
      <c r="E87" s="14"/>
      <c r="F87" s="14"/>
      <c r="G87" s="14"/>
      <c r="H87" s="14"/>
      <c r="I87" s="7"/>
    </row>
    <row r="88" spans="1:9" x14ac:dyDescent="0.25">
      <c r="A88" s="18" t="s">
        <v>55</v>
      </c>
      <c r="B88" s="18"/>
      <c r="D88" s="14"/>
      <c r="E88" s="14"/>
      <c r="F88" s="14"/>
      <c r="G88" s="14"/>
      <c r="H88" s="14"/>
      <c r="I88" s="7"/>
    </row>
    <row r="89" spans="1:9" x14ac:dyDescent="0.25">
      <c r="A89" s="13"/>
      <c r="B89" s="223"/>
      <c r="C89" s="12" t="s">
        <v>52</v>
      </c>
      <c r="D89" s="223" t="s">
        <v>53</v>
      </c>
      <c r="E89" s="12" t="s">
        <v>56</v>
      </c>
      <c r="F89" s="12" t="s">
        <v>57</v>
      </c>
      <c r="G89" s="14"/>
      <c r="H89" s="14"/>
      <c r="I89" s="7"/>
    </row>
    <row r="90" spans="1:9" x14ac:dyDescent="0.25">
      <c r="A90" s="13" t="s">
        <v>49</v>
      </c>
      <c r="B90" s="14">
        <f>B83</f>
        <v>30000</v>
      </c>
      <c r="C90" s="15">
        <f>C86</f>
        <v>30</v>
      </c>
      <c r="D90" s="76">
        <f>E86</f>
        <v>433500</v>
      </c>
      <c r="E90" s="19">
        <f>Rates!L34</f>
        <v>256.47000000000003</v>
      </c>
      <c r="F90" s="9">
        <f>E90*C90</f>
        <v>7694.1</v>
      </c>
      <c r="G90" s="14"/>
      <c r="I90" s="7"/>
    </row>
    <row r="91" spans="1:9" x14ac:dyDescent="0.25">
      <c r="A91" s="13" t="s">
        <v>74</v>
      </c>
      <c r="B91" s="14">
        <f>B84</f>
        <v>45000</v>
      </c>
      <c r="C91" s="15"/>
      <c r="D91" s="76">
        <f>F86</f>
        <v>138900</v>
      </c>
      <c r="E91" s="148">
        <f>Rates!L35</f>
        <v>6.4499999999999993</v>
      </c>
      <c r="F91" s="3">
        <f>E91*(D91/1000)</f>
        <v>895.90499999999997</v>
      </c>
      <c r="G91" s="14"/>
      <c r="I91" s="7"/>
    </row>
    <row r="92" spans="1:9" x14ac:dyDescent="0.25">
      <c r="A92" s="13" t="s">
        <v>50</v>
      </c>
      <c r="B92" s="16">
        <f>B85</f>
        <v>75000</v>
      </c>
      <c r="C92" s="20"/>
      <c r="D92" s="77">
        <f>G86</f>
        <v>406300</v>
      </c>
      <c r="E92" s="21">
        <f>Rates!L36</f>
        <v>4.72</v>
      </c>
      <c r="F92" s="82">
        <f>E92*(D92/1000)</f>
        <v>1917.7359999999999</v>
      </c>
      <c r="G92" s="14"/>
      <c r="I92" s="7"/>
    </row>
    <row r="93" spans="1:9" x14ac:dyDescent="0.25">
      <c r="A93" s="13"/>
      <c r="B93" s="14" t="s">
        <v>54</v>
      </c>
      <c r="C93" s="3">
        <f>SUM(C90:C92)</f>
        <v>30</v>
      </c>
      <c r="D93" s="78">
        <f>SUM(D90:D92)</f>
        <v>978700</v>
      </c>
      <c r="F93" s="9">
        <f>SUM(F90:F92)</f>
        <v>10507.741000000002</v>
      </c>
      <c r="G93" s="14"/>
      <c r="H93" s="14"/>
      <c r="I93" s="7"/>
    </row>
    <row r="94" spans="1:9" x14ac:dyDescent="0.25">
      <c r="A94" s="7"/>
      <c r="B94" s="7"/>
      <c r="C94" s="7"/>
      <c r="D94" s="7"/>
      <c r="E94" s="7"/>
      <c r="F94" s="7"/>
      <c r="G94" s="7"/>
      <c r="H94" s="7"/>
      <c r="I94" s="7"/>
    </row>
    <row r="95" spans="1:9" ht="15.75" x14ac:dyDescent="0.25">
      <c r="A95" s="136" t="s">
        <v>186</v>
      </c>
      <c r="F95" s="78"/>
    </row>
    <row r="96" spans="1:9" x14ac:dyDescent="0.25">
      <c r="E96" s="2" t="s">
        <v>49</v>
      </c>
      <c r="F96" s="2" t="s">
        <v>50</v>
      </c>
    </row>
    <row r="97" spans="1:7" x14ac:dyDescent="0.25">
      <c r="B97" s="223" t="s">
        <v>51</v>
      </c>
      <c r="C97" s="12" t="s">
        <v>52</v>
      </c>
      <c r="D97" s="12" t="s">
        <v>53</v>
      </c>
      <c r="E97" s="12">
        <f>B98</f>
        <v>100000</v>
      </c>
      <c r="F97" s="12">
        <f>B99</f>
        <v>100000</v>
      </c>
      <c r="G97" s="223" t="s">
        <v>54</v>
      </c>
    </row>
    <row r="98" spans="1:7" x14ac:dyDescent="0.25">
      <c r="A98" s="13" t="s">
        <v>49</v>
      </c>
      <c r="B98" s="14">
        <v>100000</v>
      </c>
      <c r="C98" s="76">
        <v>25</v>
      </c>
      <c r="D98" s="76">
        <v>611900</v>
      </c>
      <c r="E98" s="76">
        <f>D98</f>
        <v>611900</v>
      </c>
      <c r="F98" s="76">
        <f>D98-E98</f>
        <v>0</v>
      </c>
      <c r="G98" s="76">
        <f>SUM(E98:F98)</f>
        <v>611900</v>
      </c>
    </row>
    <row r="99" spans="1:7" x14ac:dyDescent="0.25">
      <c r="A99" s="13" t="s">
        <v>50</v>
      </c>
      <c r="B99" s="16">
        <v>100000</v>
      </c>
      <c r="C99" s="77">
        <v>23</v>
      </c>
      <c r="D99" s="77">
        <v>52607300</v>
      </c>
      <c r="E99" s="77">
        <f>$C99*E97</f>
        <v>2300000</v>
      </c>
      <c r="F99" s="77">
        <f>D99-E99</f>
        <v>50307300</v>
      </c>
      <c r="G99" s="77">
        <f>SUM(E99:F99)</f>
        <v>52607300</v>
      </c>
    </row>
    <row r="100" spans="1:7" x14ac:dyDescent="0.25">
      <c r="A100" s="13"/>
      <c r="B100" s="14"/>
      <c r="C100" s="78">
        <f>SUM(C98:C99)</f>
        <v>48</v>
      </c>
      <c r="D100" s="78">
        <f>SUM(D98:D99)</f>
        <v>53219200</v>
      </c>
      <c r="E100" s="78">
        <f>SUM(E98:E99)</f>
        <v>2911900</v>
      </c>
      <c r="F100" s="78">
        <f>SUM(F98:F99)</f>
        <v>50307300</v>
      </c>
      <c r="G100" s="78">
        <f>SUM(G98:G99)</f>
        <v>53219200</v>
      </c>
    </row>
    <row r="101" spans="1:7" x14ac:dyDescent="0.25">
      <c r="A101" s="13"/>
      <c r="B101" s="14"/>
      <c r="D101" s="14"/>
      <c r="E101" s="14"/>
      <c r="F101" s="14"/>
      <c r="G101" s="14"/>
    </row>
    <row r="102" spans="1:7" x14ac:dyDescent="0.25">
      <c r="A102" s="18" t="s">
        <v>55</v>
      </c>
      <c r="B102" s="18"/>
      <c r="D102" s="14"/>
      <c r="E102" s="14"/>
      <c r="F102" s="14"/>
      <c r="G102" s="14"/>
    </row>
    <row r="103" spans="1:7" x14ac:dyDescent="0.25">
      <c r="A103" s="13"/>
      <c r="B103" s="223"/>
      <c r="C103" s="12" t="s">
        <v>52</v>
      </c>
      <c r="D103" s="223" t="s">
        <v>53</v>
      </c>
      <c r="E103" s="12" t="s">
        <v>56</v>
      </c>
      <c r="F103" s="12" t="s">
        <v>57</v>
      </c>
      <c r="G103" s="14"/>
    </row>
    <row r="104" spans="1:7" x14ac:dyDescent="0.25">
      <c r="A104" s="13" t="s">
        <v>49</v>
      </c>
      <c r="B104" s="14">
        <f>B98</f>
        <v>100000</v>
      </c>
      <c r="C104" s="15">
        <f>C100</f>
        <v>48</v>
      </c>
      <c r="D104" s="76">
        <f>E100</f>
        <v>2911900</v>
      </c>
      <c r="E104" s="19">
        <f>Rates!L39</f>
        <v>700.9799999999999</v>
      </c>
      <c r="F104" s="9">
        <f>E104*C104</f>
        <v>33647.039999999994</v>
      </c>
      <c r="G104" s="14"/>
    </row>
    <row r="105" spans="1:7" x14ac:dyDescent="0.25">
      <c r="A105" s="13" t="s">
        <v>50</v>
      </c>
      <c r="B105" s="16">
        <f>B99</f>
        <v>100000</v>
      </c>
      <c r="C105" s="20"/>
      <c r="D105" s="77">
        <f>F100</f>
        <v>50307300</v>
      </c>
      <c r="E105" s="21">
        <f>Rates!L40</f>
        <v>4.72</v>
      </c>
      <c r="F105" s="82">
        <f>E105*(D105/1000)</f>
        <v>237450.45600000001</v>
      </c>
      <c r="G105" s="14"/>
    </row>
    <row r="106" spans="1:7" x14ac:dyDescent="0.25">
      <c r="A106" s="13"/>
      <c r="B106" s="14" t="s">
        <v>54</v>
      </c>
      <c r="C106" s="3">
        <f>SUM(C104:C105)</f>
        <v>48</v>
      </c>
      <c r="D106" s="78">
        <f>SUM(D104:D105)</f>
        <v>53219200</v>
      </c>
      <c r="F106" s="9">
        <f>SUM(F104:F105)</f>
        <v>271097.49599999998</v>
      </c>
      <c r="G106" s="14"/>
    </row>
    <row r="108" spans="1:7" x14ac:dyDescent="0.25">
      <c r="A108" s="10" t="s">
        <v>189</v>
      </c>
    </row>
    <row r="109" spans="1:7" x14ac:dyDescent="0.25">
      <c r="B109" s="12" t="s">
        <v>193</v>
      </c>
      <c r="C109" s="12" t="s">
        <v>56</v>
      </c>
      <c r="D109" s="223" t="s">
        <v>54</v>
      </c>
    </row>
    <row r="110" spans="1:7" x14ac:dyDescent="0.25">
      <c r="A110" s="13" t="s">
        <v>190</v>
      </c>
      <c r="B110" s="3">
        <v>366938</v>
      </c>
      <c r="C110" s="33">
        <f>Rates!L43</f>
        <v>3.54</v>
      </c>
      <c r="D110" s="9">
        <f>B110*C110</f>
        <v>1298960.52</v>
      </c>
    </row>
    <row r="111" spans="1:7" x14ac:dyDescent="0.25">
      <c r="A111" s="13" t="s">
        <v>191</v>
      </c>
      <c r="B111" s="3">
        <v>484158</v>
      </c>
      <c r="C111" s="33">
        <f>C110</f>
        <v>3.54</v>
      </c>
      <c r="D111" s="3">
        <f>B111*C111</f>
        <v>1713919.32</v>
      </c>
    </row>
    <row r="112" spans="1:7" ht="17.25" x14ac:dyDescent="0.4">
      <c r="A112" s="13" t="s">
        <v>192</v>
      </c>
      <c r="B112" s="72">
        <v>13819</v>
      </c>
      <c r="C112" s="33">
        <f>C110</f>
        <v>3.54</v>
      </c>
      <c r="D112" s="72">
        <f>B112*C112</f>
        <v>48919.26</v>
      </c>
    </row>
    <row r="113" spans="2:4" x14ac:dyDescent="0.25">
      <c r="B113" s="79">
        <f>SUM(B110:B112)</f>
        <v>864915</v>
      </c>
      <c r="D113" s="9">
        <f>SUM(D110:D112)</f>
        <v>3061799.0999999996</v>
      </c>
    </row>
  </sheetData>
  <mergeCells count="2">
    <mergeCell ref="A1:I1"/>
    <mergeCell ref="A2:I2"/>
  </mergeCells>
  <printOptions horizontalCentered="1"/>
  <pageMargins left="0.6" right="0.6" top="0.75" bottom="0.5" header="0.3" footer="0.3"/>
  <pageSetup scale="79" fitToHeight="2" orientation="portrait" r:id="rId1"/>
  <headerFooter>
    <oddFooter>Page &amp;P of &amp;N</oddFooter>
  </headerFooter>
  <rowBreaks count="1" manualBreakCount="1">
    <brk id="56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4B35-0B5E-4D1B-A250-56B3929B7C3B}">
  <sheetPr>
    <pageSetUpPr fitToPage="1"/>
  </sheetPr>
  <dimension ref="A1:AS100"/>
  <sheetViews>
    <sheetView workbookViewId="0">
      <selection activeCell="M22" sqref="M22"/>
    </sheetView>
  </sheetViews>
  <sheetFormatPr defaultColWidth="8.88671875" defaultRowHeight="15" x14ac:dyDescent="0.25"/>
  <cols>
    <col min="1" max="1" width="28" style="1" customWidth="1"/>
    <col min="2" max="2" width="8.88671875" style="1"/>
    <col min="3" max="3" width="11.33203125" style="1" customWidth="1"/>
    <col min="4" max="4" width="10.33203125" style="1" customWidth="1"/>
    <col min="5" max="5" width="10.109375" style="1" customWidth="1"/>
    <col min="6" max="6" width="8.44140625" style="1" customWidth="1"/>
    <col min="7" max="7" width="9.44140625" style="1" customWidth="1"/>
    <col min="8" max="8" width="8.109375" style="1" customWidth="1"/>
    <col min="9" max="9" width="8.44140625" style="1" customWidth="1"/>
    <col min="10" max="10" width="11.109375" style="1" customWidth="1"/>
    <col min="11" max="11" width="11" style="1" customWidth="1"/>
    <col min="12" max="12" width="9.77734375" style="1" customWidth="1"/>
    <col min="13" max="13" width="9.88671875" style="1" customWidth="1"/>
    <col min="14" max="14" width="6" style="1" customWidth="1"/>
    <col min="15" max="15" width="8.88671875" style="1"/>
    <col min="16" max="16" width="5.21875" style="1" customWidth="1"/>
    <col min="17" max="17" width="4.77734375" style="1" customWidth="1"/>
    <col min="18" max="18" width="5.6640625" style="1" customWidth="1"/>
    <col min="19" max="19" width="10.21875" style="1" bestFit="1" customWidth="1"/>
    <col min="20" max="21" width="8.88671875" style="1"/>
    <col min="22" max="22" width="9.44140625" style="1" customWidth="1"/>
    <col min="23" max="23" width="10" style="1" customWidth="1"/>
    <col min="24" max="16384" width="8.88671875" style="1"/>
  </cols>
  <sheetData>
    <row r="1" spans="1:45" x14ac:dyDescent="0.25">
      <c r="B1" s="168" t="s">
        <v>220</v>
      </c>
      <c r="C1" s="148"/>
      <c r="E1" s="231"/>
      <c r="F1" s="231"/>
      <c r="G1" s="231"/>
      <c r="H1" s="231"/>
      <c r="I1" s="231"/>
      <c r="J1" s="231"/>
      <c r="K1" s="23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5">
      <c r="B2" s="226" t="s">
        <v>237</v>
      </c>
      <c r="C2" s="148"/>
      <c r="E2" s="231"/>
      <c r="F2" s="231"/>
      <c r="G2" s="231"/>
      <c r="H2" s="231"/>
      <c r="I2" s="231"/>
      <c r="J2" s="231"/>
      <c r="K2" s="232"/>
      <c r="O2" s="3"/>
      <c r="P2" s="3"/>
      <c r="Q2" s="3"/>
      <c r="R2" s="259" t="s">
        <v>270</v>
      </c>
      <c r="S2" s="82"/>
      <c r="T2" s="82"/>
      <c r="U2" s="8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5">
      <c r="C3" s="148"/>
      <c r="E3" s="231"/>
      <c r="F3" s="231"/>
      <c r="G3" s="231"/>
      <c r="H3" s="231"/>
      <c r="I3" s="231"/>
      <c r="J3" s="237"/>
      <c r="K3" s="232"/>
      <c r="O3" s="3"/>
      <c r="P3" s="3"/>
      <c r="Q3" s="3"/>
      <c r="R3" s="3"/>
      <c r="S3" s="3">
        <f>SUM(C11:C18)</f>
        <v>1531640.8</v>
      </c>
      <c r="T3" s="3" t="s">
        <v>585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5">
      <c r="B4" s="239"/>
      <c r="C4" s="148"/>
      <c r="E4" s="238" t="s">
        <v>239</v>
      </c>
      <c r="F4" s="238"/>
      <c r="G4" s="238"/>
      <c r="H4" s="238"/>
      <c r="I4" s="238" t="s">
        <v>240</v>
      </c>
      <c r="J4" s="238" t="s">
        <v>267</v>
      </c>
      <c r="K4" s="232"/>
      <c r="O4" s="3"/>
      <c r="P4" s="3"/>
      <c r="Q4" s="3"/>
      <c r="R4" s="3"/>
      <c r="S4" s="3">
        <f>-C17*0.6666</f>
        <v>-315824.08110000001</v>
      </c>
      <c r="T4" s="3" t="s">
        <v>264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ht="17.25" x14ac:dyDescent="0.4">
      <c r="B5" s="239"/>
      <c r="C5" s="240"/>
      <c r="E5" s="231"/>
      <c r="F5" s="231"/>
      <c r="G5" s="231"/>
      <c r="H5" s="231"/>
      <c r="I5" s="231"/>
      <c r="J5" s="231"/>
      <c r="K5" s="232"/>
      <c r="O5" s="3"/>
      <c r="P5" s="3"/>
      <c r="Q5" s="3"/>
      <c r="R5" s="3"/>
      <c r="S5" s="72">
        <f>M21</f>
        <v>11476.426404990461</v>
      </c>
      <c r="T5" s="3" t="s">
        <v>277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x14ac:dyDescent="0.25">
      <c r="A6" s="2"/>
      <c r="B6" s="241" t="s">
        <v>241</v>
      </c>
      <c r="C6" s="242" t="s">
        <v>242</v>
      </c>
      <c r="D6" s="241" t="s">
        <v>243</v>
      </c>
      <c r="E6" s="243" t="s">
        <v>244</v>
      </c>
      <c r="F6" s="243"/>
      <c r="G6" s="243"/>
      <c r="H6" s="243"/>
      <c r="I6" s="243" t="s">
        <v>245</v>
      </c>
      <c r="J6" s="244">
        <v>604</v>
      </c>
      <c r="K6" s="245" t="s">
        <v>54</v>
      </c>
      <c r="L6" s="2"/>
      <c r="M6" s="2"/>
      <c r="N6" s="2"/>
      <c r="O6" s="258"/>
      <c r="P6" s="258"/>
      <c r="Q6" s="3"/>
      <c r="R6" s="198"/>
      <c r="S6" s="3">
        <f>SUM(S3:S5)</f>
        <v>1227293.1453049905</v>
      </c>
      <c r="T6" s="3" t="s">
        <v>265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x14ac:dyDescent="0.25">
      <c r="A7" s="582" t="s">
        <v>583</v>
      </c>
      <c r="B7" s="241" t="s">
        <v>246</v>
      </c>
      <c r="C7" s="246">
        <v>6906.5</v>
      </c>
      <c r="D7" s="247">
        <f>C7/C23</f>
        <v>2.9521768214439427E-3</v>
      </c>
      <c r="E7" s="248">
        <f>E25*D7</f>
        <v>534.55786037029907</v>
      </c>
      <c r="F7" s="248">
        <f t="shared" ref="F7:F22" si="0">$F$25*D7</f>
        <v>0</v>
      </c>
      <c r="G7" s="248">
        <f t="shared" ref="G7:G22" si="1">$G$25*D7</f>
        <v>0</v>
      </c>
      <c r="H7" s="248">
        <f t="shared" ref="H7:H22" si="2">$H$25*D7</f>
        <v>0</v>
      </c>
      <c r="I7" s="248">
        <f t="shared" ref="I7:I22" si="3">$I$25*D7</f>
        <v>17.284729593640353</v>
      </c>
      <c r="J7" s="248">
        <f t="shared" ref="J7:J22" si="4">$J$25*D7</f>
        <v>4964.051286659238</v>
      </c>
      <c r="K7" s="249">
        <f t="shared" ref="K7:K22" si="5">SUM(E7:J7)</f>
        <v>5515.8938766231777</v>
      </c>
      <c r="L7" s="1" t="s">
        <v>600</v>
      </c>
      <c r="O7" s="3"/>
      <c r="P7" s="3"/>
      <c r="Q7" s="258"/>
      <c r="R7" s="258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s="582" t="s">
        <v>568</v>
      </c>
      <c r="B8" s="241" t="s">
        <v>247</v>
      </c>
      <c r="C8" s="246">
        <v>12458.92</v>
      </c>
      <c r="D8" s="247">
        <f t="shared" ref="D8:D22" si="6">C8/$C$23</f>
        <v>5.3255534415730639E-3</v>
      </c>
      <c r="E8" s="248">
        <f t="shared" ref="E8:E22" si="7">$E$25*D8</f>
        <v>964.31095601603215</v>
      </c>
      <c r="F8" s="248">
        <f t="shared" si="0"/>
        <v>0</v>
      </c>
      <c r="G8" s="248">
        <f t="shared" si="1"/>
        <v>0</v>
      </c>
      <c r="H8" s="248">
        <f t="shared" si="2"/>
        <v>0</v>
      </c>
      <c r="I8" s="248">
        <f t="shared" si="3"/>
        <v>31.180636100600548</v>
      </c>
      <c r="J8" s="248">
        <f t="shared" si="4"/>
        <v>8954.8567083739254</v>
      </c>
      <c r="K8" s="249">
        <f t="shared" si="5"/>
        <v>9950.3483004905574</v>
      </c>
      <c r="L8" s="1" t="s">
        <v>600</v>
      </c>
      <c r="O8" s="3"/>
      <c r="P8" s="3"/>
      <c r="Q8" s="3"/>
      <c r="R8" s="3"/>
      <c r="S8" s="3">
        <f>SUM(K11:K18)</f>
        <v>1223248.8394854448</v>
      </c>
      <c r="T8" s="3" t="s">
        <v>586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s="582" t="s">
        <v>569</v>
      </c>
      <c r="B9" s="241" t="s">
        <v>248</v>
      </c>
      <c r="C9" s="246"/>
      <c r="D9" s="247">
        <f t="shared" si="6"/>
        <v>0</v>
      </c>
      <c r="E9" s="248">
        <f t="shared" si="7"/>
        <v>0</v>
      </c>
      <c r="F9" s="248">
        <f t="shared" si="0"/>
        <v>0</v>
      </c>
      <c r="G9" s="248">
        <f t="shared" si="1"/>
        <v>0</v>
      </c>
      <c r="H9" s="248">
        <f t="shared" si="2"/>
        <v>0</v>
      </c>
      <c r="I9" s="248">
        <f t="shared" si="3"/>
        <v>0</v>
      </c>
      <c r="J9" s="248">
        <f t="shared" si="4"/>
        <v>0</v>
      </c>
      <c r="K9" s="249">
        <f t="shared" si="5"/>
        <v>0</v>
      </c>
      <c r="O9" s="3"/>
      <c r="P9" s="3"/>
      <c r="Q9" s="3"/>
      <c r="R9" s="3"/>
      <c r="S9" s="3">
        <f>-Trk_Off!L21*0.6666</f>
        <v>-252233.70744</v>
      </c>
      <c r="T9" s="3" t="s">
        <v>264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s="582" t="s">
        <v>570</v>
      </c>
      <c r="B10" s="241" t="s">
        <v>249</v>
      </c>
      <c r="C10" s="246"/>
      <c r="D10" s="247">
        <f t="shared" si="6"/>
        <v>0</v>
      </c>
      <c r="E10" s="248">
        <f t="shared" si="7"/>
        <v>0</v>
      </c>
      <c r="F10" s="248">
        <f t="shared" si="0"/>
        <v>0</v>
      </c>
      <c r="G10" s="248">
        <f t="shared" si="1"/>
        <v>0</v>
      </c>
      <c r="H10" s="248">
        <f t="shared" si="2"/>
        <v>0</v>
      </c>
      <c r="I10" s="248">
        <f t="shared" si="3"/>
        <v>0</v>
      </c>
      <c r="J10" s="248">
        <f t="shared" si="4"/>
        <v>0</v>
      </c>
      <c r="K10" s="249">
        <f t="shared" si="5"/>
        <v>0</v>
      </c>
      <c r="L10" s="267" t="s">
        <v>272</v>
      </c>
      <c r="M10" s="267" t="s">
        <v>273</v>
      </c>
      <c r="O10" s="3"/>
      <c r="P10" s="3"/>
      <c r="Q10" s="3"/>
      <c r="R10" s="3"/>
      <c r="S10" s="3">
        <f>M22</f>
        <v>9165.6772797804133</v>
      </c>
      <c r="T10" s="3" t="s">
        <v>277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x14ac:dyDescent="0.25">
      <c r="A11" s="583" t="s">
        <v>571</v>
      </c>
      <c r="B11" s="250" t="s">
        <v>250</v>
      </c>
      <c r="C11" s="251">
        <v>4567.3599999999997</v>
      </c>
      <c r="D11" s="247">
        <f t="shared" si="6"/>
        <v>1.9523136649808449E-3</v>
      </c>
      <c r="E11" s="248">
        <f t="shared" si="7"/>
        <v>353.51019896342416</v>
      </c>
      <c r="F11" s="248">
        <f t="shared" si="0"/>
        <v>0</v>
      </c>
      <c r="G11" s="248">
        <f t="shared" si="1"/>
        <v>0</v>
      </c>
      <c r="H11" s="248">
        <f t="shared" si="2"/>
        <v>0</v>
      </c>
      <c r="I11" s="248">
        <f t="shared" si="3"/>
        <v>11.430620800232999</v>
      </c>
      <c r="J11" s="248">
        <f t="shared" si="4"/>
        <v>3282.7929174887336</v>
      </c>
      <c r="K11" s="252">
        <f t="shared" si="5"/>
        <v>3647.7337372523907</v>
      </c>
      <c r="L11" s="3">
        <f t="shared" ref="L11:L16" si="8">K11+C11</f>
        <v>8215.0937372523913</v>
      </c>
      <c r="M11" s="3">
        <v>8352.9</v>
      </c>
      <c r="O11" s="3"/>
      <c r="P11" s="3"/>
      <c r="Q11" s="3"/>
      <c r="R11" s="3"/>
      <c r="S11" s="3">
        <f>-T23</f>
        <v>-94103.291661133902</v>
      </c>
      <c r="T11" s="148" t="s">
        <v>278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5" ht="24" x14ac:dyDescent="0.4">
      <c r="A12" s="583" t="s">
        <v>572</v>
      </c>
      <c r="B12" s="250" t="s">
        <v>251</v>
      </c>
      <c r="C12" s="251"/>
      <c r="D12" s="247">
        <f t="shared" si="6"/>
        <v>0</v>
      </c>
      <c r="E12" s="248">
        <f t="shared" si="7"/>
        <v>0</v>
      </c>
      <c r="F12" s="248">
        <f t="shared" si="0"/>
        <v>0</v>
      </c>
      <c r="G12" s="248">
        <f t="shared" si="1"/>
        <v>0</v>
      </c>
      <c r="H12" s="248">
        <f t="shared" si="2"/>
        <v>0</v>
      </c>
      <c r="I12" s="248">
        <f t="shared" si="3"/>
        <v>0</v>
      </c>
      <c r="J12" s="248">
        <f t="shared" si="4"/>
        <v>0</v>
      </c>
      <c r="K12" s="252">
        <f t="shared" si="5"/>
        <v>0</v>
      </c>
      <c r="L12" s="3">
        <f t="shared" si="8"/>
        <v>0</v>
      </c>
      <c r="M12" s="3">
        <v>0</v>
      </c>
      <c r="O12" s="3"/>
      <c r="P12" s="3"/>
      <c r="Q12" s="3"/>
      <c r="R12" s="3"/>
      <c r="S12" s="72">
        <f>-T24</f>
        <v>-3042.7949354395923</v>
      </c>
      <c r="T12" s="3" t="s">
        <v>279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</row>
    <row r="13" spans="1:45" x14ac:dyDescent="0.25">
      <c r="A13" s="583" t="s">
        <v>573</v>
      </c>
      <c r="B13" s="250" t="s">
        <v>252</v>
      </c>
      <c r="C13" s="251">
        <v>483725.81</v>
      </c>
      <c r="D13" s="247">
        <f t="shared" si="6"/>
        <v>0.20676813497664467</v>
      </c>
      <c r="E13" s="248">
        <f t="shared" si="7"/>
        <v>37440.010714470394</v>
      </c>
      <c r="F13" s="248">
        <f t="shared" si="0"/>
        <v>0</v>
      </c>
      <c r="G13" s="248">
        <f t="shared" si="1"/>
        <v>0</v>
      </c>
      <c r="H13" s="248">
        <f t="shared" si="2"/>
        <v>0</v>
      </c>
      <c r="I13" s="248">
        <f t="shared" si="3"/>
        <v>1210.6088211561066</v>
      </c>
      <c r="J13" s="248">
        <f t="shared" si="4"/>
        <v>347678.23492663173</v>
      </c>
      <c r="K13" s="252">
        <f t="shared" si="5"/>
        <v>386328.85446225823</v>
      </c>
      <c r="L13" s="3">
        <f t="shared" si="8"/>
        <v>870054.66446225822</v>
      </c>
      <c r="M13" s="3">
        <v>883125.33000000007</v>
      </c>
      <c r="O13" s="3"/>
      <c r="P13" s="3"/>
      <c r="Q13" s="3"/>
      <c r="R13" s="3"/>
      <c r="S13" s="3">
        <f>SUM(S8:S12)</f>
        <v>883034.72272865172</v>
      </c>
      <c r="T13" s="3" t="s">
        <v>266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</row>
    <row r="14" spans="1:45" ht="24" x14ac:dyDescent="0.25">
      <c r="A14" s="583" t="s">
        <v>574</v>
      </c>
      <c r="B14" s="250" t="s">
        <v>253</v>
      </c>
      <c r="C14" s="251">
        <v>2059.54</v>
      </c>
      <c r="D14" s="247">
        <f t="shared" si="6"/>
        <v>8.803484037988355E-4</v>
      </c>
      <c r="E14" s="248">
        <f t="shared" si="7"/>
        <v>159.40683352596042</v>
      </c>
      <c r="F14" s="248">
        <f t="shared" si="0"/>
        <v>0</v>
      </c>
      <c r="G14" s="248">
        <f t="shared" si="1"/>
        <v>0</v>
      </c>
      <c r="H14" s="248">
        <f t="shared" si="2"/>
        <v>0</v>
      </c>
      <c r="I14" s="248">
        <f t="shared" si="3"/>
        <v>5.15436067288584</v>
      </c>
      <c r="J14" s="248">
        <f t="shared" si="4"/>
        <v>1480.295690570646</v>
      </c>
      <c r="K14" s="252">
        <f t="shared" si="5"/>
        <v>1644.8568847694924</v>
      </c>
      <c r="L14" s="3">
        <f t="shared" si="8"/>
        <v>3704.3968847694923</v>
      </c>
      <c r="M14" s="3">
        <v>3766.54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x14ac:dyDescent="0.25">
      <c r="A15" s="583" t="s">
        <v>575</v>
      </c>
      <c r="B15" s="250" t="s">
        <v>254</v>
      </c>
      <c r="C15" s="251">
        <v>96756.64</v>
      </c>
      <c r="D15" s="247">
        <f t="shared" si="6"/>
        <v>4.1358533255454404E-2</v>
      </c>
      <c r="E15" s="248">
        <f t="shared" si="7"/>
        <v>7488.8905313862724</v>
      </c>
      <c r="F15" s="248">
        <f t="shared" si="0"/>
        <v>0</v>
      </c>
      <c r="G15" s="248">
        <f t="shared" si="1"/>
        <v>0</v>
      </c>
      <c r="H15" s="248">
        <f t="shared" si="2"/>
        <v>0</v>
      </c>
      <c r="I15" s="248">
        <f t="shared" si="3"/>
        <v>242.15048994269253</v>
      </c>
      <c r="J15" s="248">
        <f t="shared" si="4"/>
        <v>69543.896805158147</v>
      </c>
      <c r="K15" s="252">
        <f t="shared" si="5"/>
        <v>77274.937826487119</v>
      </c>
      <c r="L15" s="3">
        <f t="shared" si="8"/>
        <v>174031.57782648713</v>
      </c>
      <c r="M15" s="3">
        <v>176951.09</v>
      </c>
      <c r="O15" s="3"/>
      <c r="S15" s="624" t="s">
        <v>269</v>
      </c>
      <c r="T15" s="624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5" ht="18" x14ac:dyDescent="0.4">
      <c r="A16" s="583" t="s">
        <v>576</v>
      </c>
      <c r="B16" s="250" t="s">
        <v>255</v>
      </c>
      <c r="C16" s="251">
        <v>380525.2</v>
      </c>
      <c r="D16" s="247">
        <f t="shared" si="6"/>
        <v>0.16265513290600458</v>
      </c>
      <c r="E16" s="248">
        <f t="shared" si="7"/>
        <v>29452.36179381454</v>
      </c>
      <c r="F16" s="248">
        <f t="shared" si="0"/>
        <v>0</v>
      </c>
      <c r="G16" s="248">
        <f t="shared" si="1"/>
        <v>0</v>
      </c>
      <c r="H16" s="248">
        <f t="shared" si="2"/>
        <v>0</v>
      </c>
      <c r="I16" s="248">
        <f t="shared" si="3"/>
        <v>952.33116420269528</v>
      </c>
      <c r="J16" s="248">
        <f t="shared" si="4"/>
        <v>273502.73056776432</v>
      </c>
      <c r="K16" s="252">
        <f t="shared" si="5"/>
        <v>303907.42352578155</v>
      </c>
      <c r="L16" s="3">
        <f t="shared" si="8"/>
        <v>684432.62352578156</v>
      </c>
      <c r="M16" s="3">
        <v>683713.19</v>
      </c>
      <c r="N16" s="74"/>
      <c r="O16" s="3"/>
      <c r="P16"/>
      <c r="S16" s="267"/>
      <c r="T16" s="267"/>
      <c r="V16" s="183" t="s">
        <v>287</v>
      </c>
      <c r="W16" s="280" t="s">
        <v>286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ht="15.75" x14ac:dyDescent="0.25">
      <c r="A17" s="584" t="s">
        <v>584</v>
      </c>
      <c r="B17" s="263" t="s">
        <v>256</v>
      </c>
      <c r="C17" s="264">
        <v>473783.5</v>
      </c>
      <c r="D17" s="265">
        <f t="shared" si="6"/>
        <v>0.2025183040733492</v>
      </c>
      <c r="E17" s="254">
        <f t="shared" si="7"/>
        <v>36670.483463223281</v>
      </c>
      <c r="F17" s="254">
        <f t="shared" si="0"/>
        <v>0</v>
      </c>
      <c r="G17" s="254">
        <f t="shared" si="1"/>
        <v>0</v>
      </c>
      <c r="H17" s="254">
        <f t="shared" si="2"/>
        <v>0</v>
      </c>
      <c r="I17" s="254">
        <f t="shared" si="3"/>
        <v>1185.7264437020929</v>
      </c>
      <c r="J17" s="254">
        <f t="shared" si="4"/>
        <v>340532.19326329068</v>
      </c>
      <c r="K17" s="266">
        <f t="shared" si="5"/>
        <v>378388.40317021607</v>
      </c>
      <c r="L17" s="3">
        <v>282307</v>
      </c>
      <c r="M17" s="3">
        <v>287043.78999999998</v>
      </c>
      <c r="N17" s="231"/>
      <c r="O17" s="3"/>
      <c r="P17"/>
      <c r="Q17" s="3"/>
      <c r="R17" s="260"/>
      <c r="S17" s="156" t="s">
        <v>262</v>
      </c>
      <c r="T17" s="3">
        <f>$S$13*M30</f>
        <v>291457.10347634566</v>
      </c>
      <c r="U17" s="255">
        <f>T17/$T$25</f>
        <v>0.13214012336019651</v>
      </c>
      <c r="V17" s="3">
        <f>U17*Trk_Off!$D$52</f>
        <v>-2909.6581267556903</v>
      </c>
      <c r="W17" s="277">
        <f>T17+V17</f>
        <v>288547.44534958998</v>
      </c>
      <c r="X17" s="3"/>
      <c r="Y17" s="198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ht="24" x14ac:dyDescent="0.4">
      <c r="A18" s="583" t="s">
        <v>578</v>
      </c>
      <c r="B18" s="250" t="s">
        <v>257</v>
      </c>
      <c r="C18" s="251">
        <v>90222.75</v>
      </c>
      <c r="D18" s="247">
        <f t="shared" si="6"/>
        <v>3.8565628222244477E-2</v>
      </c>
      <c r="E18" s="248">
        <f t="shared" si="7"/>
        <v>6983.1724023346696</v>
      </c>
      <c r="F18" s="248">
        <f t="shared" si="0"/>
        <v>0</v>
      </c>
      <c r="G18" s="248">
        <f t="shared" si="1"/>
        <v>0</v>
      </c>
      <c r="H18" s="248">
        <f t="shared" si="2"/>
        <v>0</v>
      </c>
      <c r="I18" s="248">
        <f t="shared" si="3"/>
        <v>225.79828233470141</v>
      </c>
      <c r="J18" s="248">
        <f t="shared" si="4"/>
        <v>64847.659194010688</v>
      </c>
      <c r="K18" s="252">
        <f t="shared" si="5"/>
        <v>72056.629878680062</v>
      </c>
      <c r="L18" s="72">
        <f>K18+C18</f>
        <v>162279.37987868005</v>
      </c>
      <c r="M18" s="72">
        <v>162714</v>
      </c>
      <c r="O18" s="3"/>
      <c r="Q18" s="3"/>
      <c r="R18" s="3"/>
      <c r="S18" s="156" t="s">
        <v>238</v>
      </c>
      <c r="T18" s="3">
        <f>($S$13*M31)-1807</f>
        <v>583107.50624645583</v>
      </c>
      <c r="U18" s="255">
        <f>T18/$T$25</f>
        <v>0.26436788429113267</v>
      </c>
      <c r="V18" s="3">
        <f>U18*Trk_Off!$D$52</f>
        <v>-5821.2459881251179</v>
      </c>
      <c r="W18" s="277">
        <f t="shared" ref="W18:W24" si="9">T18+V18</f>
        <v>577286.26025833073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8" x14ac:dyDescent="0.4">
      <c r="A19"/>
      <c r="B19" s="241" t="s">
        <v>258</v>
      </c>
      <c r="C19" s="246"/>
      <c r="D19" s="247">
        <f t="shared" si="6"/>
        <v>0</v>
      </c>
      <c r="E19" s="248">
        <f t="shared" si="7"/>
        <v>0</v>
      </c>
      <c r="F19" s="248">
        <f t="shared" si="0"/>
        <v>0</v>
      </c>
      <c r="G19" s="248">
        <f t="shared" si="1"/>
        <v>0</v>
      </c>
      <c r="H19" s="248">
        <f t="shared" si="2"/>
        <v>0</v>
      </c>
      <c r="I19" s="248">
        <f t="shared" si="3"/>
        <v>0</v>
      </c>
      <c r="J19" s="248">
        <f t="shared" si="4"/>
        <v>0</v>
      </c>
      <c r="K19" s="249">
        <f t="shared" si="5"/>
        <v>0</v>
      </c>
      <c r="L19" s="79">
        <f>SUM(L11:L18)</f>
        <v>2185024.736315229</v>
      </c>
      <c r="M19" s="262">
        <f>SUM(M11:M18)</f>
        <v>2205666.84</v>
      </c>
      <c r="Q19" s="3"/>
      <c r="R19" s="3"/>
      <c r="S19" s="156" t="s">
        <v>263</v>
      </c>
      <c r="T19" s="72">
        <f>$S$13*M32</f>
        <v>6663.113005850254</v>
      </c>
      <c r="U19" s="255">
        <f>T19/$T$25</f>
        <v>3.0209062124555144E-3</v>
      </c>
      <c r="V19" s="72">
        <f>U19*Trk_Off!$D$52</f>
        <v>-66.518814177871576</v>
      </c>
      <c r="W19" s="278">
        <f t="shared" si="9"/>
        <v>6596.5941916723823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5">
      <c r="A20" s="582" t="s">
        <v>579</v>
      </c>
      <c r="B20" s="241" t="s">
        <v>259</v>
      </c>
      <c r="C20" s="246">
        <v>100613.5</v>
      </c>
      <c r="D20" s="247">
        <f t="shared" si="6"/>
        <v>4.3007144374770163E-2</v>
      </c>
      <c r="E20" s="248">
        <f t="shared" si="7"/>
        <v>7787.408569371908</v>
      </c>
      <c r="F20" s="248">
        <f t="shared" si="0"/>
        <v>0</v>
      </c>
      <c r="G20" s="248">
        <f t="shared" si="1"/>
        <v>0</v>
      </c>
      <c r="H20" s="248">
        <f t="shared" si="2"/>
        <v>0</v>
      </c>
      <c r="I20" s="248">
        <f t="shared" si="3"/>
        <v>251.80295967128558</v>
      </c>
      <c r="J20" s="248">
        <f t="shared" si="4"/>
        <v>72316.01739380139</v>
      </c>
      <c r="K20" s="249">
        <f t="shared" si="5"/>
        <v>80355.228922844588</v>
      </c>
      <c r="M20" s="79">
        <f>M19-L19</f>
        <v>20642.103684770875</v>
      </c>
      <c r="N20" s="1" t="s">
        <v>274</v>
      </c>
      <c r="Q20" s="3"/>
      <c r="R20" s="3"/>
      <c r="S20" s="193" t="s">
        <v>280</v>
      </c>
      <c r="T20" s="169">
        <f>SUM(T17:T19)</f>
        <v>881227.72272865172</v>
      </c>
      <c r="U20" s="255">
        <f>T20/$T$25</f>
        <v>0.3995289138637847</v>
      </c>
      <c r="V20" s="3">
        <f>SUM(V17:V19)</f>
        <v>-8797.4229290586791</v>
      </c>
      <c r="W20" s="277">
        <f t="shared" si="9"/>
        <v>872430.29979959305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A21" s="582" t="s">
        <v>580</v>
      </c>
      <c r="B21" s="241" t="s">
        <v>229</v>
      </c>
      <c r="C21" s="246">
        <v>339678.43</v>
      </c>
      <c r="D21" s="247">
        <f t="shared" si="6"/>
        <v>0.14519522012458824</v>
      </c>
      <c r="E21" s="248">
        <f t="shared" si="7"/>
        <v>26290.852784296298</v>
      </c>
      <c r="F21" s="248">
        <f t="shared" si="0"/>
        <v>0</v>
      </c>
      <c r="G21" s="248">
        <f t="shared" si="1"/>
        <v>0</v>
      </c>
      <c r="H21" s="248">
        <f t="shared" si="2"/>
        <v>0</v>
      </c>
      <c r="I21" s="248">
        <f t="shared" si="3"/>
        <v>850.10494625965293</v>
      </c>
      <c r="J21" s="248">
        <f t="shared" si="4"/>
        <v>244144.08853860709</v>
      </c>
      <c r="K21" s="249">
        <f t="shared" si="5"/>
        <v>271285.04626916302</v>
      </c>
      <c r="M21" s="79">
        <f>M20*C26</f>
        <v>11476.426404990461</v>
      </c>
      <c r="N21" s="1" t="s">
        <v>275</v>
      </c>
      <c r="Q21" s="3"/>
      <c r="R21" s="3"/>
      <c r="S21" s="73"/>
      <c r="T21" s="3"/>
      <c r="V21" s="3"/>
      <c r="W21" s="277">
        <f t="shared" si="9"/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A22" s="582" t="s">
        <v>581</v>
      </c>
      <c r="B22" s="241" t="s">
        <v>228</v>
      </c>
      <c r="C22" s="246">
        <v>348161.99</v>
      </c>
      <c r="D22" s="247">
        <f t="shared" si="6"/>
        <v>0.14882150973514771</v>
      </c>
      <c r="E22" s="248">
        <f t="shared" si="7"/>
        <v>26947.47389222695</v>
      </c>
      <c r="F22" s="248">
        <f t="shared" si="0"/>
        <v>0</v>
      </c>
      <c r="G22" s="248">
        <f t="shared" si="1"/>
        <v>0</v>
      </c>
      <c r="H22" s="248">
        <f t="shared" si="2"/>
        <v>0</v>
      </c>
      <c r="I22" s="248">
        <f t="shared" si="3"/>
        <v>871.33654556341367</v>
      </c>
      <c r="J22" s="248">
        <f t="shared" si="4"/>
        <v>250241.65270764363</v>
      </c>
      <c r="K22" s="249">
        <f t="shared" si="5"/>
        <v>278060.46314543398</v>
      </c>
      <c r="M22" s="79">
        <f>M20*K26</f>
        <v>9165.6772797804133</v>
      </c>
      <c r="N22" s="1" t="s">
        <v>276</v>
      </c>
      <c r="Q22" s="3"/>
      <c r="R22" s="3"/>
      <c r="S22" s="73" t="s">
        <v>275</v>
      </c>
      <c r="T22" s="3">
        <f>S6</f>
        <v>1227293.1453049905</v>
      </c>
      <c r="U22" s="255">
        <f>T22/$T$25</f>
        <v>0.55642722611798323</v>
      </c>
      <c r="V22" s="3">
        <f>U22*Trk_Off!$D$52</f>
        <v>-12252.243748926287</v>
      </c>
      <c r="W22" s="277">
        <f t="shared" si="9"/>
        <v>1215040.9015560641</v>
      </c>
      <c r="X22" s="198">
        <f>W22/C25</f>
        <v>0.5193680716253043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B23" s="253"/>
      <c r="C23" s="246">
        <f>SUM(C7:C22)</f>
        <v>2339460.1399999997</v>
      </c>
      <c r="D23" s="247">
        <f>SUM(D7:D22)</f>
        <v>1.0000000000000002</v>
      </c>
      <c r="E23" s="248">
        <f>SUM(E6:E22)</f>
        <v>181072.44000000003</v>
      </c>
      <c r="F23" s="248">
        <f>SUM(F6:F22)</f>
        <v>0</v>
      </c>
      <c r="G23" s="248">
        <f>SUM(G7:G22)</f>
        <v>0</v>
      </c>
      <c r="H23" s="248">
        <f>SUM(H6:H22)</f>
        <v>0</v>
      </c>
      <c r="I23" s="248">
        <f>SUM(I6:I22)</f>
        <v>5854.9100000000008</v>
      </c>
      <c r="J23" s="248">
        <f>SUM(J7:J22)</f>
        <v>1681488.4700000002</v>
      </c>
      <c r="K23" s="249">
        <f>SUM(K7:K22)</f>
        <v>1868415.8200000003</v>
      </c>
      <c r="Q23" s="3"/>
      <c r="R23" s="3"/>
      <c r="S23" s="73" t="s">
        <v>239</v>
      </c>
      <c r="T23" s="3">
        <f>SUM(E11:E18)-0.6666*E17</f>
        <v>94103.291661133902</v>
      </c>
      <c r="U23" s="255">
        <f>T23/$T$25</f>
        <v>4.2664324939714435E-2</v>
      </c>
      <c r="V23" s="3">
        <f>U23*Trk_Off!$D$52</f>
        <v>-939.44667695670421</v>
      </c>
      <c r="W23" s="277">
        <f t="shared" si="9"/>
        <v>93163.844984177194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7.25" x14ac:dyDescent="0.4">
      <c r="B24" s="253"/>
      <c r="C24" s="246"/>
      <c r="D24" s="253"/>
      <c r="E24" s="248"/>
      <c r="F24" s="248"/>
      <c r="G24" s="248"/>
      <c r="H24" s="248"/>
      <c r="I24" s="248"/>
      <c r="J24" s="248"/>
      <c r="K24" s="249"/>
      <c r="Q24" s="3"/>
      <c r="R24" s="3"/>
      <c r="S24" s="73" t="s">
        <v>271</v>
      </c>
      <c r="T24" s="72">
        <f>SUM(I11:I18)-0.6666*I17</f>
        <v>3042.7949354395923</v>
      </c>
      <c r="U24" s="255">
        <f>T24/$T$25</f>
        <v>1.3795350785176554E-3</v>
      </c>
      <c r="V24" s="72">
        <f>U24*Trk_Off!$D$52</f>
        <v>-30.3766588851433</v>
      </c>
      <c r="W24" s="278">
        <f t="shared" si="9"/>
        <v>3012.4182765544492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B25" s="241" t="s">
        <v>261</v>
      </c>
      <c r="C25" s="269">
        <f>C23</f>
        <v>2339460.1399999997</v>
      </c>
      <c r="D25" s="253"/>
      <c r="E25" s="248">
        <v>181072.44</v>
      </c>
      <c r="F25" s="248"/>
      <c r="G25" s="248"/>
      <c r="H25" s="248"/>
      <c r="I25" s="248">
        <v>5854.91</v>
      </c>
      <c r="J25" s="254">
        <v>1681488.47</v>
      </c>
      <c r="K25" s="249">
        <f>SUM(E25:J25)</f>
        <v>1868415.82</v>
      </c>
      <c r="L25" s="169">
        <f>K25+C25</f>
        <v>4207875.96</v>
      </c>
      <c r="Q25" s="3"/>
      <c r="R25" s="3"/>
      <c r="S25" s="193" t="s">
        <v>281</v>
      </c>
      <c r="T25" s="262">
        <f>SUM(T20:T24)</f>
        <v>2205666.9546302157</v>
      </c>
      <c r="V25" s="276">
        <f>SUM(V20:V24)</f>
        <v>-22019.490013826813</v>
      </c>
      <c r="W25" s="279">
        <f>SUM(W20:W24)</f>
        <v>2183647.4646163885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B26" s="253"/>
      <c r="C26" s="270">
        <f>C25/$L$25</f>
        <v>0.55597174494658819</v>
      </c>
      <c r="D26" s="253"/>
      <c r="E26" s="248"/>
      <c r="F26" s="248"/>
      <c r="G26" s="248"/>
      <c r="H26" s="248"/>
      <c r="I26" s="248"/>
      <c r="J26" s="248"/>
      <c r="K26" s="270">
        <f>K25/$L$25</f>
        <v>0.44402825505341181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C27" s="148"/>
      <c r="E27" s="231"/>
      <c r="F27" s="231"/>
      <c r="G27" s="231"/>
      <c r="H27" s="231"/>
      <c r="I27" s="231"/>
      <c r="J27" s="231"/>
      <c r="K27" s="23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C28" s="148"/>
      <c r="H28" s="261"/>
      <c r="I28" s="148"/>
      <c r="J28" s="237" t="s">
        <v>306</v>
      </c>
      <c r="K28" s="231"/>
      <c r="L28" s="328" t="s">
        <v>307</v>
      </c>
      <c r="M28" s="23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7.25" x14ac:dyDescent="0.4">
      <c r="A29" s="74"/>
      <c r="C29" s="149">
        <v>-103267</v>
      </c>
      <c r="H29" s="231"/>
      <c r="J29" s="326">
        <v>44196</v>
      </c>
      <c r="K29" s="325" t="s">
        <v>310</v>
      </c>
      <c r="L29" s="238" t="s">
        <v>308</v>
      </c>
      <c r="M29" s="23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x14ac:dyDescent="0.25">
      <c r="A30" s="74"/>
      <c r="C30" s="148">
        <f>C25+C29</f>
        <v>2236193.1399999997</v>
      </c>
      <c r="H30"/>
      <c r="I30" s="327" t="s">
        <v>262</v>
      </c>
      <c r="J30" s="3">
        <f>650745-115133</f>
        <v>535612</v>
      </c>
      <c r="K30" s="14">
        <f>J33</f>
        <v>19385</v>
      </c>
      <c r="L30" s="14">
        <f>K30+J30</f>
        <v>554997</v>
      </c>
      <c r="M30" s="198">
        <f>L30/$L$34</f>
        <v>0.33006301561474122</v>
      </c>
      <c r="O30" s="3"/>
      <c r="P30" s="3"/>
      <c r="Q30" s="3"/>
      <c r="R30" s="3"/>
      <c r="S30" s="198"/>
      <c r="T30" s="15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x14ac:dyDescent="0.25">
      <c r="C31" s="198">
        <f>C30/C25</f>
        <v>0.95585861958733775</v>
      </c>
      <c r="D31" s="74" t="s">
        <v>309</v>
      </c>
      <c r="H31"/>
      <c r="I31" s="327" t="s">
        <v>238</v>
      </c>
      <c r="J31" s="3">
        <f>1103480+10323</f>
        <v>1113803</v>
      </c>
      <c r="K31" s="14"/>
      <c r="L31" s="14">
        <f>K31+J31</f>
        <v>1113803</v>
      </c>
      <c r="M31" s="198">
        <f>L31/$L$34</f>
        <v>0.66239128676505576</v>
      </c>
      <c r="O31" s="3"/>
      <c r="P31" s="3"/>
      <c r="Q31" s="3"/>
      <c r="R31" s="3"/>
      <c r="S31" s="3"/>
      <c r="T31" s="19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x14ac:dyDescent="0.25">
      <c r="C32" s="148"/>
      <c r="D32" s="148"/>
      <c r="H32" s="231"/>
      <c r="I32" s="327" t="s">
        <v>263</v>
      </c>
      <c r="J32" s="3">
        <f>2267+10421</f>
        <v>12688</v>
      </c>
      <c r="K32" s="14"/>
      <c r="L32" s="14">
        <f>K32+J32</f>
        <v>12688</v>
      </c>
      <c r="M32" s="198">
        <f>L32/$L$34</f>
        <v>7.5456976202030578E-3</v>
      </c>
      <c r="O32"/>
      <c r="P32"/>
      <c r="Q32"/>
      <c r="R32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ht="18" x14ac:dyDescent="0.4">
      <c r="C33" s="148"/>
      <c r="D33" s="148"/>
      <c r="H33" s="231"/>
      <c r="I33" s="13" t="s">
        <v>311</v>
      </c>
      <c r="J33" s="72">
        <v>19385</v>
      </c>
      <c r="K33" s="149">
        <v>0</v>
      </c>
      <c r="L33" s="149">
        <v>0</v>
      </c>
      <c r="M33" s="231"/>
      <c r="O33"/>
      <c r="P33"/>
      <c r="Q33"/>
      <c r="R3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5" ht="15.75" x14ac:dyDescent="0.25">
      <c r="H34" s="231"/>
      <c r="J34" s="3">
        <f>SUM(J30:J33)</f>
        <v>1681488</v>
      </c>
      <c r="K34" s="231">
        <f>SUM(K30:K33)</f>
        <v>19385</v>
      </c>
      <c r="L34" s="14">
        <f>SUM(L30:L33)</f>
        <v>1681488</v>
      </c>
      <c r="M34" s="231"/>
      <c r="O34"/>
      <c r="P34"/>
      <c r="Q34"/>
      <c r="R34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5" ht="15.75" x14ac:dyDescent="0.25">
      <c r="H35" s="231"/>
      <c r="I35" s="231"/>
      <c r="J35" s="231"/>
      <c r="K35" s="231"/>
      <c r="L35" s="231"/>
      <c r="M35" s="231"/>
      <c r="O35"/>
      <c r="P35"/>
      <c r="Q35"/>
      <c r="R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ht="15.75" x14ac:dyDescent="0.25">
      <c r="B36" s="582"/>
      <c r="C36" s="148"/>
      <c r="D36" s="148"/>
      <c r="H36" s="237"/>
      <c r="I36" s="231"/>
      <c r="J36" s="231"/>
      <c r="K36" s="328"/>
      <c r="L36" s="231"/>
      <c r="M36" s="231"/>
      <c r="N36" s="231"/>
      <c r="O36"/>
      <c r="P36"/>
      <c r="Q36"/>
      <c r="R36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ht="15.75" x14ac:dyDescent="0.25">
      <c r="B37" s="582"/>
      <c r="E37" s="326"/>
      <c r="G37" s="231"/>
      <c r="H37" s="238"/>
      <c r="I37" s="231"/>
      <c r="J37" s="231"/>
      <c r="K37" s="231"/>
      <c r="N37"/>
      <c r="O37"/>
      <c r="P37"/>
      <c r="Q37"/>
      <c r="R37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ht="15.75" x14ac:dyDescent="0.25">
      <c r="B38"/>
      <c r="D38" s="327"/>
      <c r="E38" s="3"/>
      <c r="F38" s="198"/>
      <c r="G38" s="14"/>
      <c r="H38" s="14"/>
      <c r="I38" s="231"/>
      <c r="J38" s="231"/>
      <c r="K38" s="231"/>
      <c r="N38"/>
      <c r="O38"/>
      <c r="P38"/>
      <c r="Q38"/>
      <c r="R38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ht="15.75" x14ac:dyDescent="0.25">
      <c r="B39"/>
      <c r="D39" s="327"/>
      <c r="E39" s="3"/>
      <c r="F39" s="198"/>
      <c r="G39" s="14"/>
      <c r="H39" s="14"/>
      <c r="N39"/>
      <c r="O39"/>
      <c r="P39"/>
      <c r="Q39"/>
      <c r="R3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ht="15.75" x14ac:dyDescent="0.25">
      <c r="B40"/>
      <c r="D40" s="327"/>
      <c r="E40" s="3"/>
      <c r="F40" s="198"/>
      <c r="G40" s="14"/>
      <c r="H40" s="14"/>
      <c r="N40"/>
      <c r="O40"/>
      <c r="P40"/>
      <c r="Q40"/>
      <c r="R40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2:45" ht="18" x14ac:dyDescent="0.4">
      <c r="B41"/>
      <c r="D41" s="13"/>
      <c r="E41" s="72"/>
      <c r="F41" s="148"/>
      <c r="G41" s="149"/>
      <c r="H41" s="149"/>
      <c r="N41"/>
      <c r="O41"/>
      <c r="P41"/>
      <c r="Q41"/>
      <c r="R41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2:45" ht="15.75" x14ac:dyDescent="0.25">
      <c r="B42"/>
      <c r="E42" s="3"/>
      <c r="F42" s="79"/>
      <c r="G42" s="231"/>
      <c r="H42" s="14"/>
      <c r="N42"/>
      <c r="O42"/>
      <c r="P42"/>
      <c r="Q42"/>
      <c r="R4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2:45" ht="15.75" x14ac:dyDescent="0.25">
      <c r="B4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2:45" ht="15.75" x14ac:dyDescent="0.25">
      <c r="B44"/>
      <c r="Q44" s="3"/>
      <c r="R44" s="3"/>
      <c r="S44" s="3"/>
      <c r="T44" s="3"/>
      <c r="U44" s="3"/>
      <c r="V44" s="3"/>
      <c r="W44" s="3"/>
      <c r="X44" s="3"/>
    </row>
    <row r="45" spans="2:45" ht="15.75" x14ac:dyDescent="0.25">
      <c r="B45"/>
      <c r="R45" s="3"/>
      <c r="S45" s="3"/>
      <c r="T45" s="3"/>
      <c r="U45" s="3"/>
      <c r="V45" s="3"/>
      <c r="W45" s="3"/>
      <c r="X45" s="3"/>
    </row>
    <row r="46" spans="2:45" ht="15.75" x14ac:dyDescent="0.25">
      <c r="B46"/>
      <c r="R46" s="3"/>
      <c r="S46" s="3"/>
      <c r="T46" s="3"/>
      <c r="U46" s="3"/>
      <c r="V46" s="3"/>
      <c r="W46" s="3"/>
      <c r="X46" s="3"/>
    </row>
    <row r="47" spans="2:45" ht="15.75" x14ac:dyDescent="0.25">
      <c r="B47"/>
      <c r="R47" s="3"/>
      <c r="S47" s="3"/>
      <c r="T47" s="3"/>
      <c r="U47" s="3"/>
      <c r="V47" s="3"/>
      <c r="W47" s="3"/>
    </row>
    <row r="48" spans="2:45" ht="15.75" x14ac:dyDescent="0.25">
      <c r="B48"/>
      <c r="R48" s="3"/>
      <c r="S48" s="3"/>
      <c r="T48" s="3"/>
      <c r="U48" s="3"/>
      <c r="V48" s="3"/>
    </row>
    <row r="49" spans="2:2" ht="15.75" x14ac:dyDescent="0.25">
      <c r="B49"/>
    </row>
    <row r="50" spans="2:2" ht="15.75" x14ac:dyDescent="0.25">
      <c r="B50"/>
    </row>
    <row r="51" spans="2:2" ht="15.75" x14ac:dyDescent="0.25">
      <c r="B51"/>
    </row>
    <row r="52" spans="2:2" ht="15.75" x14ac:dyDescent="0.25">
      <c r="B52"/>
    </row>
    <row r="53" spans="2:2" ht="15.75" x14ac:dyDescent="0.25">
      <c r="B53"/>
    </row>
    <row r="54" spans="2:2" ht="15.75" x14ac:dyDescent="0.25">
      <c r="B54"/>
    </row>
    <row r="55" spans="2:2" ht="15.75" x14ac:dyDescent="0.25">
      <c r="B55"/>
    </row>
    <row r="56" spans="2:2" ht="15.75" x14ac:dyDescent="0.25">
      <c r="B56"/>
    </row>
    <row r="57" spans="2:2" ht="15.75" x14ac:dyDescent="0.25">
      <c r="B57"/>
    </row>
    <row r="58" spans="2:2" ht="15.75" x14ac:dyDescent="0.25">
      <c r="B58"/>
    </row>
    <row r="59" spans="2:2" ht="15.75" x14ac:dyDescent="0.25">
      <c r="B59"/>
    </row>
    <row r="60" spans="2:2" ht="15.75" x14ac:dyDescent="0.25">
      <c r="B60"/>
    </row>
    <row r="61" spans="2:2" ht="15.75" x14ac:dyDescent="0.25">
      <c r="B61"/>
    </row>
    <row r="62" spans="2:2" ht="15.75" x14ac:dyDescent="0.25">
      <c r="B62"/>
    </row>
    <row r="63" spans="2:2" ht="15.75" x14ac:dyDescent="0.25">
      <c r="B63"/>
    </row>
    <row r="64" spans="2:2" ht="15.75" x14ac:dyDescent="0.25">
      <c r="B64"/>
    </row>
    <row r="65" spans="2:2" ht="15.75" x14ac:dyDescent="0.25">
      <c r="B65"/>
    </row>
    <row r="66" spans="2:2" ht="15.75" x14ac:dyDescent="0.25">
      <c r="B66"/>
    </row>
    <row r="67" spans="2:2" ht="15.75" x14ac:dyDescent="0.25">
      <c r="B67"/>
    </row>
    <row r="68" spans="2:2" ht="15.75" x14ac:dyDescent="0.25">
      <c r="B68"/>
    </row>
    <row r="69" spans="2:2" ht="15.75" x14ac:dyDescent="0.25">
      <c r="B69"/>
    </row>
    <row r="70" spans="2:2" ht="15.75" x14ac:dyDescent="0.25">
      <c r="B70"/>
    </row>
    <row r="71" spans="2:2" ht="15.75" x14ac:dyDescent="0.25">
      <c r="B71"/>
    </row>
    <row r="72" spans="2:2" ht="15.75" x14ac:dyDescent="0.25">
      <c r="B72"/>
    </row>
    <row r="73" spans="2:2" ht="15.75" x14ac:dyDescent="0.25">
      <c r="B73"/>
    </row>
    <row r="74" spans="2:2" ht="15.75" x14ac:dyDescent="0.25">
      <c r="B74"/>
    </row>
    <row r="75" spans="2:2" ht="15.75" x14ac:dyDescent="0.25">
      <c r="B75"/>
    </row>
    <row r="76" spans="2:2" ht="15.75" x14ac:dyDescent="0.25">
      <c r="B76"/>
    </row>
    <row r="77" spans="2:2" ht="15.75" x14ac:dyDescent="0.25">
      <c r="B77"/>
    </row>
    <row r="78" spans="2:2" ht="15.75" x14ac:dyDescent="0.25">
      <c r="B78"/>
    </row>
    <row r="79" spans="2:2" ht="15.75" x14ac:dyDescent="0.25">
      <c r="B79"/>
    </row>
    <row r="80" spans="2:2" ht="15.75" x14ac:dyDescent="0.25">
      <c r="B80"/>
    </row>
    <row r="81" spans="2:2" ht="15.75" x14ac:dyDescent="0.25">
      <c r="B81"/>
    </row>
    <row r="82" spans="2:2" ht="15.75" x14ac:dyDescent="0.25">
      <c r="B82"/>
    </row>
    <row r="83" spans="2:2" ht="15.75" x14ac:dyDescent="0.25">
      <c r="B83"/>
    </row>
    <row r="84" spans="2:2" ht="15.75" x14ac:dyDescent="0.25">
      <c r="B84"/>
    </row>
    <row r="85" spans="2:2" ht="15.75" x14ac:dyDescent="0.25">
      <c r="B85"/>
    </row>
    <row r="86" spans="2:2" ht="15.75" x14ac:dyDescent="0.25">
      <c r="B86"/>
    </row>
    <row r="87" spans="2:2" ht="15.75" x14ac:dyDescent="0.25">
      <c r="B87"/>
    </row>
    <row r="88" spans="2:2" ht="15.75" x14ac:dyDescent="0.25">
      <c r="B88"/>
    </row>
    <row r="89" spans="2:2" ht="15.75" x14ac:dyDescent="0.25">
      <c r="B89"/>
    </row>
    <row r="90" spans="2:2" ht="15.75" x14ac:dyDescent="0.25">
      <c r="B90"/>
    </row>
    <row r="91" spans="2:2" ht="15.75" x14ac:dyDescent="0.25">
      <c r="B91"/>
    </row>
    <row r="92" spans="2:2" ht="15.75" x14ac:dyDescent="0.25">
      <c r="B92"/>
    </row>
    <row r="93" spans="2:2" ht="15.75" x14ac:dyDescent="0.25">
      <c r="B93"/>
    </row>
    <row r="94" spans="2:2" ht="15.75" x14ac:dyDescent="0.25">
      <c r="B94"/>
    </row>
    <row r="95" spans="2:2" ht="15.75" x14ac:dyDescent="0.25">
      <c r="B95"/>
    </row>
    <row r="96" spans="2:2" ht="15.75" x14ac:dyDescent="0.25">
      <c r="B96"/>
    </row>
    <row r="97" spans="2:2" ht="15.75" x14ac:dyDescent="0.25">
      <c r="B97"/>
    </row>
    <row r="98" spans="2:2" ht="15.75" x14ac:dyDescent="0.25">
      <c r="B98"/>
    </row>
    <row r="99" spans="2:2" ht="15.75" x14ac:dyDescent="0.25">
      <c r="B99"/>
    </row>
    <row r="100" spans="2:2" ht="15.75" x14ac:dyDescent="0.25">
      <c r="B100"/>
    </row>
  </sheetData>
  <mergeCells count="1">
    <mergeCell ref="S15:T15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1"/>
  <sheetViews>
    <sheetView workbookViewId="0"/>
  </sheetViews>
  <sheetFormatPr defaultColWidth="8.88671875" defaultRowHeight="15" x14ac:dyDescent="0.25"/>
  <cols>
    <col min="1" max="1" width="3.77734375" style="1" customWidth="1"/>
    <col min="2" max="2" width="10.6640625" style="1" customWidth="1"/>
    <col min="3" max="3" width="8.109375" style="1" customWidth="1"/>
    <col min="4" max="4" width="9.21875" style="1" customWidth="1"/>
    <col min="5" max="5" width="10.88671875" style="1" customWidth="1"/>
    <col min="6" max="7" width="9.77734375" style="1" customWidth="1"/>
    <col min="8" max="8" width="11.6640625" style="1" customWidth="1"/>
    <col min="9" max="9" width="11.21875" style="1" customWidth="1"/>
    <col min="10" max="10" width="9.5546875" style="1" customWidth="1"/>
    <col min="11" max="11" width="8.88671875" style="1"/>
    <col min="12" max="12" width="11.77734375" style="1" customWidth="1"/>
    <col min="13" max="13" width="10.88671875" style="1" customWidth="1"/>
    <col min="14" max="14" width="10.109375" style="1" customWidth="1"/>
    <col min="15" max="15" width="9.88671875" style="1" customWidth="1"/>
    <col min="16" max="16384" width="8.88671875" style="1"/>
  </cols>
  <sheetData>
    <row r="1" spans="1:18" ht="18.75" x14ac:dyDescent="0.25">
      <c r="B1" s="69" t="s">
        <v>167</v>
      </c>
      <c r="E1" s="152"/>
      <c r="F1" s="152"/>
      <c r="G1" s="152"/>
    </row>
    <row r="2" spans="1:18" x14ac:dyDescent="0.25">
      <c r="D2" s="151"/>
      <c r="E2" s="152"/>
      <c r="F2" s="152"/>
      <c r="G2" s="152"/>
    </row>
    <row r="3" spans="1:18" x14ac:dyDescent="0.25">
      <c r="A3" s="3"/>
      <c r="B3" s="179" t="s">
        <v>60</v>
      </c>
      <c r="C3" s="22"/>
      <c r="D3" s="22"/>
      <c r="E3" s="22"/>
      <c r="F3" s="22"/>
      <c r="J3" s="179" t="s">
        <v>136</v>
      </c>
      <c r="O3" s="179" t="s">
        <v>163</v>
      </c>
    </row>
    <row r="4" spans="1:18" ht="15.75" x14ac:dyDescent="0.25">
      <c r="A4" s="3"/>
      <c r="I4"/>
      <c r="J4"/>
      <c r="K4"/>
      <c r="L4"/>
      <c r="M4"/>
      <c r="N4"/>
    </row>
    <row r="5" spans="1:18" ht="15.75" x14ac:dyDescent="0.25">
      <c r="A5" s="3"/>
      <c r="B5" s="22" t="s">
        <v>61</v>
      </c>
      <c r="C5" s="22"/>
      <c r="D5" s="22">
        <v>1477122</v>
      </c>
      <c r="E5" s="22"/>
      <c r="F5" s="19"/>
      <c r="I5"/>
      <c r="M5" s="160" t="s">
        <v>28</v>
      </c>
      <c r="N5"/>
      <c r="O5" s="1" t="s">
        <v>294</v>
      </c>
      <c r="P5" s="195"/>
      <c r="Q5" s="195"/>
      <c r="R5" s="195"/>
    </row>
    <row r="6" spans="1:18" ht="15.75" x14ac:dyDescent="0.25">
      <c r="A6" s="3"/>
      <c r="B6" s="22" t="s">
        <v>62</v>
      </c>
      <c r="C6" s="22"/>
      <c r="D6" s="22">
        <v>1207133</v>
      </c>
      <c r="E6" s="22"/>
      <c r="F6" s="22"/>
      <c r="I6"/>
      <c r="J6" s="1" t="s">
        <v>124</v>
      </c>
      <c r="M6" s="159">
        <f>-M7*1.03</f>
        <v>1251492.1286027462</v>
      </c>
      <c r="N6"/>
      <c r="O6" s="194"/>
      <c r="P6" s="3"/>
      <c r="Q6" s="148"/>
      <c r="R6" s="3"/>
    </row>
    <row r="7" spans="1:18" ht="18" x14ac:dyDescent="0.4">
      <c r="A7" s="3"/>
      <c r="B7" s="22" t="s">
        <v>63</v>
      </c>
      <c r="C7" s="22"/>
      <c r="D7" s="22"/>
      <c r="E7" s="22"/>
      <c r="F7" s="22"/>
      <c r="I7"/>
      <c r="J7" s="1" t="s">
        <v>293</v>
      </c>
      <c r="M7" s="72">
        <f>-CoAlloc!W22</f>
        <v>-1215040.9015560641</v>
      </c>
      <c r="N7"/>
      <c r="O7" s="156"/>
      <c r="P7" s="3"/>
      <c r="Q7" s="148"/>
      <c r="R7" s="72"/>
    </row>
    <row r="8" spans="1:18" ht="16.5" thickBot="1" x14ac:dyDescent="0.3">
      <c r="A8" s="3"/>
      <c r="B8" s="1" t="s">
        <v>64</v>
      </c>
      <c r="C8" s="22">
        <v>75541</v>
      </c>
      <c r="D8" s="22"/>
      <c r="E8" s="22"/>
      <c r="F8" s="22"/>
      <c r="I8"/>
      <c r="J8" s="161" t="s">
        <v>138</v>
      </c>
      <c r="K8" s="161"/>
      <c r="L8" s="161"/>
      <c r="M8" s="162">
        <f>M6+M7</f>
        <v>36451.227046682034</v>
      </c>
      <c r="N8"/>
      <c r="O8" s="179" t="s">
        <v>304</v>
      </c>
      <c r="Q8" s="192"/>
      <c r="R8" s="3"/>
    </row>
    <row r="9" spans="1:18" ht="16.5" thickTop="1" x14ac:dyDescent="0.25">
      <c r="A9" s="3"/>
      <c r="B9" s="22" t="s">
        <v>65</v>
      </c>
      <c r="C9" s="22">
        <v>38124</v>
      </c>
      <c r="D9" s="22"/>
      <c r="E9" s="22"/>
      <c r="F9" s="22"/>
      <c r="I9"/>
      <c r="M9" s="1" t="s">
        <v>125</v>
      </c>
      <c r="N9"/>
      <c r="O9" s="1">
        <v>2017</v>
      </c>
      <c r="P9" s="3">
        <v>79889</v>
      </c>
      <c r="Q9" s="192"/>
      <c r="R9" s="3"/>
    </row>
    <row r="10" spans="1:18" ht="15.75" x14ac:dyDescent="0.25">
      <c r="A10" s="3"/>
      <c r="B10" s="22" t="s">
        <v>66</v>
      </c>
      <c r="C10" s="22">
        <v>25350</v>
      </c>
      <c r="D10" s="22"/>
      <c r="E10" s="22"/>
      <c r="F10" s="22"/>
      <c r="I10"/>
      <c r="J10" s="1" t="s">
        <v>126</v>
      </c>
      <c r="M10" s="75">
        <f>M6</f>
        <v>1251492.1286027462</v>
      </c>
      <c r="N10"/>
      <c r="O10" s="1">
        <v>2018</v>
      </c>
      <c r="P10" s="3">
        <v>80411</v>
      </c>
      <c r="Q10" s="193"/>
      <c r="R10" s="169"/>
    </row>
    <row r="11" spans="1:18" ht="18" x14ac:dyDescent="0.4">
      <c r="A11" s="3"/>
      <c r="B11" s="22" t="s">
        <v>67</v>
      </c>
      <c r="C11" s="34">
        <v>0</v>
      </c>
      <c r="D11" s="22"/>
      <c r="E11" s="22"/>
      <c r="F11" s="22"/>
      <c r="I11"/>
      <c r="J11" s="1" t="s">
        <v>127</v>
      </c>
      <c r="M11" s="164">
        <v>7.6499999999999999E-2</v>
      </c>
      <c r="N11"/>
      <c r="O11" s="1">
        <v>2019</v>
      </c>
      <c r="P11" s="72">
        <v>74523</v>
      </c>
      <c r="Q11" s="193"/>
      <c r="R11" s="170"/>
    </row>
    <row r="12" spans="1:18" ht="15.75" x14ac:dyDescent="0.25">
      <c r="A12" s="3"/>
      <c r="B12" s="22"/>
      <c r="C12" s="22"/>
      <c r="D12" s="22">
        <f>SUM(C8:C11)</f>
        <v>139015</v>
      </c>
      <c r="E12" s="22"/>
      <c r="F12" s="22"/>
      <c r="I12"/>
      <c r="J12" s="1" t="s">
        <v>128</v>
      </c>
      <c r="M12" s="3">
        <f>+M10*M11</f>
        <v>95739.147838110075</v>
      </c>
      <c r="N12"/>
      <c r="O12" s="13" t="s">
        <v>305</v>
      </c>
      <c r="P12" s="3">
        <f>AVERAGE(P9:P11)</f>
        <v>78274.333333333328</v>
      </c>
      <c r="Q12" s="168"/>
      <c r="R12" s="171"/>
    </row>
    <row r="13" spans="1:18" ht="18" x14ac:dyDescent="0.4">
      <c r="A13" s="3"/>
      <c r="B13" s="22" t="s">
        <v>68</v>
      </c>
      <c r="C13" s="22">
        <v>24939</v>
      </c>
      <c r="D13" s="22"/>
      <c r="E13" s="22"/>
      <c r="F13" s="22"/>
      <c r="I13"/>
      <c r="J13" s="1" t="s">
        <v>129</v>
      </c>
      <c r="M13" s="163">
        <f>-CoAlloc!W23</f>
        <v>-93163.844984177194</v>
      </c>
      <c r="N13"/>
      <c r="O13" s="13" t="s">
        <v>87</v>
      </c>
      <c r="P13" s="72">
        <f>-SAO!G12</f>
        <v>-11314</v>
      </c>
    </row>
    <row r="14" spans="1:18" ht="16.5" thickBot="1" x14ac:dyDescent="0.3">
      <c r="A14" s="3"/>
      <c r="B14" s="22" t="s">
        <v>69</v>
      </c>
      <c r="C14" s="34">
        <f>105985+50</f>
        <v>106035</v>
      </c>
      <c r="D14" s="22"/>
      <c r="E14" s="22"/>
      <c r="F14" s="22"/>
      <c r="I14"/>
      <c r="J14" s="161" t="s">
        <v>130</v>
      </c>
      <c r="K14" s="161"/>
      <c r="L14" s="161"/>
      <c r="M14" s="162">
        <f>+M12+M13</f>
        <v>2575.3028539328807</v>
      </c>
      <c r="N14"/>
      <c r="O14" s="330" t="s">
        <v>9</v>
      </c>
      <c r="P14" s="169">
        <f>+P12+P13</f>
        <v>66960.333333333328</v>
      </c>
    </row>
    <row r="15" spans="1:18" ht="16.5" thickTop="1" x14ac:dyDescent="0.25">
      <c r="A15" s="3"/>
      <c r="B15" s="22"/>
      <c r="C15" s="22"/>
      <c r="D15" s="22">
        <f>C13+C14</f>
        <v>130974</v>
      </c>
      <c r="E15" s="35">
        <f>D15/D5</f>
        <v>8.8668369978918471E-2</v>
      </c>
      <c r="F15" s="22" t="s">
        <v>70</v>
      </c>
      <c r="I15"/>
      <c r="N15"/>
    </row>
    <row r="16" spans="1:18" ht="15.75" x14ac:dyDescent="0.25">
      <c r="A16" s="3"/>
      <c r="B16" s="8" t="s">
        <v>71</v>
      </c>
      <c r="C16" s="22">
        <f>SUM(D6:D15)</f>
        <v>1477122</v>
      </c>
      <c r="E16" s="81">
        <v>0.15</v>
      </c>
      <c r="F16" s="22" t="s">
        <v>72</v>
      </c>
      <c r="I16"/>
      <c r="J16" s="1" t="s">
        <v>135</v>
      </c>
      <c r="M16" s="75">
        <f>M6*CoAlloc!C31</f>
        <v>1196249.5384706398</v>
      </c>
      <c r="N16"/>
    </row>
    <row r="17" spans="1:20" x14ac:dyDescent="0.25">
      <c r="A17" s="3"/>
      <c r="B17" s="36"/>
      <c r="C17" s="22"/>
      <c r="D17" s="22"/>
      <c r="E17" s="165">
        <f>E15-E16</f>
        <v>-6.1331630021081524E-2</v>
      </c>
      <c r="F17" s="166" t="s">
        <v>173</v>
      </c>
      <c r="I17" s="3"/>
      <c r="J17" s="1" t="s">
        <v>134</v>
      </c>
      <c r="M17" s="164">
        <v>0.26950000000000002</v>
      </c>
      <c r="O17" s="179" t="s">
        <v>555</v>
      </c>
    </row>
    <row r="18" spans="1:20" x14ac:dyDescent="0.25">
      <c r="A18" s="3"/>
      <c r="I18" s="181"/>
      <c r="J18" s="1" t="s">
        <v>131</v>
      </c>
      <c r="M18" s="3">
        <f>+M16*M17</f>
        <v>322389.25061783748</v>
      </c>
      <c r="O18" s="1" t="s">
        <v>557</v>
      </c>
      <c r="P18" s="3">
        <v>666998.75</v>
      </c>
    </row>
    <row r="19" spans="1:20" ht="17.25" x14ac:dyDescent="0.4">
      <c r="A19" s="3"/>
      <c r="I19" s="3"/>
      <c r="J19" s="1" t="s">
        <v>132</v>
      </c>
      <c r="M19" s="82">
        <f>-CoAlloc!W17</f>
        <v>-288547.44534958998</v>
      </c>
      <c r="O19" s="1" t="s">
        <v>556</v>
      </c>
      <c r="P19" s="72">
        <v>556182.56000000006</v>
      </c>
    </row>
    <row r="20" spans="1:20" ht="15.75" thickBot="1" x14ac:dyDescent="0.3">
      <c r="A20" s="3"/>
      <c r="B20" s="179" t="s">
        <v>91</v>
      </c>
      <c r="C20" s="33"/>
      <c r="D20" s="33"/>
      <c r="E20" s="15"/>
      <c r="I20" s="3"/>
      <c r="J20" s="161" t="s">
        <v>133</v>
      </c>
      <c r="K20" s="161"/>
      <c r="L20" s="161"/>
      <c r="M20" s="329">
        <f>+M18+M19</f>
        <v>33841.805268247495</v>
      </c>
      <c r="O20" s="161" t="s">
        <v>9</v>
      </c>
      <c r="P20" s="169">
        <f>P18-P19</f>
        <v>110816.18999999994</v>
      </c>
    </row>
    <row r="21" spans="1:20" ht="18" thickTop="1" x14ac:dyDescent="0.4">
      <c r="A21" s="3"/>
      <c r="E21" s="154" t="s">
        <v>112</v>
      </c>
      <c r="F21" s="154" t="s">
        <v>113</v>
      </c>
      <c r="G21" s="154" t="s">
        <v>115</v>
      </c>
      <c r="H21" s="154" t="s">
        <v>86</v>
      </c>
      <c r="I21" s="3"/>
    </row>
    <row r="22" spans="1:20" ht="17.25" x14ac:dyDescent="0.4">
      <c r="A22" s="3"/>
      <c r="E22" s="154" t="s">
        <v>117</v>
      </c>
      <c r="F22" s="154" t="s">
        <v>114</v>
      </c>
      <c r="G22" s="154" t="s">
        <v>116</v>
      </c>
      <c r="H22" s="154" t="s">
        <v>112</v>
      </c>
      <c r="I22" s="3"/>
      <c r="J22" s="3"/>
      <c r="K22" s="3"/>
      <c r="O22" s="179" t="s">
        <v>559</v>
      </c>
    </row>
    <row r="23" spans="1:20" x14ac:dyDescent="0.25">
      <c r="B23" s="22" t="s">
        <v>155</v>
      </c>
      <c r="C23" s="148">
        <v>941.45</v>
      </c>
      <c r="D23" s="3">
        <v>10</v>
      </c>
      <c r="E23" s="148">
        <f>C23*D23</f>
        <v>9414.5</v>
      </c>
      <c r="F23" s="155">
        <v>0.21</v>
      </c>
      <c r="G23" s="148">
        <f>E23*F23</f>
        <v>1977.0449999999998</v>
      </c>
      <c r="H23" s="148">
        <f>E23-G23</f>
        <v>7437.4549999999999</v>
      </c>
      <c r="I23" s="3"/>
      <c r="J23" s="3"/>
      <c r="K23" s="3"/>
      <c r="O23" s="1" t="s">
        <v>560</v>
      </c>
      <c r="P23" s="3">
        <v>127305</v>
      </c>
    </row>
    <row r="24" spans="1:20" ht="17.25" x14ac:dyDescent="0.4">
      <c r="B24" s="22" t="s">
        <v>156</v>
      </c>
      <c r="C24" s="148">
        <v>2983.18</v>
      </c>
      <c r="D24" s="3">
        <v>21</v>
      </c>
      <c r="E24" s="148">
        <f>C24*D24</f>
        <v>62646.78</v>
      </c>
      <c r="F24" s="155">
        <v>0.34</v>
      </c>
      <c r="G24" s="148">
        <f>E24*F24</f>
        <v>21299.905200000001</v>
      </c>
      <c r="H24" s="148">
        <f>E24-G24</f>
        <v>41346.874799999998</v>
      </c>
      <c r="J24" s="3"/>
      <c r="O24" s="1" t="s">
        <v>561</v>
      </c>
      <c r="P24" s="72">
        <v>97376</v>
      </c>
    </row>
    <row r="25" spans="1:20" x14ac:dyDescent="0.25">
      <c r="B25" s="22" t="s">
        <v>165</v>
      </c>
      <c r="C25" s="148">
        <v>1962.31</v>
      </c>
      <c r="D25" s="3">
        <v>12</v>
      </c>
      <c r="E25" s="148">
        <f>C25*D25</f>
        <v>23547.72</v>
      </c>
      <c r="F25" s="155">
        <v>0.34</v>
      </c>
      <c r="G25" s="148">
        <f>E25*F25</f>
        <v>8006.2248000000009</v>
      </c>
      <c r="H25" s="148">
        <f>E25-G25</f>
        <v>15541.495200000001</v>
      </c>
      <c r="J25" s="3"/>
      <c r="P25" s="3">
        <f>P23-P24</f>
        <v>29929</v>
      </c>
    </row>
    <row r="26" spans="1:20" ht="17.25" x14ac:dyDescent="0.4">
      <c r="B26" s="22" t="s">
        <v>166</v>
      </c>
      <c r="C26" s="148">
        <v>1683.9</v>
      </c>
      <c r="D26" s="3">
        <v>2</v>
      </c>
      <c r="E26" s="149">
        <f>C26*D26</f>
        <v>3367.8</v>
      </c>
      <c r="F26" s="155">
        <v>0.34</v>
      </c>
      <c r="G26" s="148">
        <f>E26*F26</f>
        <v>1145.0520000000001</v>
      </c>
      <c r="H26" s="149">
        <f>E26-G26</f>
        <v>2222.748</v>
      </c>
      <c r="J26" s="3"/>
      <c r="O26" s="1" t="s">
        <v>562</v>
      </c>
      <c r="P26" s="573">
        <f>Trk_Off!D35</f>
        <v>0.30733456603350701</v>
      </c>
    </row>
    <row r="27" spans="1:20" x14ac:dyDescent="0.25">
      <c r="B27" s="22"/>
      <c r="C27" s="22"/>
      <c r="D27" s="222" t="s">
        <v>198</v>
      </c>
      <c r="E27" s="148">
        <f>SUM(E23:E26)</f>
        <v>98976.8</v>
      </c>
      <c r="G27" s="156" t="s">
        <v>118</v>
      </c>
      <c r="H27" s="148">
        <f>SUM(H23:H26)</f>
        <v>66548.573000000004</v>
      </c>
      <c r="J27" s="3"/>
      <c r="O27" s="168" t="s">
        <v>563</v>
      </c>
      <c r="P27" s="169">
        <f>P25*P26</f>
        <v>9198.2162268168304</v>
      </c>
    </row>
    <row r="28" spans="1:20" x14ac:dyDescent="0.25">
      <c r="B28" s="22"/>
      <c r="C28" s="22"/>
      <c r="D28" s="222" t="s">
        <v>198</v>
      </c>
      <c r="E28" s="148">
        <f>E27*12</f>
        <v>1187721.6000000001</v>
      </c>
      <c r="G28" s="156" t="s">
        <v>119</v>
      </c>
      <c r="H28" s="148">
        <f>H27*12</f>
        <v>798582.87600000005</v>
      </c>
      <c r="J28" s="3"/>
      <c r="P28" s="3"/>
    </row>
    <row r="29" spans="1:20" ht="17.25" x14ac:dyDescent="0.4">
      <c r="B29" s="22"/>
      <c r="C29" s="22"/>
      <c r="D29" s="22"/>
      <c r="E29" s="148"/>
      <c r="G29" s="156" t="s">
        <v>120</v>
      </c>
      <c r="H29" s="149">
        <f>-CoAlloc!J31</f>
        <v>-1113803</v>
      </c>
      <c r="J29" s="3"/>
      <c r="P29" s="3"/>
      <c r="Q29" s="3"/>
      <c r="R29" s="3"/>
    </row>
    <row r="30" spans="1:20" x14ac:dyDescent="0.25">
      <c r="B30" s="22"/>
      <c r="C30" s="22"/>
      <c r="D30" s="22"/>
      <c r="E30" s="148"/>
      <c r="F30" s="166"/>
      <c r="G30" s="167" t="s">
        <v>295</v>
      </c>
      <c r="H30" s="166">
        <f>H28+H29</f>
        <v>-315220.12399999995</v>
      </c>
      <c r="J30" s="3"/>
      <c r="P30" s="3"/>
      <c r="R30" s="3"/>
      <c r="T30" s="196"/>
    </row>
    <row r="31" spans="1:20" x14ac:dyDescent="0.25">
      <c r="B31" s="22"/>
      <c r="C31" s="148"/>
      <c r="D31" s="148"/>
      <c r="E31" s="148"/>
      <c r="F31" s="148"/>
      <c r="G31" s="13" t="s">
        <v>296</v>
      </c>
      <c r="H31" s="198">
        <f>CoAlloc!X22</f>
        <v>0.5193680716253043</v>
      </c>
      <c r="O31" s="3"/>
      <c r="R31" s="3"/>
    </row>
    <row r="32" spans="1:20" x14ac:dyDescent="0.25">
      <c r="B32" s="22"/>
      <c r="C32" s="148"/>
      <c r="D32" s="148"/>
      <c r="E32" s="148"/>
      <c r="F32" s="148"/>
      <c r="G32" s="167" t="s">
        <v>297</v>
      </c>
      <c r="H32" s="169">
        <f>H30*H31</f>
        <v>-163715.26793936928</v>
      </c>
      <c r="N32" s="3"/>
      <c r="R32" s="196"/>
    </row>
    <row r="33" spans="1:14" ht="15.75" x14ac:dyDescent="0.25">
      <c r="B33"/>
      <c r="C33"/>
      <c r="D33"/>
      <c r="E33"/>
      <c r="F33"/>
      <c r="H33" s="3"/>
      <c r="N33" s="3"/>
    </row>
    <row r="34" spans="1:14" ht="15.75" x14ac:dyDescent="0.25">
      <c r="B34"/>
      <c r="C34"/>
      <c r="D34"/>
      <c r="E34"/>
      <c r="F34"/>
      <c r="H34" s="3"/>
      <c r="N34" s="3"/>
    </row>
    <row r="35" spans="1:14" ht="15.75" x14ac:dyDescent="0.25">
      <c r="A35"/>
      <c r="B35"/>
      <c r="C35"/>
      <c r="D35"/>
      <c r="E35"/>
      <c r="F35"/>
      <c r="G35"/>
      <c r="H35" s="3"/>
      <c r="J35"/>
    </row>
    <row r="36" spans="1:14" ht="15.75" x14ac:dyDescent="0.25">
      <c r="A36"/>
      <c r="B36"/>
      <c r="C36"/>
      <c r="D36"/>
      <c r="E36"/>
      <c r="F36"/>
      <c r="G36"/>
      <c r="M36" s="3"/>
    </row>
    <row r="37" spans="1:14" ht="18" x14ac:dyDescent="0.4">
      <c r="A37"/>
      <c r="B37"/>
      <c r="C37"/>
      <c r="D37"/>
      <c r="E37"/>
      <c r="F37"/>
      <c r="G37"/>
      <c r="M37" s="72"/>
    </row>
    <row r="38" spans="1:14" ht="15.75" x14ac:dyDescent="0.25">
      <c r="A38"/>
      <c r="B38"/>
      <c r="C38"/>
      <c r="D38"/>
      <c r="E38"/>
      <c r="F38"/>
      <c r="G38"/>
      <c r="M38" s="3"/>
    </row>
    <row r="39" spans="1:14" ht="18" x14ac:dyDescent="0.4">
      <c r="A39"/>
      <c r="B39"/>
      <c r="C39"/>
      <c r="D39"/>
      <c r="E39"/>
      <c r="F39"/>
      <c r="G39"/>
      <c r="M39" s="72"/>
      <c r="N39" s="3"/>
    </row>
    <row r="40" spans="1:14" ht="15.75" x14ac:dyDescent="0.25">
      <c r="A40"/>
      <c r="B40"/>
      <c r="C40"/>
      <c r="D40"/>
      <c r="E40"/>
      <c r="F40"/>
      <c r="G40"/>
      <c r="M40" s="169"/>
      <c r="N40" s="3"/>
    </row>
    <row r="41" spans="1:14" ht="15.75" x14ac:dyDescent="0.25">
      <c r="A41"/>
      <c r="B41"/>
      <c r="C41"/>
      <c r="D41"/>
      <c r="E41"/>
      <c r="F41"/>
      <c r="G41"/>
      <c r="N41" s="3"/>
    </row>
    <row r="42" spans="1:14" ht="15.75" x14ac:dyDescent="0.25">
      <c r="A42"/>
      <c r="B42"/>
      <c r="C42"/>
      <c r="D42"/>
      <c r="E42"/>
      <c r="F42"/>
      <c r="G42"/>
      <c r="N42" s="3"/>
    </row>
    <row r="43" spans="1:14" ht="15.75" x14ac:dyDescent="0.25">
      <c r="A43"/>
      <c r="B43"/>
      <c r="C43"/>
      <c r="D43"/>
      <c r="E43"/>
      <c r="F43"/>
      <c r="G43"/>
      <c r="J43" s="148"/>
      <c r="N43" s="3"/>
    </row>
    <row r="44" spans="1:14" ht="15.75" x14ac:dyDescent="0.25">
      <c r="B44" s="186"/>
      <c r="C44" s="187"/>
      <c r="D44" s="184"/>
      <c r="E44" s="182"/>
      <c r="G44" s="186"/>
      <c r="J44" s="148"/>
      <c r="N44" s="3"/>
    </row>
    <row r="45" spans="1:14" ht="15.75" x14ac:dyDescent="0.25">
      <c r="B45" s="186"/>
      <c r="C45" s="186"/>
      <c r="D45" s="188"/>
      <c r="G45" s="186"/>
      <c r="N45" s="3"/>
    </row>
    <row r="46" spans="1:14" ht="15.75" x14ac:dyDescent="0.25">
      <c r="B46" s="186"/>
      <c r="C46" s="187"/>
      <c r="D46" s="185"/>
      <c r="G46" s="186"/>
      <c r="N46" s="3"/>
    </row>
    <row r="47" spans="1:14" ht="15.75" x14ac:dyDescent="0.25">
      <c r="B47" s="186"/>
      <c r="C47" s="187"/>
      <c r="D47" s="189"/>
      <c r="G47" s="186"/>
      <c r="N47" s="3"/>
    </row>
    <row r="48" spans="1:14" ht="15.75" x14ac:dyDescent="0.25">
      <c r="B48" s="186"/>
      <c r="C48" s="190"/>
      <c r="D48" s="191"/>
      <c r="N48" s="3"/>
    </row>
    <row r="49" spans="3:12" ht="15.75" x14ac:dyDescent="0.25">
      <c r="C49" s="186"/>
      <c r="D49" s="186"/>
      <c r="E49" s="186"/>
      <c r="F49" s="186"/>
    </row>
    <row r="50" spans="3:12" x14ac:dyDescent="0.25">
      <c r="I50" s="3"/>
      <c r="J50" s="3"/>
      <c r="K50" s="3"/>
      <c r="L50" s="3"/>
    </row>
    <row r="51" spans="3:12" x14ac:dyDescent="0.25">
      <c r="I51" s="3"/>
      <c r="J51" s="3"/>
      <c r="K51" s="3"/>
      <c r="L51" s="3"/>
    </row>
    <row r="52" spans="3:12" x14ac:dyDescent="0.25">
      <c r="I52" s="3"/>
      <c r="J52" s="3"/>
      <c r="K52" s="3"/>
      <c r="L52" s="3"/>
    </row>
    <row r="56" spans="3:12" x14ac:dyDescent="0.25">
      <c r="E56" s="3"/>
      <c r="F56" s="3"/>
    </row>
    <row r="57" spans="3:12" x14ac:dyDescent="0.25">
      <c r="E57" s="3"/>
      <c r="F57" s="3"/>
    </row>
    <row r="58" spans="3:12" x14ac:dyDescent="0.25">
      <c r="E58" s="3"/>
      <c r="F58" s="3"/>
    </row>
    <row r="59" spans="3:12" x14ac:dyDescent="0.25">
      <c r="E59" s="3"/>
      <c r="F59" s="3"/>
    </row>
    <row r="60" spans="3:12" x14ac:dyDescent="0.25">
      <c r="E60" s="3"/>
      <c r="F60" s="3"/>
    </row>
    <row r="61" spans="3:12" x14ac:dyDescent="0.25">
      <c r="E61" s="3"/>
      <c r="F61" s="3"/>
    </row>
  </sheetData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44BF-48A7-4BF2-8E7E-DFBEE68A2EA7}">
  <sheetPr>
    <pageSetUpPr fitToPage="1"/>
  </sheetPr>
  <dimension ref="B1:O56"/>
  <sheetViews>
    <sheetView topLeftCell="A19" workbookViewId="0">
      <selection activeCell="D43" sqref="D43"/>
    </sheetView>
  </sheetViews>
  <sheetFormatPr defaultColWidth="8.88671875" defaultRowHeight="15" x14ac:dyDescent="0.25"/>
  <cols>
    <col min="1" max="1" width="2.77734375" style="1" customWidth="1"/>
    <col min="2" max="2" width="8.33203125" style="1" customWidth="1"/>
    <col min="3" max="3" width="10" style="1" customWidth="1"/>
    <col min="4" max="4" width="9.33203125" style="1" bestFit="1" customWidth="1"/>
    <col min="5" max="5" width="1.33203125" style="1" customWidth="1"/>
    <col min="6" max="6" width="11.33203125" style="1" customWidth="1"/>
    <col min="7" max="7" width="1.33203125" style="1" customWidth="1"/>
    <col min="8" max="8" width="9.33203125" style="1" bestFit="1" customWidth="1"/>
    <col min="9" max="9" width="2.109375" style="1" customWidth="1"/>
    <col min="10" max="10" width="9" style="1" bestFit="1" customWidth="1"/>
    <col min="11" max="11" width="9.21875" style="1" customWidth="1"/>
    <col min="12" max="12" width="10.109375" style="1" customWidth="1"/>
    <col min="13" max="16384" width="8.88671875" style="1"/>
  </cols>
  <sheetData>
    <row r="1" spans="3:10" x14ac:dyDescent="0.25">
      <c r="C1" s="168" t="s">
        <v>220</v>
      </c>
    </row>
    <row r="2" spans="3:10" x14ac:dyDescent="0.25">
      <c r="C2" s="168" t="s">
        <v>221</v>
      </c>
    </row>
    <row r="3" spans="3:10" x14ac:dyDescent="0.25">
      <c r="C3" s="168" t="s">
        <v>222</v>
      </c>
    </row>
    <row r="4" spans="3:10" x14ac:dyDescent="0.25">
      <c r="C4" s="226" t="s">
        <v>223</v>
      </c>
    </row>
    <row r="5" spans="3:10" x14ac:dyDescent="0.25">
      <c r="C5" s="226"/>
    </row>
    <row r="6" spans="3:10" x14ac:dyDescent="0.25">
      <c r="C6" s="227"/>
    </row>
    <row r="7" spans="3:10" x14ac:dyDescent="0.25">
      <c r="D7" s="223" t="s">
        <v>224</v>
      </c>
      <c r="F7" s="223" t="s">
        <v>225</v>
      </c>
      <c r="H7" s="223" t="s">
        <v>226</v>
      </c>
    </row>
    <row r="8" spans="3:10" ht="15.75" thickBot="1" x14ac:dyDescent="0.3">
      <c r="D8" s="228">
        <v>0.33333400000000002</v>
      </c>
      <c r="E8" s="228"/>
      <c r="F8" s="228">
        <v>0.33333299999999999</v>
      </c>
      <c r="G8" s="228"/>
      <c r="H8" s="228">
        <v>0.33333299999999999</v>
      </c>
      <c r="I8" s="228"/>
      <c r="J8" s="229">
        <f>SUM(D8:H8)</f>
        <v>1</v>
      </c>
    </row>
    <row r="9" spans="3:10" ht="15.75" thickTop="1" x14ac:dyDescent="0.25"/>
    <row r="10" spans="3:10" x14ac:dyDescent="0.25">
      <c r="C10" s="230" t="s">
        <v>227</v>
      </c>
      <c r="F10" s="2" t="s">
        <v>225</v>
      </c>
      <c r="H10" s="2" t="s">
        <v>226</v>
      </c>
    </row>
    <row r="11" spans="3:10" x14ac:dyDescent="0.25">
      <c r="D11" s="223" t="s">
        <v>224</v>
      </c>
      <c r="F11" s="223" t="s">
        <v>228</v>
      </c>
      <c r="H11" s="223" t="s">
        <v>229</v>
      </c>
    </row>
    <row r="12" spans="3:10" x14ac:dyDescent="0.25">
      <c r="C12" s="1">
        <v>650.70000000000005</v>
      </c>
      <c r="D12" s="231">
        <f>J12*$D$8</f>
        <v>9680.4626942200011</v>
      </c>
      <c r="E12" s="231"/>
      <c r="F12" s="231">
        <f>J12*$F$8</f>
        <v>9680.4336528900003</v>
      </c>
      <c r="G12" s="231"/>
      <c r="H12" s="231">
        <f>J12*$H$8</f>
        <v>9680.4336528900003</v>
      </c>
      <c r="I12" s="231"/>
      <c r="J12" s="232">
        <v>29041.33</v>
      </c>
    </row>
    <row r="13" spans="3:10" x14ac:dyDescent="0.25">
      <c r="C13" s="1">
        <v>650.5</v>
      </c>
      <c r="D13" s="231">
        <f>J13*$D$8</f>
        <v>0</v>
      </c>
      <c r="E13" s="231"/>
      <c r="F13" s="231">
        <f>J13*$F$8</f>
        <v>0</v>
      </c>
      <c r="G13" s="231"/>
      <c r="H13" s="231">
        <f>J13*$H$8</f>
        <v>0</v>
      </c>
      <c r="I13" s="231"/>
      <c r="J13" s="232"/>
    </row>
    <row r="14" spans="3:10" x14ac:dyDescent="0.25">
      <c r="C14" s="1">
        <v>650.6</v>
      </c>
      <c r="D14" s="231">
        <f>J14*$D$8</f>
        <v>78707.550748120004</v>
      </c>
      <c r="E14" s="231"/>
      <c r="F14" s="231">
        <f>J14*$F$8</f>
        <v>78707.314625939995</v>
      </c>
      <c r="G14" s="231"/>
      <c r="H14" s="231">
        <f>J14*$H$8</f>
        <v>78707.314625939995</v>
      </c>
      <c r="I14" s="231"/>
      <c r="J14" s="232">
        <v>236122.18</v>
      </c>
    </row>
    <row r="15" spans="3:10" x14ac:dyDescent="0.25">
      <c r="C15" s="1">
        <v>650.79999999999995</v>
      </c>
      <c r="D15" s="231">
        <f>J15*$D$8</f>
        <v>4348.6286972400003</v>
      </c>
      <c r="E15" s="231"/>
      <c r="F15" s="231">
        <f>J15*$F$8</f>
        <v>4348.6156513799997</v>
      </c>
      <c r="G15" s="231"/>
      <c r="H15" s="231">
        <f>J15*$H$8</f>
        <v>4348.6156513799997</v>
      </c>
      <c r="I15" s="231"/>
      <c r="J15" s="232">
        <v>13045.86</v>
      </c>
    </row>
    <row r="16" spans="3:10" ht="15.75" thickBot="1" x14ac:dyDescent="0.3">
      <c r="D16" s="233">
        <f>SUM(D12:D15)</f>
        <v>92736.642139579999</v>
      </c>
      <c r="E16" s="231"/>
      <c r="F16" s="233">
        <f>SUM(F12:F15)</f>
        <v>92736.363930209991</v>
      </c>
      <c r="G16" s="231"/>
      <c r="H16" s="233">
        <f>SUM(H12:H15)</f>
        <v>92736.363930209991</v>
      </c>
      <c r="I16" s="231"/>
      <c r="J16" s="231"/>
    </row>
    <row r="17" spans="2:14" ht="15.75" thickTop="1" x14ac:dyDescent="0.25">
      <c r="D17" s="587"/>
      <c r="E17" s="231"/>
      <c r="F17" s="587"/>
      <c r="G17" s="231"/>
      <c r="H17" s="587"/>
      <c r="I17" s="231"/>
      <c r="J17" s="231"/>
    </row>
    <row r="19" spans="2:14" x14ac:dyDescent="0.25">
      <c r="C19" s="10" t="s">
        <v>230</v>
      </c>
    </row>
    <row r="20" spans="2:14" x14ac:dyDescent="0.25">
      <c r="D20" s="2"/>
      <c r="E20" s="2"/>
      <c r="F20" s="2" t="s">
        <v>225</v>
      </c>
      <c r="G20" s="2"/>
      <c r="H20" s="2" t="s">
        <v>226</v>
      </c>
      <c r="L20" s="148">
        <v>468533.5</v>
      </c>
      <c r="M20" s="234" t="s">
        <v>231</v>
      </c>
      <c r="N20" s="231"/>
    </row>
    <row r="21" spans="2:14" x14ac:dyDescent="0.25">
      <c r="D21" s="2" t="s">
        <v>224</v>
      </c>
      <c r="E21" s="2"/>
      <c r="F21" s="2" t="s">
        <v>228</v>
      </c>
      <c r="G21" s="2"/>
      <c r="H21" s="2" t="s">
        <v>229</v>
      </c>
      <c r="L21" s="235">
        <v>378388.4</v>
      </c>
      <c r="M21" s="148" t="s">
        <v>232</v>
      </c>
      <c r="N21" s="231"/>
    </row>
    <row r="22" spans="2:14" x14ac:dyDescent="0.25">
      <c r="C22" s="1">
        <v>601.70000000000005</v>
      </c>
      <c r="D22" s="268">
        <f>J22*$D$8+4735.93</f>
        <v>287043.79461460002</v>
      </c>
      <c r="E22" s="231"/>
      <c r="F22" s="231">
        <f>$F$8*J22</f>
        <v>282307.01769270003</v>
      </c>
      <c r="G22" s="231"/>
      <c r="H22" s="231">
        <f>$H$8*J22</f>
        <v>282307.01769270003</v>
      </c>
      <c r="I22" s="231"/>
      <c r="J22" s="232">
        <v>846921.9</v>
      </c>
      <c r="K22" s="236" t="s">
        <v>233</v>
      </c>
      <c r="L22" s="148">
        <f>+L21+L20</f>
        <v>846921.9</v>
      </c>
      <c r="M22" s="148" t="s">
        <v>234</v>
      </c>
      <c r="N22" s="231"/>
    </row>
    <row r="23" spans="2:14" x14ac:dyDescent="0.25">
      <c r="C23" s="1">
        <v>615.70000000000005</v>
      </c>
      <c r="D23" s="231">
        <f>J23*$D$8</f>
        <v>0</v>
      </c>
      <c r="E23" s="231"/>
      <c r="F23" s="231">
        <f>$F$8*J23</f>
        <v>0</v>
      </c>
      <c r="G23" s="231"/>
      <c r="H23" s="231">
        <f>$H$8*J23</f>
        <v>0</v>
      </c>
      <c r="I23" s="231"/>
      <c r="J23" s="232"/>
    </row>
    <row r="24" spans="2:14" x14ac:dyDescent="0.25">
      <c r="C24" s="1">
        <v>615.79999999999995</v>
      </c>
      <c r="D24" s="231">
        <f>J24*$D$8</f>
        <v>3595.9805252800002</v>
      </c>
      <c r="E24" s="231"/>
      <c r="F24" s="231">
        <f>$F$8*J24</f>
        <v>3595.9697373599997</v>
      </c>
      <c r="G24" s="231"/>
      <c r="H24" s="231">
        <f>$H$8*J24</f>
        <v>3595.9697373599997</v>
      </c>
      <c r="I24" s="231"/>
      <c r="J24" s="232">
        <v>10787.92</v>
      </c>
    </row>
    <row r="25" spans="2:14" x14ac:dyDescent="0.25">
      <c r="C25" s="1">
        <v>620.70000000000005</v>
      </c>
      <c r="D25" s="231">
        <f>J25*$D$8</f>
        <v>78077.676155039997</v>
      </c>
      <c r="E25" s="231"/>
      <c r="F25" s="231">
        <f>$F$8*J25</f>
        <v>78077.441922479993</v>
      </c>
      <c r="G25" s="231"/>
      <c r="H25" s="231">
        <f>$H$8*J25</f>
        <v>78077.441922479993</v>
      </c>
      <c r="I25" s="231"/>
      <c r="J25" s="232">
        <v>234232.56</v>
      </c>
    </row>
    <row r="26" spans="2:14" x14ac:dyDescent="0.25">
      <c r="C26" s="1">
        <v>620.79999999999995</v>
      </c>
      <c r="D26" s="231">
        <f>J26*$D$8</f>
        <v>49392.148784099998</v>
      </c>
      <c r="E26" s="231"/>
      <c r="F26" s="231">
        <f>$F$8*J26</f>
        <v>49392.000607949994</v>
      </c>
      <c r="G26" s="231"/>
      <c r="H26" s="231">
        <f>$H$8*J26</f>
        <v>49392.000607949994</v>
      </c>
      <c r="I26" s="231"/>
      <c r="J26" s="232">
        <v>148176.15</v>
      </c>
    </row>
    <row r="27" spans="2:14" ht="15.75" thickBot="1" x14ac:dyDescent="0.3">
      <c r="D27" s="233">
        <f>SUM(D22:D26)</f>
        <v>418109.60007902002</v>
      </c>
      <c r="E27" s="231"/>
      <c r="F27" s="233">
        <f>SUM(F22:F26)</f>
        <v>413372.42996049003</v>
      </c>
      <c r="G27" s="231"/>
      <c r="H27" s="233">
        <f>SUM(H22:H26)</f>
        <v>413372.42996049003</v>
      </c>
      <c r="I27" s="231"/>
      <c r="J27" s="231"/>
      <c r="K27" s="14">
        <f>SUM(D27:H27)</f>
        <v>1244854.46</v>
      </c>
    </row>
    <row r="28" spans="2:14" ht="15.75" thickTop="1" x14ac:dyDescent="0.25">
      <c r="D28" s="587"/>
      <c r="E28" s="231"/>
      <c r="F28" s="587"/>
      <c r="G28" s="231"/>
      <c r="H28" s="587"/>
      <c r="I28" s="231"/>
      <c r="J28" s="231"/>
      <c r="K28" s="14"/>
    </row>
    <row r="30" spans="2:14" x14ac:dyDescent="0.25">
      <c r="B30" s="626" t="s">
        <v>282</v>
      </c>
      <c r="C30" s="626"/>
      <c r="D30" s="626"/>
      <c r="E30" s="626"/>
      <c r="F30" s="626"/>
      <c r="G30" s="626"/>
      <c r="H30" s="626"/>
      <c r="I30" s="626"/>
      <c r="J30" s="626"/>
    </row>
    <row r="31" spans="2:14" ht="6.95" customHeight="1" x14ac:dyDescent="0.25">
      <c r="B31" s="272"/>
      <c r="C31" s="272"/>
      <c r="D31" s="272"/>
      <c r="E31" s="272"/>
      <c r="F31" s="272"/>
      <c r="G31" s="272"/>
      <c r="H31" s="272"/>
      <c r="I31" s="272"/>
      <c r="J31" s="272"/>
    </row>
    <row r="32" spans="2:14" ht="17.25" x14ac:dyDescent="0.4">
      <c r="C32" s="625" t="s">
        <v>224</v>
      </c>
      <c r="D32" s="625"/>
    </row>
    <row r="33" spans="2:15" ht="17.25" x14ac:dyDescent="0.4">
      <c r="C33" s="256" t="s">
        <v>235</v>
      </c>
      <c r="D33" s="256" t="s">
        <v>236</v>
      </c>
      <c r="E33" s="256"/>
      <c r="F33" s="256" t="s">
        <v>225</v>
      </c>
      <c r="G33" s="256"/>
      <c r="H33" s="256" t="s">
        <v>226</v>
      </c>
      <c r="J33" s="256" t="s">
        <v>42</v>
      </c>
    </row>
    <row r="34" spans="2:15" x14ac:dyDescent="0.25">
      <c r="B34" s="13" t="s">
        <v>268</v>
      </c>
      <c r="C34" s="3">
        <v>1242</v>
      </c>
      <c r="D34" s="3">
        <v>5485</v>
      </c>
      <c r="E34" s="3"/>
      <c r="F34" s="3">
        <v>5773</v>
      </c>
      <c r="G34" s="3"/>
      <c r="H34" s="3">
        <v>5347</v>
      </c>
      <c r="I34" s="3"/>
      <c r="J34" s="169">
        <f>SUM(C34:H34)</f>
        <v>17847</v>
      </c>
      <c r="K34" s="3"/>
      <c r="L34" s="3"/>
      <c r="M34" s="3"/>
    </row>
    <row r="35" spans="2:15" x14ac:dyDescent="0.25">
      <c r="B35" s="13" t="s">
        <v>143</v>
      </c>
      <c r="C35" s="198">
        <f>C34/$J$34</f>
        <v>6.9591527987897125E-2</v>
      </c>
      <c r="D35" s="198">
        <f>D34/$J$34</f>
        <v>0.30733456603350701</v>
      </c>
      <c r="E35" s="198"/>
      <c r="F35" s="198">
        <f>F34/$J$34</f>
        <v>0.32347173194374407</v>
      </c>
      <c r="G35" s="198"/>
      <c r="H35" s="198">
        <f>H34/$J$34</f>
        <v>0.29960217403485179</v>
      </c>
      <c r="I35" s="3"/>
      <c r="J35" s="257">
        <f>SUM(C35:H35)</f>
        <v>1</v>
      </c>
      <c r="K35" s="3"/>
      <c r="L35" s="3"/>
      <c r="M35" s="3"/>
    </row>
    <row r="36" spans="2:15" x14ac:dyDescent="0.25">
      <c r="C36" s="3"/>
      <c r="D36" s="3"/>
      <c r="E36" s="3"/>
      <c r="F36" s="3"/>
      <c r="G36" s="3"/>
      <c r="H36" s="3"/>
      <c r="I36" s="3"/>
      <c r="J36" s="169"/>
      <c r="K36" s="3"/>
      <c r="L36" s="3"/>
      <c r="M36" s="3"/>
    </row>
    <row r="37" spans="2:15" x14ac:dyDescent="0.25">
      <c r="B37" s="230" t="s">
        <v>227</v>
      </c>
      <c r="C37" s="3"/>
      <c r="D37" s="3"/>
      <c r="E37" s="3"/>
      <c r="F37" s="3"/>
      <c r="G37" s="3"/>
      <c r="H37" s="3"/>
      <c r="I37" s="3"/>
      <c r="J37" s="169"/>
      <c r="K37" s="3"/>
      <c r="L37" s="3"/>
      <c r="M37" s="3"/>
    </row>
    <row r="38" spans="2:15" x14ac:dyDescent="0.25">
      <c r="B38" s="1">
        <v>650.70000000000005</v>
      </c>
      <c r="C38" s="3">
        <f>C35*$J38</f>
        <v>2021.0305295007565</v>
      </c>
      <c r="D38" s="3">
        <f>D35*$J38</f>
        <v>8925.4045525858692</v>
      </c>
      <c r="E38" s="3"/>
      <c r="F38" s="3">
        <f>F35*$J38</f>
        <v>9394.0493130498144</v>
      </c>
      <c r="G38" s="3"/>
      <c r="H38" s="3">
        <f>H35*$J38</f>
        <v>8700.8456048635635</v>
      </c>
      <c r="I38" s="3"/>
      <c r="J38" s="169">
        <v>29041.33</v>
      </c>
      <c r="K38" s="3"/>
      <c r="L38" s="3"/>
      <c r="M38" s="3"/>
      <c r="O38" s="588" t="s">
        <v>587</v>
      </c>
    </row>
    <row r="39" spans="2:15" x14ac:dyDescent="0.25">
      <c r="B39" s="1">
        <v>650.5</v>
      </c>
      <c r="C39" s="3">
        <f>C$35*$J39</f>
        <v>0</v>
      </c>
      <c r="D39" s="3">
        <f>D$35*$J39</f>
        <v>0</v>
      </c>
      <c r="E39" s="3"/>
      <c r="F39" s="3">
        <f>F$35*$J39</f>
        <v>0</v>
      </c>
      <c r="G39" s="3"/>
      <c r="H39" s="3">
        <f>H$35*$J39</f>
        <v>0</v>
      </c>
      <c r="I39" s="3"/>
      <c r="J39" s="169">
        <v>0</v>
      </c>
      <c r="K39" s="3"/>
      <c r="L39" s="3"/>
      <c r="M39" s="3"/>
      <c r="O39" s="588" t="s">
        <v>588</v>
      </c>
    </row>
    <row r="40" spans="2:15" x14ac:dyDescent="0.25">
      <c r="B40" s="1">
        <v>650.6</v>
      </c>
      <c r="C40" s="3">
        <f>C35*$J40</f>
        <v>16432.103298033282</v>
      </c>
      <c r="D40" s="3">
        <f>D35*$J40</f>
        <v>72568.507721185626</v>
      </c>
      <c r="E40" s="3"/>
      <c r="F40" s="3">
        <f>F35*$J40</f>
        <v>76378.850514932477</v>
      </c>
      <c r="G40" s="3"/>
      <c r="H40" s="3">
        <f>H35*$J40</f>
        <v>70742.718465848593</v>
      </c>
      <c r="I40" s="3"/>
      <c r="J40" s="169">
        <v>236122.18</v>
      </c>
      <c r="K40" s="3"/>
      <c r="L40" s="3"/>
      <c r="M40" s="3"/>
      <c r="O40" s="588" t="s">
        <v>589</v>
      </c>
    </row>
    <row r="41" spans="2:15" ht="17.25" x14ac:dyDescent="0.4">
      <c r="B41" s="1">
        <v>650.79999999999995</v>
      </c>
      <c r="C41" s="72">
        <f>C35*$J41</f>
        <v>907.88133131618758</v>
      </c>
      <c r="D41" s="72">
        <f>D35*$J41</f>
        <v>4009.4437216338879</v>
      </c>
      <c r="E41" s="72"/>
      <c r="F41" s="72">
        <f>F35*$J41</f>
        <v>4219.9669288956129</v>
      </c>
      <c r="G41" s="72"/>
      <c r="H41" s="72">
        <f>H35*$J41</f>
        <v>3908.5680181543116</v>
      </c>
      <c r="I41" s="72"/>
      <c r="J41" s="170">
        <v>13045.86</v>
      </c>
      <c r="K41" s="3"/>
      <c r="L41" s="3"/>
      <c r="M41" s="3"/>
      <c r="O41" s="588" t="s">
        <v>590</v>
      </c>
    </row>
    <row r="42" spans="2:15" ht="15.75" x14ac:dyDescent="0.25">
      <c r="C42" s="3">
        <f>SUM(C38:C41)</f>
        <v>19361.015158850227</v>
      </c>
      <c r="D42" s="3">
        <f t="shared" ref="D42:J42" si="0">SUM(D38:D41)</f>
        <v>85503.355995405378</v>
      </c>
      <c r="E42" s="3"/>
      <c r="F42" s="3">
        <f t="shared" si="0"/>
        <v>89992.866756877906</v>
      </c>
      <c r="G42" s="3"/>
      <c r="H42" s="3">
        <f t="shared" si="0"/>
        <v>83352.132088866478</v>
      </c>
      <c r="I42" s="3"/>
      <c r="J42" s="169">
        <f t="shared" si="0"/>
        <v>278209.37</v>
      </c>
      <c r="K42" s="3"/>
      <c r="L42" s="198"/>
      <c r="M42" s="3"/>
      <c r="O42"/>
    </row>
    <row r="43" spans="2:15" ht="15.75" x14ac:dyDescent="0.25">
      <c r="B43" s="273" t="s">
        <v>283</v>
      </c>
      <c r="C43" s="274"/>
      <c r="D43" s="275">
        <f>D42-D16</f>
        <v>-7233.2861441746209</v>
      </c>
      <c r="E43" s="3"/>
      <c r="F43" s="3"/>
      <c r="G43" s="3"/>
      <c r="H43" s="3"/>
      <c r="I43" s="3"/>
      <c r="J43" s="169"/>
      <c r="K43" s="3"/>
      <c r="L43" s="3"/>
      <c r="M43" s="3"/>
      <c r="O43"/>
    </row>
    <row r="44" spans="2:15" ht="15.75" x14ac:dyDescent="0.25">
      <c r="C44" s="3"/>
      <c r="D44" s="3"/>
      <c r="E44" s="3"/>
      <c r="F44" s="3"/>
      <c r="G44" s="3"/>
      <c r="H44" s="3"/>
      <c r="I44" s="3"/>
      <c r="J44" s="169"/>
      <c r="K44" s="3"/>
      <c r="L44" s="3"/>
      <c r="M44" s="3"/>
      <c r="O44"/>
    </row>
    <row r="45" spans="2:15" ht="15.75" x14ac:dyDescent="0.25">
      <c r="B45" s="10" t="s">
        <v>230</v>
      </c>
      <c r="C45" s="3"/>
      <c r="D45" s="3"/>
      <c r="E45" s="3"/>
      <c r="F45" s="3"/>
      <c r="G45" s="3"/>
      <c r="H45" s="3"/>
      <c r="I45" s="3"/>
      <c r="J45" s="169"/>
      <c r="K45" s="3"/>
      <c r="L45" s="3"/>
      <c r="M45" s="3"/>
      <c r="O45"/>
    </row>
    <row r="46" spans="2:15" x14ac:dyDescent="0.25">
      <c r="B46" s="1">
        <v>601.70000000000005</v>
      </c>
      <c r="C46" s="3">
        <f>C$35*$J46</f>
        <v>58938.589107413012</v>
      </c>
      <c r="D46" s="271">
        <f>D$35*$J46+4735.93</f>
        <v>265024.3046007732</v>
      </c>
      <c r="E46" s="3"/>
      <c r="F46" s="3">
        <f>F$35*$J46</f>
        <v>273955.29381408641</v>
      </c>
      <c r="G46" s="3"/>
      <c r="H46" s="3">
        <f>H$35*$J46</f>
        <v>253739.64247772735</v>
      </c>
      <c r="I46" s="3"/>
      <c r="J46" s="169">
        <v>846921.9</v>
      </c>
      <c r="K46" s="3">
        <f>SUM(C46:H46)</f>
        <v>851657.83</v>
      </c>
      <c r="M46" s="3"/>
      <c r="O46" s="588" t="s">
        <v>577</v>
      </c>
    </row>
    <row r="47" spans="2:15" x14ac:dyDescent="0.25">
      <c r="B47" s="1">
        <v>615.70000000000005</v>
      </c>
      <c r="C47" s="3">
        <f>C$35*$J47</f>
        <v>0</v>
      </c>
      <c r="D47" s="3">
        <f>D$35*$J47</f>
        <v>0</v>
      </c>
      <c r="E47" s="3"/>
      <c r="F47" s="3">
        <f>F$35*$J47</f>
        <v>0</v>
      </c>
      <c r="G47" s="3"/>
      <c r="H47" s="3">
        <f>H$35*$J47</f>
        <v>0</v>
      </c>
      <c r="I47" s="3"/>
      <c r="J47" s="169"/>
      <c r="K47" s="3"/>
      <c r="L47" s="3"/>
      <c r="M47" s="3"/>
      <c r="O47" s="588"/>
    </row>
    <row r="48" spans="2:15" x14ac:dyDescent="0.25">
      <c r="B48" s="1">
        <v>615.79999999999995</v>
      </c>
      <c r="C48" s="3">
        <f>C$35*$J48</f>
        <v>750.74783661119511</v>
      </c>
      <c r="D48" s="3">
        <f>D$35*$J48</f>
        <v>3315.5007116041911</v>
      </c>
      <c r="E48" s="3"/>
      <c r="F48" s="3">
        <f>F$35*$J48</f>
        <v>3489.5871664705555</v>
      </c>
      <c r="G48" s="3"/>
      <c r="H48" s="3">
        <f>H$35*$J48</f>
        <v>3232.0842853140584</v>
      </c>
      <c r="I48" s="3"/>
      <c r="J48" s="169">
        <v>10787.92</v>
      </c>
      <c r="K48" s="3">
        <f>SUM(C48:H48)</f>
        <v>10787.92</v>
      </c>
      <c r="L48" s="3"/>
      <c r="M48" s="3"/>
      <c r="O48" s="588" t="s">
        <v>591</v>
      </c>
    </row>
    <row r="49" spans="2:15" x14ac:dyDescent="0.25">
      <c r="B49" s="1">
        <v>620.70000000000005</v>
      </c>
      <c r="C49" s="3">
        <f>C$35*$J49</f>
        <v>16300.601754916792</v>
      </c>
      <c r="D49" s="3">
        <f>D$35*$J49</f>
        <v>71987.762178517398</v>
      </c>
      <c r="E49" s="3"/>
      <c r="F49" s="3">
        <f>F$35*$J49</f>
        <v>75767.611860816949</v>
      </c>
      <c r="G49" s="3"/>
      <c r="H49" s="3">
        <f>H$35*$J49</f>
        <v>70176.584205748863</v>
      </c>
      <c r="I49" s="3"/>
      <c r="J49" s="169">
        <v>234232.56</v>
      </c>
      <c r="K49" s="3">
        <f>SUM(C49:H49)</f>
        <v>234232.56</v>
      </c>
      <c r="L49" s="3"/>
      <c r="M49" s="3"/>
      <c r="O49" s="588" t="s">
        <v>592</v>
      </c>
    </row>
    <row r="50" spans="2:15" ht="17.25" x14ac:dyDescent="0.4">
      <c r="B50" s="1">
        <v>620.79999999999995</v>
      </c>
      <c r="C50" s="72">
        <f>C$35*$J50</f>
        <v>10311.804689863842</v>
      </c>
      <c r="D50" s="72">
        <f>D$35*$J50</f>
        <v>45539.652756765834</v>
      </c>
      <c r="E50" s="72"/>
      <c r="F50" s="72">
        <f>F$35*$J50</f>
        <v>47930.795873256007</v>
      </c>
      <c r="G50" s="72"/>
      <c r="H50" s="72">
        <f>H$35*$J50</f>
        <v>44393.896680114303</v>
      </c>
      <c r="I50" s="72"/>
      <c r="J50" s="170">
        <v>148176.15</v>
      </c>
      <c r="K50" s="3">
        <f>SUM(C50:H50)</f>
        <v>148176.15</v>
      </c>
      <c r="L50" s="3"/>
      <c r="M50" s="3"/>
      <c r="O50" s="588" t="s">
        <v>593</v>
      </c>
    </row>
    <row r="51" spans="2:15" x14ac:dyDescent="0.25">
      <c r="C51" s="3">
        <f>SUM(C46:C50)</f>
        <v>86301.74338880484</v>
      </c>
      <c r="D51" s="3">
        <f t="shared" ref="D51:J51" si="1">SUM(D46:D50)</f>
        <v>385867.22024766065</v>
      </c>
      <c r="E51" s="3"/>
      <c r="F51" s="3">
        <f t="shared" si="1"/>
        <v>401143.28871462989</v>
      </c>
      <c r="G51" s="3"/>
      <c r="H51" s="3">
        <f t="shared" si="1"/>
        <v>371542.20764890459</v>
      </c>
      <c r="I51" s="3"/>
      <c r="J51" s="169">
        <f t="shared" si="1"/>
        <v>1240118.53</v>
      </c>
      <c r="K51" s="3">
        <f>SUM(K46:K50)</f>
        <v>1244854.46</v>
      </c>
      <c r="L51" s="3"/>
      <c r="M51" s="3"/>
    </row>
    <row r="52" spans="2:15" x14ac:dyDescent="0.25">
      <c r="B52" s="273" t="s">
        <v>285</v>
      </c>
      <c r="C52" s="274"/>
      <c r="D52" s="275">
        <f>D46-D22</f>
        <v>-22019.490013826813</v>
      </c>
      <c r="E52" s="3"/>
      <c r="F52" s="3"/>
      <c r="G52" s="3"/>
      <c r="H52" s="3"/>
      <c r="I52" s="3"/>
      <c r="J52" s="3"/>
      <c r="K52" s="3"/>
      <c r="L52" s="3"/>
      <c r="M52" s="3"/>
    </row>
    <row r="53" spans="2:15" x14ac:dyDescent="0.25">
      <c r="B53" s="273" t="s">
        <v>284</v>
      </c>
      <c r="C53" s="274"/>
      <c r="D53" s="275">
        <f>D51-D27-D52</f>
        <v>-10222.889817532559</v>
      </c>
      <c r="E53" s="3"/>
      <c r="F53" s="3"/>
      <c r="G53" s="3"/>
      <c r="H53" s="3"/>
      <c r="I53" s="3"/>
      <c r="J53" s="3"/>
      <c r="K53" s="3"/>
      <c r="L53" s="3"/>
      <c r="M53" s="3"/>
      <c r="O53" s="588"/>
    </row>
    <row r="54" spans="2:15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O54" s="588"/>
    </row>
    <row r="55" spans="2:15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5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</sheetData>
  <mergeCells count="2">
    <mergeCell ref="C32:D32"/>
    <mergeCell ref="B30:J30"/>
  </mergeCells>
  <pageMargins left="0.45" right="0.45" top="0.25" bottom="0.25" header="0.3" footer="0.3"/>
  <pageSetup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V69"/>
  <sheetViews>
    <sheetView workbookViewId="0"/>
  </sheetViews>
  <sheetFormatPr defaultColWidth="8.88671875" defaultRowHeight="15" x14ac:dyDescent="0.25"/>
  <cols>
    <col min="1" max="1" width="1.88671875" style="1" customWidth="1"/>
    <col min="2" max="2" width="1.77734375" style="1" customWidth="1"/>
    <col min="3" max="3" width="1.6640625" style="30" customWidth="1"/>
    <col min="4" max="4" width="23.6640625" style="30" customWidth="1"/>
    <col min="5" max="5" width="7.77734375" style="30" customWidth="1"/>
    <col min="6" max="6" width="10.109375" style="30" customWidth="1"/>
    <col min="7" max="7" width="5.77734375" style="62" customWidth="1"/>
    <col min="8" max="8" width="9.5546875" style="30" customWidth="1"/>
    <col min="9" max="9" width="5.77734375" style="62" customWidth="1"/>
    <col min="10" max="10" width="8.77734375" style="30" customWidth="1"/>
    <col min="11" max="11" width="10" style="30" customWidth="1"/>
    <col min="12" max="12" width="1.77734375" style="30" customWidth="1"/>
    <col min="13" max="13" width="2.33203125" style="30" customWidth="1"/>
    <col min="14" max="256" width="9.6640625" style="30" customWidth="1"/>
    <col min="257" max="16384" width="8.88671875" style="1"/>
  </cols>
  <sheetData>
    <row r="1" spans="2:25" x14ac:dyDescent="0.25">
      <c r="N1" s="44"/>
    </row>
    <row r="2" spans="2:25" ht="6.95" customHeight="1" x14ac:dyDescent="0.25">
      <c r="B2" s="45"/>
      <c r="C2" s="46"/>
      <c r="D2" s="46"/>
      <c r="E2" s="46"/>
      <c r="F2" s="46"/>
      <c r="G2" s="63"/>
      <c r="H2" s="46"/>
      <c r="I2" s="63"/>
      <c r="J2" s="46"/>
      <c r="K2" s="46"/>
      <c r="L2" s="47"/>
      <c r="M2" s="48"/>
      <c r="R2" s="31"/>
    </row>
    <row r="3" spans="2:25" ht="18.75" x14ac:dyDescent="0.3">
      <c r="B3" s="49"/>
      <c r="C3" s="599" t="s">
        <v>44</v>
      </c>
      <c r="D3" s="599"/>
      <c r="E3" s="599"/>
      <c r="F3" s="599"/>
      <c r="G3" s="599"/>
      <c r="H3" s="599"/>
      <c r="I3" s="599"/>
      <c r="J3" s="599"/>
      <c r="K3" s="599"/>
      <c r="L3" s="51"/>
      <c r="M3" s="48"/>
      <c r="R3" s="219"/>
    </row>
    <row r="4" spans="2:25" ht="18.75" x14ac:dyDescent="0.3">
      <c r="B4" s="49"/>
      <c r="C4" s="598" t="s">
        <v>1</v>
      </c>
      <c r="D4" s="598"/>
      <c r="E4" s="598"/>
      <c r="F4" s="598"/>
      <c r="G4" s="598"/>
      <c r="H4" s="598"/>
      <c r="I4" s="598"/>
      <c r="J4" s="598"/>
      <c r="K4" s="598"/>
      <c r="L4" s="51"/>
      <c r="M4" s="48"/>
      <c r="R4" s="31"/>
    </row>
    <row r="5" spans="2:25" ht="15" customHeight="1" x14ac:dyDescent="0.25">
      <c r="B5" s="49"/>
      <c r="C5" s="597" t="s">
        <v>167</v>
      </c>
      <c r="D5" s="597"/>
      <c r="E5" s="597"/>
      <c r="F5" s="597"/>
      <c r="G5" s="597"/>
      <c r="H5" s="597"/>
      <c r="I5" s="597"/>
      <c r="J5" s="597"/>
      <c r="K5" s="597"/>
      <c r="L5" s="51"/>
      <c r="M5" s="48"/>
      <c r="R5" s="31"/>
      <c r="S5" s="70"/>
      <c r="T5" s="70"/>
      <c r="U5" s="70"/>
      <c r="V5" s="70"/>
      <c r="W5" s="70"/>
      <c r="X5" s="70"/>
      <c r="Y5" s="70"/>
    </row>
    <row r="6" spans="2:25" ht="6.95" customHeight="1" x14ac:dyDescent="0.25">
      <c r="B6" s="55"/>
      <c r="C6" s="387"/>
      <c r="D6" s="387"/>
      <c r="E6" s="387"/>
      <c r="F6" s="387"/>
      <c r="G6" s="387"/>
      <c r="H6" s="387"/>
      <c r="I6" s="387"/>
      <c r="J6" s="387"/>
      <c r="K6" s="387"/>
      <c r="L6" s="58"/>
      <c r="M6" s="48"/>
      <c r="R6" s="31"/>
      <c r="S6" s="70"/>
      <c r="T6" s="70"/>
      <c r="U6" s="70"/>
      <c r="V6" s="70"/>
      <c r="W6" s="70"/>
      <c r="X6" s="70"/>
      <c r="Y6" s="70"/>
    </row>
    <row r="7" spans="2:25" ht="6.95" customHeight="1" x14ac:dyDescent="0.25">
      <c r="B7" s="49"/>
      <c r="C7" s="386"/>
      <c r="D7" s="386"/>
      <c r="E7" s="386"/>
      <c r="F7" s="386"/>
      <c r="G7" s="386"/>
      <c r="H7" s="386"/>
      <c r="I7" s="386"/>
      <c r="J7" s="386"/>
      <c r="K7" s="386"/>
      <c r="L7" s="51"/>
      <c r="M7" s="48"/>
      <c r="R7" s="31"/>
      <c r="S7" s="70"/>
      <c r="T7" s="70"/>
      <c r="U7" s="70"/>
      <c r="V7" s="70"/>
      <c r="W7" s="70"/>
      <c r="X7" s="70"/>
      <c r="Y7" s="70"/>
    </row>
    <row r="8" spans="2:25" ht="15" customHeight="1" x14ac:dyDescent="0.25">
      <c r="B8" s="49"/>
      <c r="C8" s="38"/>
      <c r="D8" s="38"/>
      <c r="E8" s="38"/>
      <c r="F8" s="38"/>
      <c r="G8" s="64"/>
      <c r="H8" s="38"/>
      <c r="I8" s="64"/>
      <c r="J8" s="38"/>
      <c r="K8" s="52" t="s">
        <v>37</v>
      </c>
      <c r="L8" s="51"/>
      <c r="M8" s="48"/>
    </row>
    <row r="9" spans="2:25" ht="15" customHeight="1" x14ac:dyDescent="0.25">
      <c r="B9" s="49"/>
      <c r="C9" s="53"/>
      <c r="D9" s="53"/>
      <c r="E9" s="53" t="s">
        <v>3</v>
      </c>
      <c r="F9" s="53" t="s">
        <v>6</v>
      </c>
      <c r="G9" s="65" t="s">
        <v>58</v>
      </c>
      <c r="H9" s="50"/>
      <c r="I9" s="65" t="s">
        <v>86</v>
      </c>
      <c r="J9" s="50"/>
      <c r="K9" s="52" t="s">
        <v>38</v>
      </c>
      <c r="L9" s="51"/>
      <c r="M9" s="48"/>
      <c r="N9" s="54"/>
    </row>
    <row r="10" spans="2:25" ht="15" customHeight="1" x14ac:dyDescent="0.25">
      <c r="B10" s="49"/>
      <c r="C10" s="52"/>
      <c r="D10" s="52" t="s">
        <v>151</v>
      </c>
      <c r="E10" s="52" t="s">
        <v>4</v>
      </c>
      <c r="F10" s="52" t="s">
        <v>90</v>
      </c>
      <c r="G10" s="66" t="s">
        <v>7</v>
      </c>
      <c r="H10" s="52" t="s">
        <v>8</v>
      </c>
      <c r="I10" s="66" t="s">
        <v>7</v>
      </c>
      <c r="J10" s="52" t="s">
        <v>8</v>
      </c>
      <c r="K10" s="52" t="s">
        <v>9</v>
      </c>
      <c r="L10" s="51"/>
      <c r="M10" s="48"/>
      <c r="N10" s="54"/>
    </row>
    <row r="11" spans="2:25" ht="15" customHeight="1" x14ac:dyDescent="0.25">
      <c r="B11" s="49"/>
      <c r="C11" s="37" t="s">
        <v>200</v>
      </c>
      <c r="D11" s="38"/>
      <c r="E11" s="39"/>
      <c r="F11" s="40"/>
      <c r="G11" s="64"/>
      <c r="H11" s="40"/>
      <c r="I11" s="64"/>
      <c r="J11" s="40"/>
      <c r="K11" s="40"/>
      <c r="L11" s="51"/>
      <c r="M11" s="48"/>
      <c r="N11" s="54"/>
    </row>
    <row r="12" spans="2:25" ht="15" customHeight="1" x14ac:dyDescent="0.25">
      <c r="B12" s="49"/>
      <c r="C12" s="38"/>
      <c r="D12" s="38" t="s">
        <v>199</v>
      </c>
      <c r="E12" s="39" t="s">
        <v>5</v>
      </c>
      <c r="F12" s="4">
        <f>11963337-37029-234229-1738-20504-17159-214-2111-109960-506-14865</f>
        <v>11525022</v>
      </c>
      <c r="G12" s="61" t="s">
        <v>149</v>
      </c>
      <c r="H12" s="4">
        <f>297439-1851</f>
        <v>295588</v>
      </c>
      <c r="I12" s="64">
        <v>37.5</v>
      </c>
      <c r="J12" s="4">
        <f>F12/I12</f>
        <v>307333.92</v>
      </c>
      <c r="K12" s="4">
        <f>J12-H12</f>
        <v>11745.919999999984</v>
      </c>
      <c r="L12" s="51"/>
      <c r="M12" s="48"/>
      <c r="N12" s="54"/>
    </row>
    <row r="13" spans="2:25" ht="6.95" customHeight="1" x14ac:dyDescent="0.25">
      <c r="B13" s="49"/>
      <c r="C13" s="38"/>
      <c r="D13" s="38"/>
      <c r="E13" s="39"/>
      <c r="F13" s="5"/>
      <c r="G13" s="61"/>
      <c r="H13" s="5"/>
      <c r="I13" s="64"/>
      <c r="J13" s="5"/>
      <c r="K13" s="5"/>
      <c r="L13" s="51"/>
      <c r="M13" s="48"/>
      <c r="N13" s="54"/>
    </row>
    <row r="14" spans="2:25" ht="15" customHeight="1" x14ac:dyDescent="0.25">
      <c r="B14" s="49"/>
      <c r="C14" s="37" t="s">
        <v>201</v>
      </c>
      <c r="D14" s="38"/>
      <c r="E14" s="39"/>
      <c r="F14" s="5"/>
      <c r="G14" s="61"/>
      <c r="H14" s="5"/>
      <c r="I14" s="64"/>
      <c r="J14" s="5"/>
      <c r="K14" s="5"/>
      <c r="L14" s="51"/>
      <c r="M14" s="48"/>
      <c r="N14" s="54"/>
    </row>
    <row r="15" spans="2:25" ht="15" customHeight="1" x14ac:dyDescent="0.25">
      <c r="B15" s="49"/>
      <c r="C15" s="38"/>
      <c r="D15" s="38" t="s">
        <v>199</v>
      </c>
      <c r="E15" s="39">
        <v>28491</v>
      </c>
      <c r="F15" s="5">
        <v>4484</v>
      </c>
      <c r="G15" s="61">
        <v>50</v>
      </c>
      <c r="H15" s="5">
        <v>89.68</v>
      </c>
      <c r="I15" s="64">
        <v>62.5</v>
      </c>
      <c r="J15" s="5">
        <f>F15/I15</f>
        <v>71.744</v>
      </c>
      <c r="K15" s="5">
        <f>J15-H15</f>
        <v>-17.936000000000007</v>
      </c>
      <c r="L15" s="51"/>
      <c r="M15" s="48"/>
      <c r="N15" s="54"/>
    </row>
    <row r="16" spans="2:25" ht="6.95" customHeight="1" x14ac:dyDescent="0.25">
      <c r="B16" s="49"/>
      <c r="C16" s="38"/>
      <c r="D16" s="38"/>
      <c r="E16" s="39"/>
      <c r="F16" s="5"/>
      <c r="G16" s="61"/>
      <c r="H16" s="5"/>
      <c r="I16" s="64"/>
      <c r="J16" s="5"/>
      <c r="K16" s="5"/>
      <c r="L16" s="51"/>
      <c r="M16" s="48"/>
      <c r="N16" s="54"/>
    </row>
    <row r="17" spans="2:14" ht="15" customHeight="1" x14ac:dyDescent="0.25">
      <c r="B17" s="49"/>
      <c r="C17" s="37" t="s">
        <v>202</v>
      </c>
      <c r="D17" s="38"/>
      <c r="E17" s="39"/>
      <c r="F17" s="5"/>
      <c r="G17" s="61"/>
      <c r="H17" s="5"/>
      <c r="I17" s="64"/>
      <c r="J17" s="5"/>
      <c r="K17" s="5"/>
      <c r="L17" s="51"/>
      <c r="M17" s="48"/>
      <c r="N17" s="54"/>
    </row>
    <row r="18" spans="2:14" ht="15" customHeight="1" x14ac:dyDescent="0.25">
      <c r="B18" s="49"/>
      <c r="C18" s="38"/>
      <c r="D18" s="38" t="s">
        <v>204</v>
      </c>
      <c r="E18" s="39" t="s">
        <v>5</v>
      </c>
      <c r="F18" s="5">
        <v>866240</v>
      </c>
      <c r="G18" s="61" t="s">
        <v>149</v>
      </c>
      <c r="H18" s="5">
        <v>25394</v>
      </c>
      <c r="I18" s="64">
        <v>25</v>
      </c>
      <c r="J18" s="5">
        <f>F18/I18</f>
        <v>34649.599999999999</v>
      </c>
      <c r="K18" s="5">
        <f>J18-H18</f>
        <v>9255.5999999999985</v>
      </c>
      <c r="L18" s="51"/>
      <c r="M18" s="48"/>
      <c r="N18" s="54"/>
    </row>
    <row r="19" spans="2:14" ht="6.95" customHeight="1" x14ac:dyDescent="0.25">
      <c r="B19" s="49"/>
      <c r="C19" s="38"/>
      <c r="D19" s="38"/>
      <c r="E19" s="39"/>
      <c r="F19" s="5"/>
      <c r="G19" s="61"/>
      <c r="H19" s="5"/>
      <c r="I19" s="64"/>
      <c r="J19" s="5"/>
      <c r="K19" s="5"/>
      <c r="L19" s="51"/>
      <c r="M19" s="48"/>
      <c r="N19" s="54"/>
    </row>
    <row r="20" spans="2:14" ht="15" customHeight="1" x14ac:dyDescent="0.25">
      <c r="B20" s="49"/>
      <c r="C20" s="37" t="s">
        <v>203</v>
      </c>
      <c r="D20" s="38"/>
      <c r="E20" s="39"/>
      <c r="F20" s="5"/>
      <c r="G20" s="61"/>
      <c r="H20" s="5"/>
      <c r="I20" s="64"/>
      <c r="J20" s="5"/>
      <c r="K20" s="5"/>
      <c r="L20" s="51"/>
      <c r="M20" s="48"/>
      <c r="N20" s="54"/>
    </row>
    <row r="21" spans="2:14" ht="15" customHeight="1" x14ac:dyDescent="0.25">
      <c r="B21" s="49"/>
      <c r="C21" s="37"/>
      <c r="D21" s="38" t="s">
        <v>205</v>
      </c>
      <c r="E21" s="39">
        <v>39629</v>
      </c>
      <c r="F21" s="5">
        <v>6189620</v>
      </c>
      <c r="G21" s="61">
        <v>40</v>
      </c>
      <c r="H21" s="5">
        <v>154741</v>
      </c>
      <c r="I21" s="64">
        <v>37.5</v>
      </c>
      <c r="J21" s="5">
        <f>F21/I21</f>
        <v>165056.53333333333</v>
      </c>
      <c r="K21" s="5">
        <f>J21-H21</f>
        <v>10315.533333333326</v>
      </c>
      <c r="L21" s="51"/>
      <c r="M21" s="48"/>
      <c r="N21" s="54"/>
    </row>
    <row r="22" spans="2:14" ht="15" customHeight="1" x14ac:dyDescent="0.25">
      <c r="B22" s="49"/>
      <c r="C22" s="38"/>
      <c r="D22" s="38" t="s">
        <v>204</v>
      </c>
      <c r="E22" s="39" t="s">
        <v>5</v>
      </c>
      <c r="F22" s="5">
        <f>906+656+573+12445+191041+2461+22500+31442+128740</f>
        <v>390764</v>
      </c>
      <c r="G22" s="61" t="s">
        <v>149</v>
      </c>
      <c r="H22" s="5">
        <f>165889-H21</f>
        <v>11148</v>
      </c>
      <c r="I22" s="64">
        <v>27.5</v>
      </c>
      <c r="J22" s="5">
        <f>F22/I22</f>
        <v>14209.6</v>
      </c>
      <c r="K22" s="5">
        <f>J22-H22</f>
        <v>3061.6000000000004</v>
      </c>
      <c r="L22" s="51"/>
      <c r="M22" s="48"/>
      <c r="N22" s="54"/>
    </row>
    <row r="23" spans="2:14" ht="6.95" customHeight="1" x14ac:dyDescent="0.25">
      <c r="B23" s="49"/>
      <c r="C23" s="38"/>
      <c r="D23" s="38"/>
      <c r="E23" s="39"/>
      <c r="F23" s="5"/>
      <c r="G23" s="61"/>
      <c r="H23" s="5"/>
      <c r="I23" s="64"/>
      <c r="J23" s="5"/>
      <c r="K23" s="5"/>
      <c r="L23" s="51"/>
      <c r="M23" s="48"/>
      <c r="N23" s="54"/>
    </row>
    <row r="24" spans="2:14" ht="15" customHeight="1" x14ac:dyDescent="0.25">
      <c r="B24" s="49"/>
      <c r="C24" s="37" t="s">
        <v>206</v>
      </c>
      <c r="D24" s="38"/>
      <c r="E24" s="39"/>
      <c r="F24" s="5"/>
      <c r="G24" s="61"/>
      <c r="H24" s="5"/>
      <c r="I24" s="64"/>
      <c r="J24" s="5"/>
      <c r="K24" s="5"/>
      <c r="L24" s="51"/>
      <c r="M24" s="48"/>
      <c r="N24" s="54"/>
    </row>
    <row r="25" spans="2:14" ht="15" customHeight="1" x14ac:dyDescent="0.25">
      <c r="B25" s="49"/>
      <c r="C25" s="38"/>
      <c r="D25" s="38" t="s">
        <v>199</v>
      </c>
      <c r="E25" s="39" t="s">
        <v>5</v>
      </c>
      <c r="F25" s="5">
        <v>2053232</v>
      </c>
      <c r="G25" s="61">
        <v>50</v>
      </c>
      <c r="H25" s="5">
        <v>41065</v>
      </c>
      <c r="I25" s="64">
        <v>45</v>
      </c>
      <c r="J25" s="5">
        <f>F25/I25</f>
        <v>45627.37777777778</v>
      </c>
      <c r="K25" s="5">
        <f>J25-H25</f>
        <v>4562.3777777777796</v>
      </c>
      <c r="L25" s="51"/>
      <c r="M25" s="48"/>
      <c r="N25" s="54"/>
    </row>
    <row r="26" spans="2:14" ht="6.95" customHeight="1" x14ac:dyDescent="0.25">
      <c r="B26" s="49"/>
      <c r="C26" s="38"/>
      <c r="D26" s="38"/>
      <c r="E26" s="39"/>
      <c r="F26" s="5"/>
      <c r="G26" s="61"/>
      <c r="H26" s="5"/>
      <c r="I26" s="64"/>
      <c r="J26" s="5"/>
      <c r="K26" s="5"/>
      <c r="L26" s="51"/>
      <c r="M26" s="48"/>
      <c r="N26" s="54"/>
    </row>
    <row r="27" spans="2:14" ht="15" customHeight="1" x14ac:dyDescent="0.25">
      <c r="B27" s="49"/>
      <c r="C27" s="37" t="s">
        <v>207</v>
      </c>
      <c r="D27" s="38"/>
      <c r="E27" s="39"/>
      <c r="F27" s="5"/>
      <c r="G27" s="61"/>
      <c r="H27" s="5"/>
      <c r="I27" s="64"/>
      <c r="J27" s="5"/>
      <c r="K27" s="5"/>
      <c r="L27" s="51"/>
      <c r="M27" s="48"/>
      <c r="N27" s="54"/>
    </row>
    <row r="28" spans="2:14" ht="15" customHeight="1" x14ac:dyDescent="0.25">
      <c r="B28" s="49"/>
      <c r="C28" s="38"/>
      <c r="D28" s="38" t="s">
        <v>199</v>
      </c>
      <c r="E28" s="39" t="s">
        <v>5</v>
      </c>
      <c r="F28" s="5">
        <f>11073879-478716</f>
        <v>10595163</v>
      </c>
      <c r="G28" s="61" t="s">
        <v>149</v>
      </c>
      <c r="H28" s="5">
        <v>211471</v>
      </c>
      <c r="I28" s="64">
        <v>62.5</v>
      </c>
      <c r="J28" s="5">
        <f>F28/I28</f>
        <v>169522.60800000001</v>
      </c>
      <c r="K28" s="5">
        <f>J28-H28</f>
        <v>-41948.391999999993</v>
      </c>
      <c r="L28" s="51"/>
      <c r="M28" s="48"/>
      <c r="N28" s="54"/>
    </row>
    <row r="29" spans="2:14" ht="6.95" customHeight="1" x14ac:dyDescent="0.25">
      <c r="B29" s="49"/>
      <c r="C29" s="38"/>
      <c r="D29" s="38"/>
      <c r="E29" s="39"/>
      <c r="F29" s="5"/>
      <c r="G29" s="61"/>
      <c r="H29" s="5"/>
      <c r="I29" s="64"/>
      <c r="J29" s="5"/>
      <c r="K29" s="5"/>
      <c r="L29" s="51"/>
      <c r="M29" s="48"/>
      <c r="N29" s="54"/>
    </row>
    <row r="30" spans="2:14" ht="15" customHeight="1" x14ac:dyDescent="0.25">
      <c r="B30" s="49"/>
      <c r="C30" s="37" t="s">
        <v>208</v>
      </c>
      <c r="D30" s="38"/>
      <c r="E30" s="39"/>
      <c r="F30" s="5"/>
      <c r="G30" s="61"/>
      <c r="H30" s="5"/>
      <c r="I30" s="64"/>
      <c r="J30" s="5"/>
      <c r="K30" s="5"/>
      <c r="L30" s="51"/>
      <c r="M30" s="48"/>
      <c r="N30" s="54"/>
    </row>
    <row r="31" spans="2:14" ht="15" customHeight="1" x14ac:dyDescent="0.25">
      <c r="B31" s="49"/>
      <c r="C31" s="38"/>
      <c r="D31" s="38" t="s">
        <v>199</v>
      </c>
      <c r="E31" s="39" t="s">
        <v>5</v>
      </c>
      <c r="F31" s="5">
        <f>1805583-25005-52292-41578-36691-42574-59841-46053-36553-324417</f>
        <v>1140579</v>
      </c>
      <c r="G31" s="61" t="s">
        <v>149</v>
      </c>
      <c r="H31" s="5">
        <v>35188</v>
      </c>
      <c r="I31" s="64">
        <v>40</v>
      </c>
      <c r="J31" s="5">
        <f>F31/I31</f>
        <v>28514.474999999999</v>
      </c>
      <c r="K31" s="5">
        <f>J31-H31</f>
        <v>-6673.5250000000015</v>
      </c>
      <c r="L31" s="51"/>
      <c r="M31" s="48"/>
      <c r="N31" s="54"/>
    </row>
    <row r="32" spans="2:14" ht="6.95" customHeight="1" x14ac:dyDescent="0.25">
      <c r="B32" s="49"/>
      <c r="C32" s="52"/>
      <c r="D32" s="52"/>
      <c r="E32" s="52"/>
      <c r="F32" s="157"/>
      <c r="G32" s="66"/>
      <c r="H32" s="52"/>
      <c r="I32" s="66"/>
      <c r="J32" s="52"/>
      <c r="K32" s="52"/>
      <c r="L32" s="51"/>
      <c r="M32" s="48"/>
      <c r="N32" s="54"/>
    </row>
    <row r="33" spans="2:14" ht="15" customHeight="1" x14ac:dyDescent="0.25">
      <c r="B33" s="49"/>
      <c r="C33" s="37" t="s">
        <v>209</v>
      </c>
      <c r="D33" s="38"/>
      <c r="E33" s="39"/>
      <c r="F33" s="5"/>
      <c r="G33" s="61"/>
      <c r="H33" s="40"/>
      <c r="I33" s="64"/>
      <c r="J33" s="40"/>
      <c r="K33" s="40"/>
      <c r="L33" s="51"/>
      <c r="M33" s="48"/>
      <c r="N33" s="54"/>
    </row>
    <row r="34" spans="2:14" ht="15" customHeight="1" x14ac:dyDescent="0.25">
      <c r="B34" s="49"/>
      <c r="C34" s="37"/>
      <c r="D34" s="38" t="s">
        <v>150</v>
      </c>
      <c r="E34" s="39" t="s">
        <v>5</v>
      </c>
      <c r="F34" s="5">
        <f>113875+16247+19506</f>
        <v>149628</v>
      </c>
      <c r="G34" s="61">
        <v>45</v>
      </c>
      <c r="H34" s="5">
        <f>2531+361+433</f>
        <v>3325</v>
      </c>
      <c r="I34" s="64">
        <v>45</v>
      </c>
      <c r="J34" s="5">
        <f>H34</f>
        <v>3325</v>
      </c>
      <c r="K34" s="5">
        <f>J34-H34</f>
        <v>0</v>
      </c>
      <c r="L34" s="51"/>
      <c r="M34" s="48"/>
      <c r="N34" s="54"/>
    </row>
    <row r="35" spans="2:14" ht="15" customHeight="1" x14ac:dyDescent="0.25">
      <c r="B35" s="49"/>
      <c r="C35" s="37"/>
      <c r="D35" s="38" t="s">
        <v>162</v>
      </c>
      <c r="E35" s="39" t="s">
        <v>5</v>
      </c>
      <c r="F35" s="5">
        <v>1092531</v>
      </c>
      <c r="G35" s="61">
        <v>35</v>
      </c>
      <c r="H35" s="5">
        <f>33808-H34</f>
        <v>30483</v>
      </c>
      <c r="I35" s="64">
        <v>40</v>
      </c>
      <c r="J35" s="5">
        <f>F35/I35</f>
        <v>27313.275000000001</v>
      </c>
      <c r="K35" s="5">
        <f>J35-H35</f>
        <v>-3169.7249999999985</v>
      </c>
      <c r="L35" s="51"/>
      <c r="M35" s="48"/>
      <c r="N35" s="54"/>
    </row>
    <row r="36" spans="2:14" ht="6.95" customHeight="1" x14ac:dyDescent="0.25">
      <c r="B36" s="49"/>
      <c r="C36" s="37"/>
      <c r="D36" s="38"/>
      <c r="E36" s="39"/>
      <c r="F36" s="5"/>
      <c r="G36" s="61"/>
      <c r="H36" s="5"/>
      <c r="I36" s="64"/>
      <c r="J36" s="5"/>
      <c r="K36" s="5"/>
      <c r="L36" s="51"/>
      <c r="M36" s="48"/>
      <c r="N36" s="54"/>
    </row>
    <row r="37" spans="2:14" ht="15" customHeight="1" x14ac:dyDescent="0.25">
      <c r="B37" s="49"/>
      <c r="C37" s="37" t="s">
        <v>210</v>
      </c>
      <c r="D37" s="38"/>
      <c r="E37" s="39"/>
      <c r="F37" s="5"/>
      <c r="G37" s="61"/>
      <c r="H37" s="5"/>
      <c r="I37" s="64"/>
      <c r="J37" s="5"/>
      <c r="K37" s="5"/>
      <c r="L37" s="51"/>
      <c r="M37" s="48"/>
      <c r="N37" s="54"/>
    </row>
    <row r="38" spans="2:14" ht="15" customHeight="1" x14ac:dyDescent="0.25">
      <c r="B38" s="49"/>
      <c r="C38" s="38"/>
      <c r="D38" s="38" t="s">
        <v>199</v>
      </c>
      <c r="E38" s="39" t="s">
        <v>5</v>
      </c>
      <c r="F38" s="5">
        <f>203856-7375-546-217-46133-300-614-1021-3310-79-42</f>
        <v>144219</v>
      </c>
      <c r="G38" s="61">
        <v>40</v>
      </c>
      <c r="H38" s="5">
        <v>3654</v>
      </c>
      <c r="I38" s="64">
        <v>50</v>
      </c>
      <c r="J38" s="5">
        <f>F38/I38</f>
        <v>2884.38</v>
      </c>
      <c r="K38" s="5">
        <f>J38-H38</f>
        <v>-769.61999999999989</v>
      </c>
      <c r="L38" s="51"/>
      <c r="M38" s="48"/>
      <c r="N38" s="54"/>
    </row>
    <row r="39" spans="2:14" ht="6.95" customHeight="1" x14ac:dyDescent="0.25">
      <c r="B39" s="49"/>
      <c r="C39" s="37"/>
      <c r="D39" s="38"/>
      <c r="E39" s="39"/>
      <c r="F39" s="5"/>
      <c r="G39" s="61"/>
      <c r="H39" s="5"/>
      <c r="I39" s="64"/>
      <c r="J39" s="5"/>
      <c r="K39" s="5"/>
      <c r="L39" s="51"/>
      <c r="M39" s="48"/>
      <c r="N39" s="54"/>
    </row>
    <row r="40" spans="2:14" ht="15" customHeight="1" x14ac:dyDescent="0.25">
      <c r="B40" s="49"/>
      <c r="C40" s="37" t="s">
        <v>211</v>
      </c>
      <c r="D40" s="38"/>
      <c r="E40" s="39"/>
      <c r="F40" s="5"/>
      <c r="G40" s="61"/>
      <c r="H40" s="5"/>
      <c r="I40" s="64"/>
      <c r="J40" s="5"/>
      <c r="K40" s="5"/>
      <c r="L40" s="51"/>
      <c r="M40" s="48"/>
      <c r="N40" s="54"/>
    </row>
    <row r="41" spans="2:14" ht="15" customHeight="1" x14ac:dyDescent="0.25">
      <c r="B41" s="49"/>
      <c r="C41" s="38"/>
      <c r="D41" s="38" t="s">
        <v>199</v>
      </c>
      <c r="E41" s="39" t="s">
        <v>5</v>
      </c>
      <c r="F41" s="5">
        <v>187199</v>
      </c>
      <c r="G41" s="61" t="s">
        <v>149</v>
      </c>
      <c r="H41" s="5">
        <v>12820</v>
      </c>
      <c r="I41" s="64">
        <v>22.5</v>
      </c>
      <c r="J41" s="5">
        <f>F41/I41</f>
        <v>8319.9555555555562</v>
      </c>
      <c r="K41" s="5">
        <f>J41-H41</f>
        <v>-4500.0444444444438</v>
      </c>
      <c r="L41" s="51"/>
      <c r="M41" s="48"/>
      <c r="N41" s="54"/>
    </row>
    <row r="42" spans="2:14" ht="6.95" customHeight="1" x14ac:dyDescent="0.25">
      <c r="B42" s="49"/>
      <c r="C42" s="37"/>
      <c r="D42" s="38"/>
      <c r="E42" s="39"/>
      <c r="F42" s="5"/>
      <c r="G42" s="61"/>
      <c r="H42" s="5"/>
      <c r="I42" s="64"/>
      <c r="J42" s="5"/>
      <c r="K42" s="5"/>
      <c r="L42" s="51"/>
      <c r="M42" s="48"/>
      <c r="N42" s="54"/>
    </row>
    <row r="43" spans="2:14" ht="15" customHeight="1" x14ac:dyDescent="0.25">
      <c r="B43" s="49"/>
      <c r="C43" s="37" t="s">
        <v>212</v>
      </c>
      <c r="D43" s="38"/>
      <c r="E43" s="39"/>
      <c r="F43" s="5"/>
      <c r="G43" s="61"/>
      <c r="H43" s="5"/>
      <c r="I43" s="64"/>
      <c r="J43" s="5"/>
      <c r="K43" s="5"/>
      <c r="L43" s="51"/>
      <c r="M43" s="48"/>
      <c r="N43" s="54"/>
    </row>
    <row r="44" spans="2:14" ht="15" customHeight="1" x14ac:dyDescent="0.25">
      <c r="B44" s="49"/>
      <c r="C44" s="38"/>
      <c r="D44" s="38" t="s">
        <v>199</v>
      </c>
      <c r="E44" s="39" t="s">
        <v>5</v>
      </c>
      <c r="F44" s="5">
        <f>1526348-558821</f>
        <v>967527</v>
      </c>
      <c r="G44" s="61" t="s">
        <v>149</v>
      </c>
      <c r="H44" s="5">
        <v>146767</v>
      </c>
      <c r="I44" s="64">
        <v>7</v>
      </c>
      <c r="J44" s="5">
        <f>F44/I44</f>
        <v>138218.14285714287</v>
      </c>
      <c r="K44" s="5">
        <f>J44-H44</f>
        <v>-8548.8571428571304</v>
      </c>
      <c r="L44" s="51"/>
      <c r="M44" s="48"/>
      <c r="N44" s="54"/>
    </row>
    <row r="45" spans="2:14" ht="6.95" customHeight="1" x14ac:dyDescent="0.25">
      <c r="B45" s="49"/>
      <c r="C45" s="38"/>
      <c r="D45" s="38"/>
      <c r="E45" s="39"/>
      <c r="F45" s="5"/>
      <c r="G45" s="61"/>
      <c r="H45" s="5"/>
      <c r="I45" s="64"/>
      <c r="J45" s="5"/>
      <c r="K45" s="5"/>
      <c r="L45" s="51"/>
      <c r="M45" s="48"/>
      <c r="N45" s="54"/>
    </row>
    <row r="46" spans="2:14" ht="15" customHeight="1" x14ac:dyDescent="0.25">
      <c r="B46" s="49"/>
      <c r="C46" s="37" t="s">
        <v>213</v>
      </c>
      <c r="D46" s="38"/>
      <c r="E46" s="39"/>
      <c r="F46" s="5"/>
      <c r="G46" s="61"/>
      <c r="H46" s="5"/>
      <c r="I46" s="64"/>
      <c r="J46" s="5"/>
      <c r="K46" s="5"/>
      <c r="L46" s="51"/>
      <c r="M46" s="48"/>
      <c r="N46" s="54"/>
    </row>
    <row r="47" spans="2:14" ht="15" customHeight="1" x14ac:dyDescent="0.25">
      <c r="B47" s="49"/>
      <c r="C47" s="38"/>
      <c r="D47" s="38" t="s">
        <v>199</v>
      </c>
      <c r="E47" s="39" t="s">
        <v>5</v>
      </c>
      <c r="F47" s="5">
        <f>3042+6440</f>
        <v>9482</v>
      </c>
      <c r="G47" s="61" t="s">
        <v>149</v>
      </c>
      <c r="H47" s="5">
        <v>1592</v>
      </c>
      <c r="I47" s="64">
        <v>17.5</v>
      </c>
      <c r="J47" s="5">
        <f>F47/I47</f>
        <v>541.82857142857142</v>
      </c>
      <c r="K47" s="5">
        <f>J47-H47</f>
        <v>-1050.1714285714286</v>
      </c>
      <c r="L47" s="51"/>
      <c r="M47" s="48"/>
      <c r="N47" s="54"/>
    </row>
    <row r="48" spans="2:14" ht="6.95" customHeight="1" x14ac:dyDescent="0.25">
      <c r="B48" s="49"/>
      <c r="C48" s="38"/>
      <c r="D48" s="38"/>
      <c r="E48" s="39"/>
      <c r="F48" s="5"/>
      <c r="G48" s="61"/>
      <c r="H48" s="5"/>
      <c r="I48" s="64"/>
      <c r="J48" s="5"/>
      <c r="K48" s="5"/>
      <c r="L48" s="51"/>
      <c r="M48" s="48"/>
      <c r="N48" s="54"/>
    </row>
    <row r="49" spans="2:14" ht="15" customHeight="1" x14ac:dyDescent="0.25">
      <c r="B49" s="49"/>
      <c r="C49" s="37" t="s">
        <v>214</v>
      </c>
      <c r="D49" s="38"/>
      <c r="E49" s="39"/>
      <c r="F49" s="5"/>
      <c r="G49" s="61"/>
      <c r="H49" s="5"/>
      <c r="I49" s="64"/>
      <c r="J49" s="5"/>
      <c r="K49" s="5"/>
      <c r="L49" s="51"/>
      <c r="M49" s="48"/>
      <c r="N49" s="54"/>
    </row>
    <row r="50" spans="2:14" ht="15" customHeight="1" x14ac:dyDescent="0.25">
      <c r="B50" s="49"/>
      <c r="C50" s="38"/>
      <c r="D50" s="38" t="s">
        <v>199</v>
      </c>
      <c r="E50" s="39" t="s">
        <v>5</v>
      </c>
      <c r="F50" s="5">
        <f>79000+5288+4510</f>
        <v>88798</v>
      </c>
      <c r="G50" s="61" t="s">
        <v>149</v>
      </c>
      <c r="H50" s="5">
        <v>3435</v>
      </c>
      <c r="I50" s="64">
        <v>12.5</v>
      </c>
      <c r="J50" s="5">
        <f>F50/I50</f>
        <v>7103.84</v>
      </c>
      <c r="K50" s="5">
        <f>J50-H50</f>
        <v>3668.84</v>
      </c>
      <c r="L50" s="51"/>
      <c r="M50" s="48"/>
      <c r="N50" s="54"/>
    </row>
    <row r="51" spans="2:14" ht="6.95" customHeight="1" x14ac:dyDescent="0.25">
      <c r="B51" s="49"/>
      <c r="C51" s="38"/>
      <c r="D51" s="38"/>
      <c r="E51" s="39"/>
      <c r="F51" s="5"/>
      <c r="G51" s="61"/>
      <c r="H51" s="5"/>
      <c r="I51" s="64"/>
      <c r="J51" s="5"/>
      <c r="K51" s="5"/>
      <c r="L51" s="51"/>
      <c r="M51" s="48"/>
      <c r="N51" s="54"/>
    </row>
    <row r="52" spans="2:14" ht="15" customHeight="1" x14ac:dyDescent="0.25">
      <c r="B52" s="49"/>
      <c r="C52" s="37" t="s">
        <v>215</v>
      </c>
      <c r="D52" s="38"/>
      <c r="E52" s="39"/>
      <c r="F52" s="5"/>
      <c r="G52" s="61"/>
      <c r="H52" s="5"/>
      <c r="I52" s="64"/>
      <c r="J52" s="5"/>
      <c r="K52" s="5"/>
      <c r="L52" s="51"/>
      <c r="M52" s="48"/>
      <c r="N52" s="54"/>
    </row>
    <row r="53" spans="2:14" ht="15" customHeight="1" x14ac:dyDescent="0.25">
      <c r="B53" s="49"/>
      <c r="C53" s="38"/>
      <c r="D53" s="38" t="s">
        <v>199</v>
      </c>
      <c r="E53" s="39" t="s">
        <v>5</v>
      </c>
      <c r="F53" s="5">
        <v>2980</v>
      </c>
      <c r="G53" s="61">
        <v>10</v>
      </c>
      <c r="H53" s="5">
        <v>298</v>
      </c>
      <c r="I53" s="64">
        <v>10</v>
      </c>
      <c r="J53" s="5">
        <f>F53/I53</f>
        <v>298</v>
      </c>
      <c r="K53" s="5">
        <f>J53-H53</f>
        <v>0</v>
      </c>
      <c r="L53" s="51"/>
      <c r="M53" s="48"/>
      <c r="N53" s="54"/>
    </row>
    <row r="54" spans="2:14" ht="6.95" customHeight="1" x14ac:dyDescent="0.25">
      <c r="B54" s="49"/>
      <c r="C54" s="38"/>
      <c r="D54" s="38"/>
      <c r="E54" s="39"/>
      <c r="F54" s="5"/>
      <c r="G54" s="61"/>
      <c r="H54" s="5"/>
      <c r="I54" s="64"/>
      <c r="J54" s="5"/>
      <c r="K54" s="5"/>
      <c r="L54" s="51"/>
      <c r="M54" s="48"/>
      <c r="N54" s="54"/>
    </row>
    <row r="55" spans="2:14" ht="15" customHeight="1" x14ac:dyDescent="0.25">
      <c r="B55" s="49"/>
      <c r="C55" s="37" t="s">
        <v>216</v>
      </c>
      <c r="D55" s="38"/>
      <c r="E55" s="39"/>
      <c r="F55" s="5"/>
      <c r="G55" s="61"/>
      <c r="H55" s="5"/>
      <c r="I55" s="64"/>
      <c r="J55" s="5"/>
      <c r="K55" s="5"/>
      <c r="L55" s="51"/>
      <c r="M55" s="48"/>
      <c r="N55" s="54"/>
    </row>
    <row r="56" spans="2:14" ht="15" customHeight="1" x14ac:dyDescent="0.25">
      <c r="B56" s="49"/>
      <c r="C56" s="38"/>
      <c r="D56" s="38" t="s">
        <v>199</v>
      </c>
      <c r="E56" s="39" t="s">
        <v>5</v>
      </c>
      <c r="F56" s="5">
        <v>326672</v>
      </c>
      <c r="G56" s="61" t="s">
        <v>149</v>
      </c>
      <c r="H56" s="5">
        <v>30668</v>
      </c>
      <c r="I56" s="64">
        <v>10</v>
      </c>
      <c r="J56" s="5">
        <f>F56/I56</f>
        <v>32667.200000000001</v>
      </c>
      <c r="K56" s="5">
        <f>J56-H56</f>
        <v>1999.2000000000007</v>
      </c>
      <c r="L56" s="51"/>
      <c r="M56" s="48"/>
      <c r="N56" s="54"/>
    </row>
    <row r="57" spans="2:14" ht="6.95" customHeight="1" x14ac:dyDescent="0.25">
      <c r="B57" s="49"/>
      <c r="C57" s="38"/>
      <c r="D57" s="38"/>
      <c r="E57" s="39"/>
      <c r="F57" s="5"/>
      <c r="G57" s="61"/>
      <c r="H57" s="5"/>
      <c r="I57" s="64"/>
      <c r="J57" s="5"/>
      <c r="K57" s="5"/>
      <c r="L57" s="51"/>
      <c r="M57" s="48"/>
      <c r="N57" s="54"/>
    </row>
    <row r="58" spans="2:14" ht="15" customHeight="1" x14ac:dyDescent="0.25">
      <c r="B58" s="49"/>
      <c r="C58" s="37" t="s">
        <v>217</v>
      </c>
      <c r="D58" s="38"/>
      <c r="E58" s="39"/>
      <c r="F58" s="5"/>
      <c r="G58" s="61"/>
      <c r="H58" s="5"/>
      <c r="I58" s="64"/>
      <c r="J58" s="5"/>
      <c r="K58" s="5"/>
      <c r="L58" s="51"/>
      <c r="M58" s="48"/>
      <c r="N58" s="54"/>
    </row>
    <row r="59" spans="2:14" ht="15" customHeight="1" x14ac:dyDescent="0.25">
      <c r="B59" s="49"/>
      <c r="C59" s="38"/>
      <c r="D59" s="38" t="s">
        <v>218</v>
      </c>
      <c r="E59" s="39">
        <v>39994</v>
      </c>
      <c r="F59" s="5">
        <v>1665</v>
      </c>
      <c r="G59" s="61">
        <v>15</v>
      </c>
      <c r="H59" s="5">
        <v>111</v>
      </c>
      <c r="I59" s="64">
        <v>17.5</v>
      </c>
      <c r="J59" s="5">
        <f>F59/I59</f>
        <v>95.142857142857139</v>
      </c>
      <c r="K59" s="5">
        <f>J59-H59</f>
        <v>-15.857142857142861</v>
      </c>
      <c r="L59" s="51"/>
      <c r="M59" s="48"/>
      <c r="N59" s="54"/>
    </row>
    <row r="60" spans="2:14" ht="15" customHeight="1" x14ac:dyDescent="0.25">
      <c r="B60" s="49"/>
      <c r="C60" s="38"/>
      <c r="D60" s="38"/>
      <c r="E60" s="39"/>
      <c r="F60" s="5"/>
      <c r="G60" s="61"/>
      <c r="H60" s="5"/>
      <c r="I60" s="64"/>
      <c r="J60" s="5"/>
      <c r="K60" s="5"/>
      <c r="L60" s="51"/>
      <c r="M60" s="48"/>
      <c r="N60" s="54"/>
    </row>
    <row r="61" spans="2:14" ht="15" customHeight="1" x14ac:dyDescent="0.25">
      <c r="B61" s="49"/>
      <c r="C61" s="38"/>
      <c r="D61" s="41" t="s">
        <v>2</v>
      </c>
      <c r="E61" s="38"/>
      <c r="F61" s="42"/>
      <c r="G61" s="64"/>
      <c r="H61" s="43">
        <f>SUM(H12:H60)</f>
        <v>1007837.6799999999</v>
      </c>
      <c r="I61" s="68"/>
      <c r="J61" s="43">
        <f>SUM(J12:J60)</f>
        <v>985752.62295238068</v>
      </c>
      <c r="K61" s="43">
        <f>SUM(K12:K60)</f>
        <v>-22085.057047619051</v>
      </c>
      <c r="L61" s="51"/>
      <c r="M61" s="48"/>
    </row>
    <row r="62" spans="2:14" ht="6.95" customHeight="1" x14ac:dyDescent="0.25">
      <c r="B62" s="55"/>
      <c r="C62" s="56"/>
      <c r="D62" s="56"/>
      <c r="E62" s="56"/>
      <c r="F62" s="56"/>
      <c r="G62" s="67"/>
      <c r="H62" s="56"/>
      <c r="I62" s="67"/>
      <c r="J62" s="56"/>
      <c r="K62" s="57"/>
      <c r="L62" s="58"/>
      <c r="M62" s="59"/>
    </row>
    <row r="63" spans="2:14" ht="6.95" customHeight="1" x14ac:dyDescent="0.25">
      <c r="C63" s="48"/>
      <c r="D63" s="48"/>
      <c r="E63" s="48"/>
      <c r="F63" s="48"/>
      <c r="G63" s="60"/>
      <c r="H63" s="48"/>
      <c r="I63" s="60"/>
      <c r="J63" s="48"/>
      <c r="K63" s="48"/>
      <c r="L63" s="48"/>
    </row>
    <row r="64" spans="2:14" ht="15" customHeight="1" x14ac:dyDescent="0.25">
      <c r="D64" s="30" t="s">
        <v>219</v>
      </c>
      <c r="E64" s="44"/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3">
    <mergeCell ref="C5:K5"/>
    <mergeCell ref="C4:K4"/>
    <mergeCell ref="C3:K3"/>
  </mergeCells>
  <printOptions horizontalCentered="1"/>
  <pageMargins left="0.65" right="0.3" top="0.75" bottom="0.25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7"/>
  <sheetViews>
    <sheetView workbookViewId="0"/>
  </sheetViews>
  <sheetFormatPr defaultColWidth="8.88671875" defaultRowHeight="15" x14ac:dyDescent="0.25"/>
  <cols>
    <col min="1" max="1" width="1.6640625" style="15" customWidth="1"/>
    <col min="2" max="2" width="12.44140625" style="15" customWidth="1"/>
    <col min="3" max="12" width="7.33203125" style="15" customWidth="1"/>
    <col min="13" max="13" width="10.21875" style="15" customWidth="1"/>
    <col min="14" max="14" width="0.77734375" style="15" customWidth="1"/>
    <col min="15" max="15" width="2.21875" style="15" customWidth="1"/>
    <col min="16" max="16384" width="8.88671875" style="15"/>
  </cols>
  <sheetData>
    <row r="1" spans="1:14" ht="15.75" x14ac:dyDescent="0.25">
      <c r="A1"/>
    </row>
    <row r="2" spans="1:14" ht="8.1" customHeight="1" x14ac:dyDescent="0.25">
      <c r="A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ht="18.75" x14ac:dyDescent="0.3">
      <c r="A3"/>
      <c r="B3" s="114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87"/>
    </row>
    <row r="4" spans="1:14" ht="18.75" x14ac:dyDescent="0.3">
      <c r="A4"/>
      <c r="B4" s="116" t="s">
        <v>39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87"/>
    </row>
    <row r="5" spans="1:14" ht="15.75" x14ac:dyDescent="0.25">
      <c r="A5"/>
      <c r="B5" s="600" t="s">
        <v>167</v>
      </c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601"/>
    </row>
    <row r="6" spans="1:14" ht="15.75" x14ac:dyDescent="0.25">
      <c r="A6"/>
      <c r="B6" s="201" t="s">
        <v>147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87"/>
    </row>
    <row r="7" spans="1:14" ht="8.1" customHeight="1" x14ac:dyDescent="0.25">
      <c r="A7"/>
      <c r="B7" s="11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87"/>
    </row>
    <row r="8" spans="1:14" ht="15.75" x14ac:dyDescent="0.25">
      <c r="A8"/>
      <c r="B8" s="175"/>
      <c r="C8" s="120"/>
      <c r="D8" s="143"/>
      <c r="E8" s="120"/>
      <c r="F8" s="144"/>
      <c r="G8" s="120"/>
      <c r="H8" s="144"/>
      <c r="I8" s="120"/>
      <c r="J8" s="144"/>
      <c r="K8" s="120"/>
      <c r="L8" s="144"/>
      <c r="M8" s="143"/>
      <c r="N8" s="85"/>
    </row>
    <row r="9" spans="1:14" ht="15.75" customHeight="1" x14ac:dyDescent="0.25">
      <c r="A9"/>
      <c r="B9" s="176"/>
      <c r="C9" s="602" t="s">
        <v>174</v>
      </c>
      <c r="D9" s="603"/>
      <c r="E9" s="602" t="s">
        <v>175</v>
      </c>
      <c r="F9" s="603"/>
      <c r="G9" s="602" t="s">
        <v>176</v>
      </c>
      <c r="H9" s="603"/>
      <c r="I9" s="602" t="s">
        <v>177</v>
      </c>
      <c r="J9" s="603"/>
      <c r="K9" s="602" t="s">
        <v>178</v>
      </c>
      <c r="L9" s="603"/>
      <c r="N9" s="87"/>
    </row>
    <row r="10" spans="1:14" ht="17.25" x14ac:dyDescent="0.25">
      <c r="A10"/>
      <c r="B10" s="176"/>
      <c r="C10" s="202"/>
      <c r="D10" s="203" t="s">
        <v>41</v>
      </c>
      <c r="E10" s="204"/>
      <c r="F10" s="203" t="s">
        <v>41</v>
      </c>
      <c r="G10" s="204"/>
      <c r="H10" s="203" t="s">
        <v>41</v>
      </c>
      <c r="I10" s="204"/>
      <c r="J10" s="203" t="s">
        <v>41</v>
      </c>
      <c r="K10" s="204"/>
      <c r="L10" s="203" t="s">
        <v>41</v>
      </c>
      <c r="N10" s="87"/>
    </row>
    <row r="11" spans="1:14" ht="17.25" x14ac:dyDescent="0.25">
      <c r="A11"/>
      <c r="B11" s="176"/>
      <c r="C11" s="202" t="s">
        <v>40</v>
      </c>
      <c r="D11" s="205" t="s">
        <v>179</v>
      </c>
      <c r="E11" s="202" t="s">
        <v>40</v>
      </c>
      <c r="F11" s="205" t="s">
        <v>179</v>
      </c>
      <c r="G11" s="202" t="s">
        <v>40</v>
      </c>
      <c r="H11" s="205" t="s">
        <v>179</v>
      </c>
      <c r="I11" s="202" t="s">
        <v>40</v>
      </c>
      <c r="J11" s="205" t="s">
        <v>179</v>
      </c>
      <c r="K11" s="202" t="s">
        <v>40</v>
      </c>
      <c r="L11" s="205" t="s">
        <v>179</v>
      </c>
      <c r="M11" s="145" t="s">
        <v>2</v>
      </c>
      <c r="N11" s="87"/>
    </row>
    <row r="12" spans="1:14" ht="15.75" x14ac:dyDescent="0.25">
      <c r="A12"/>
      <c r="B12" s="206" t="s">
        <v>316</v>
      </c>
      <c r="C12" s="121">
        <v>50000</v>
      </c>
      <c r="D12" s="122">
        <v>1250</v>
      </c>
      <c r="E12" s="121">
        <v>0</v>
      </c>
      <c r="F12" s="207">
        <v>0</v>
      </c>
      <c r="G12" s="121">
        <v>0</v>
      </c>
      <c r="H12" s="207">
        <v>0</v>
      </c>
      <c r="I12" s="121">
        <v>0</v>
      </c>
      <c r="J12" s="207">
        <v>0</v>
      </c>
      <c r="K12" s="121">
        <v>0</v>
      </c>
      <c r="L12" s="207">
        <v>0</v>
      </c>
      <c r="M12" s="174">
        <f t="shared" ref="M12:M17" si="0">SUM(C12:L12)</f>
        <v>51250</v>
      </c>
      <c r="N12" s="87"/>
    </row>
    <row r="13" spans="1:14" ht="15.75" x14ac:dyDescent="0.25">
      <c r="A13"/>
      <c r="B13" s="206" t="s">
        <v>182</v>
      </c>
      <c r="C13" s="121">
        <v>152000</v>
      </c>
      <c r="D13" s="122">
        <f>42049.43+38789.03+450</f>
        <v>81288.459999999992</v>
      </c>
      <c r="E13" s="121">
        <v>161000</v>
      </c>
      <c r="F13" s="207">
        <f>38789.03+35295.33+450</f>
        <v>74534.36</v>
      </c>
      <c r="G13" s="121">
        <v>168000</v>
      </c>
      <c r="H13" s="207">
        <f>35295.33+31649.73+450</f>
        <v>67395.06</v>
      </c>
      <c r="I13" s="121">
        <v>176000</v>
      </c>
      <c r="J13" s="207">
        <f>31649.73+27786.53+450</f>
        <v>59886.259999999995</v>
      </c>
      <c r="K13" s="121">
        <v>184000</v>
      </c>
      <c r="L13" s="207">
        <f>27786.53+23701.73+450</f>
        <v>51938.259999999995</v>
      </c>
      <c r="M13" s="174">
        <f t="shared" si="0"/>
        <v>1176042.3999999999</v>
      </c>
      <c r="N13" s="87"/>
    </row>
    <row r="14" spans="1:14" ht="15.75" x14ac:dyDescent="0.25">
      <c r="A14"/>
      <c r="B14" s="206" t="s">
        <v>183</v>
      </c>
      <c r="C14" s="121">
        <v>68000</v>
      </c>
      <c r="D14" s="122">
        <f>30132+28755+450</f>
        <v>59337</v>
      </c>
      <c r="E14" s="121">
        <v>71000</v>
      </c>
      <c r="F14" s="122">
        <f>28755+27272.88+450</f>
        <v>56477.880000000005</v>
      </c>
      <c r="G14" s="121">
        <v>73000</v>
      </c>
      <c r="H14" s="122">
        <f>27272.88+25703.38+450</f>
        <v>53426.26</v>
      </c>
      <c r="I14" s="121">
        <v>74000</v>
      </c>
      <c r="J14" s="122">
        <f>25703.38+24112.38+450</f>
        <v>50265.760000000002</v>
      </c>
      <c r="K14" s="121">
        <v>77000</v>
      </c>
      <c r="L14" s="207">
        <f>24112.38+22456.88+450</f>
        <v>47019.26</v>
      </c>
      <c r="M14" s="174">
        <f t="shared" si="0"/>
        <v>629526.16</v>
      </c>
      <c r="N14" s="87"/>
    </row>
    <row r="15" spans="1:14" ht="15.75" x14ac:dyDescent="0.25">
      <c r="A15"/>
      <c r="B15" s="206" t="s">
        <v>184</v>
      </c>
      <c r="C15" s="121">
        <v>155000</v>
      </c>
      <c r="D15" s="122">
        <f>208081.25-C15</f>
        <v>53081.25</v>
      </c>
      <c r="E15" s="121">
        <v>130000</v>
      </c>
      <c r="F15" s="122">
        <f>178450-E15</f>
        <v>48450</v>
      </c>
      <c r="G15" s="121">
        <v>135000</v>
      </c>
      <c r="H15" s="122">
        <f>179143.75-G15</f>
        <v>44143.75</v>
      </c>
      <c r="I15" s="121">
        <v>135000</v>
      </c>
      <c r="J15" s="122">
        <f>174756.25-I15</f>
        <v>39756.25</v>
      </c>
      <c r="K15" s="121">
        <v>140000</v>
      </c>
      <c r="L15" s="207">
        <f>175287.5-K15</f>
        <v>35287.5</v>
      </c>
      <c r="M15" s="174">
        <f t="shared" si="0"/>
        <v>915718.75</v>
      </c>
      <c r="N15" s="87"/>
    </row>
    <row r="16" spans="1:14" ht="15.75" x14ac:dyDescent="0.25">
      <c r="A16"/>
      <c r="B16" s="206" t="s">
        <v>317</v>
      </c>
      <c r="C16" s="121">
        <v>141000</v>
      </c>
      <c r="D16" s="122">
        <v>253488</v>
      </c>
      <c r="E16" s="121">
        <v>147000</v>
      </c>
      <c r="F16" s="122">
        <v>247319</v>
      </c>
      <c r="G16" s="121">
        <v>154000</v>
      </c>
      <c r="H16" s="122">
        <v>240888</v>
      </c>
      <c r="I16" s="121">
        <v>161000</v>
      </c>
      <c r="J16" s="122">
        <v>234150</v>
      </c>
      <c r="K16" s="121">
        <v>168000</v>
      </c>
      <c r="L16" s="207">
        <v>227107</v>
      </c>
      <c r="M16" s="174">
        <f t="shared" si="0"/>
        <v>1973952</v>
      </c>
      <c r="N16" s="87"/>
    </row>
    <row r="17" spans="1:16" ht="15.75" x14ac:dyDescent="0.25">
      <c r="A17"/>
      <c r="B17" s="206" t="s">
        <v>318</v>
      </c>
      <c r="C17" s="121">
        <v>14500</v>
      </c>
      <c r="D17" s="122">
        <v>24523</v>
      </c>
      <c r="E17" s="121">
        <v>15000</v>
      </c>
      <c r="F17" s="122">
        <v>23907</v>
      </c>
      <c r="G17" s="121">
        <v>15500</v>
      </c>
      <c r="H17" s="122">
        <v>23269</v>
      </c>
      <c r="I17" s="121">
        <v>16000</v>
      </c>
      <c r="J17" s="122">
        <v>22610</v>
      </c>
      <c r="K17" s="121">
        <v>17000</v>
      </c>
      <c r="L17" s="207">
        <v>21930</v>
      </c>
      <c r="M17" s="174">
        <f t="shared" si="0"/>
        <v>194239</v>
      </c>
      <c r="N17" s="87"/>
    </row>
    <row r="18" spans="1:16" ht="15.75" x14ac:dyDescent="0.25">
      <c r="A18"/>
      <c r="B18" s="177"/>
      <c r="C18" s="123"/>
      <c r="D18" s="208"/>
      <c r="E18" s="123"/>
      <c r="F18" s="208"/>
      <c r="G18" s="123"/>
      <c r="H18" s="208"/>
      <c r="I18" s="123"/>
      <c r="J18" s="208"/>
      <c r="K18" s="123"/>
      <c r="L18" s="209"/>
      <c r="M18" s="174"/>
      <c r="N18" s="87"/>
    </row>
    <row r="19" spans="1:16" ht="15.75" x14ac:dyDescent="0.25">
      <c r="A19"/>
      <c r="B19" s="124" t="s">
        <v>2</v>
      </c>
      <c r="C19" s="125">
        <f t="shared" ref="C19:M19" si="1">SUM(C12:C18)</f>
        <v>580500</v>
      </c>
      <c r="D19" s="210">
        <f t="shared" si="1"/>
        <v>472967.70999999996</v>
      </c>
      <c r="E19" s="125">
        <f t="shared" si="1"/>
        <v>524000</v>
      </c>
      <c r="F19" s="211">
        <f t="shared" si="1"/>
        <v>450688.24</v>
      </c>
      <c r="G19" s="125">
        <f t="shared" si="1"/>
        <v>545500</v>
      </c>
      <c r="H19" s="211">
        <f t="shared" si="1"/>
        <v>429122.07</v>
      </c>
      <c r="I19" s="125">
        <f t="shared" si="1"/>
        <v>562000</v>
      </c>
      <c r="J19" s="211">
        <f t="shared" si="1"/>
        <v>406668.27</v>
      </c>
      <c r="K19" s="125">
        <f t="shared" si="1"/>
        <v>586000</v>
      </c>
      <c r="L19" s="211">
        <f t="shared" si="1"/>
        <v>383282.02</v>
      </c>
      <c r="M19" s="212">
        <f t="shared" si="1"/>
        <v>4940728.3100000005</v>
      </c>
      <c r="N19" s="87"/>
      <c r="P19" s="15">
        <f>SUM(C19:L19)</f>
        <v>4940728.3100000005</v>
      </c>
    </row>
    <row r="20" spans="1:16" ht="15.75" x14ac:dyDescent="0.25">
      <c r="A20"/>
      <c r="B20" s="178"/>
      <c r="C20" s="126"/>
      <c r="D20" s="127"/>
      <c r="E20" s="126"/>
      <c r="F20" s="128"/>
      <c r="G20" s="126"/>
      <c r="H20" s="128"/>
      <c r="I20" s="126"/>
      <c r="J20" s="213"/>
      <c r="K20" s="126"/>
      <c r="L20" s="128"/>
      <c r="M20" s="127"/>
      <c r="N20" s="89"/>
    </row>
    <row r="21" spans="1:16" ht="15.75" x14ac:dyDescent="0.25">
      <c r="A21"/>
      <c r="B21" s="129"/>
      <c r="C21" s="130"/>
      <c r="D21" s="130"/>
      <c r="E21" s="130"/>
      <c r="F21" s="130"/>
      <c r="G21" s="130"/>
      <c r="H21" s="130"/>
      <c r="I21" s="130"/>
      <c r="J21" s="214"/>
      <c r="K21" s="214"/>
      <c r="L21" s="214"/>
      <c r="M21" s="130"/>
      <c r="N21" s="87"/>
    </row>
    <row r="22" spans="1:16" ht="15.75" x14ac:dyDescent="0.25">
      <c r="A22"/>
      <c r="B22" s="215"/>
      <c r="C22" s="132"/>
      <c r="D22" s="131"/>
      <c r="E22" s="132"/>
      <c r="F22" s="131"/>
      <c r="G22" s="132"/>
      <c r="H22" s="131"/>
      <c r="I22" s="131" t="s">
        <v>180</v>
      </c>
      <c r="K22" s="216"/>
      <c r="L22" s="217"/>
      <c r="M22" s="132">
        <f>M19/5</f>
        <v>988145.66200000013</v>
      </c>
      <c r="N22" s="87"/>
    </row>
    <row r="23" spans="1:16" ht="15.75" x14ac:dyDescent="0.25">
      <c r="A23"/>
      <c r="B23" s="86"/>
      <c r="C23" s="131"/>
      <c r="E23" s="131"/>
      <c r="F23" s="131"/>
      <c r="G23" s="131"/>
      <c r="H23" s="131"/>
      <c r="I23" s="131"/>
      <c r="K23" s="78"/>
      <c r="L23" s="216"/>
      <c r="M23" s="9"/>
      <c r="N23" s="87"/>
    </row>
    <row r="24" spans="1:16" ht="15.75" x14ac:dyDescent="0.25">
      <c r="A24"/>
      <c r="B24" s="215"/>
      <c r="C24" s="131"/>
      <c r="D24" s="131"/>
      <c r="E24" s="131"/>
      <c r="F24" s="131"/>
      <c r="G24" s="131"/>
      <c r="H24" s="131"/>
      <c r="I24" s="131" t="s">
        <v>181</v>
      </c>
      <c r="K24" s="216"/>
      <c r="L24" s="131"/>
      <c r="M24" s="132">
        <f>M22*0.2</f>
        <v>197629.13240000003</v>
      </c>
      <c r="N24" s="87"/>
      <c r="P24" s="15">
        <f>M22+M24</f>
        <v>1185774.7944000002</v>
      </c>
    </row>
    <row r="25" spans="1:16" ht="15.75" x14ac:dyDescent="0.25">
      <c r="A25"/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89"/>
    </row>
    <row r="26" spans="1:16" ht="15.75" x14ac:dyDescent="0.25">
      <c r="A26"/>
      <c r="B26" s="122"/>
      <c r="C26" s="1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6" x14ac:dyDescent="0.25">
      <c r="B27" s="218"/>
      <c r="C27" s="1"/>
    </row>
  </sheetData>
  <mergeCells count="6">
    <mergeCell ref="B5:N5"/>
    <mergeCell ref="C9:D9"/>
    <mergeCell ref="E9:F9"/>
    <mergeCell ref="G9:H9"/>
    <mergeCell ref="I9:J9"/>
    <mergeCell ref="K9:L9"/>
  </mergeCells>
  <printOptions horizontalCentered="1"/>
  <pageMargins left="0.5" right="0.4" top="1.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60D4-3990-4FDA-BBCF-2FF54225F4F6}">
  <sheetPr>
    <pageSetUpPr fitToPage="1"/>
  </sheetPr>
  <dimension ref="A1:V44"/>
  <sheetViews>
    <sheetView workbookViewId="0">
      <selection activeCell="A2" sqref="A2"/>
    </sheetView>
  </sheetViews>
  <sheetFormatPr defaultRowHeight="15" x14ac:dyDescent="0.2"/>
  <cols>
    <col min="2" max="2" width="2.6640625" customWidth="1"/>
    <col min="3" max="5" width="9.6640625" customWidth="1"/>
    <col min="6" max="6" width="10.77734375" customWidth="1"/>
    <col min="7" max="8" width="9.6640625" customWidth="1"/>
    <col min="9" max="9" width="2.77734375" customWidth="1"/>
    <col min="11" max="11" width="9.88671875" bestFit="1" customWidth="1"/>
    <col min="12" max="12" width="9" bestFit="1" customWidth="1"/>
  </cols>
  <sheetData>
    <row r="1" spans="1:22" ht="8.1" customHeight="1" x14ac:dyDescent="0.25">
      <c r="A1" s="1"/>
      <c r="B1" s="45"/>
      <c r="C1" s="335"/>
      <c r="D1" s="335"/>
      <c r="E1" s="335"/>
      <c r="F1" s="335"/>
      <c r="G1" s="335"/>
      <c r="H1" s="335"/>
      <c r="I1" s="336"/>
      <c r="J1" s="1"/>
      <c r="K1" s="1"/>
      <c r="L1" s="1"/>
      <c r="M1" s="1"/>
    </row>
    <row r="2" spans="1:22" ht="18.75" x14ac:dyDescent="0.3">
      <c r="A2" s="1"/>
      <c r="B2" s="49"/>
      <c r="C2" s="604" t="s">
        <v>142</v>
      </c>
      <c r="D2" s="604"/>
      <c r="E2" s="604"/>
      <c r="F2" s="604"/>
      <c r="G2" s="604"/>
      <c r="H2" s="604"/>
      <c r="I2" s="337"/>
      <c r="J2" s="1"/>
      <c r="K2" s="1"/>
      <c r="L2" s="1"/>
      <c r="M2" s="1"/>
    </row>
    <row r="3" spans="1:22" ht="18.75" x14ac:dyDescent="0.3">
      <c r="A3" s="1"/>
      <c r="B3" s="49"/>
      <c r="C3" s="338" t="s">
        <v>319</v>
      </c>
      <c r="D3" s="339"/>
      <c r="E3" s="339"/>
      <c r="F3" s="339"/>
      <c r="G3" s="339"/>
      <c r="H3" s="339"/>
      <c r="I3" s="337"/>
      <c r="J3" s="1"/>
      <c r="K3" s="1"/>
      <c r="L3" s="1"/>
      <c r="M3" s="1"/>
    </row>
    <row r="4" spans="1:22" ht="18.75" x14ac:dyDescent="0.25">
      <c r="A4" s="1"/>
      <c r="B4" s="49"/>
      <c r="C4" s="597" t="s">
        <v>167</v>
      </c>
      <c r="D4" s="597"/>
      <c r="E4" s="597"/>
      <c r="F4" s="597"/>
      <c r="G4" s="597"/>
      <c r="H4" s="597"/>
      <c r="I4" s="427"/>
      <c r="J4" s="426"/>
      <c r="K4" s="426"/>
      <c r="L4" s="1"/>
      <c r="M4" s="1"/>
    </row>
    <row r="5" spans="1:22" ht="8.1" customHeight="1" x14ac:dyDescent="0.25">
      <c r="A5" s="1"/>
      <c r="B5" s="55"/>
      <c r="C5" s="428"/>
      <c r="D5" s="428"/>
      <c r="E5" s="428"/>
      <c r="F5" s="428"/>
      <c r="G5" s="428"/>
      <c r="H5" s="428"/>
      <c r="I5" s="429"/>
      <c r="J5" s="204"/>
      <c r="K5" s="204"/>
      <c r="L5" s="1"/>
      <c r="M5" s="1"/>
    </row>
    <row r="6" spans="1:22" ht="15.75" x14ac:dyDescent="0.25">
      <c r="A6" s="1"/>
      <c r="B6" s="49"/>
      <c r="C6" s="25"/>
      <c r="D6" s="25"/>
      <c r="E6" s="25"/>
      <c r="F6" s="25"/>
      <c r="G6" s="25"/>
      <c r="H6" s="25"/>
      <c r="I6" s="337"/>
      <c r="J6" s="1"/>
      <c r="K6" s="1"/>
      <c r="L6" s="1"/>
      <c r="M6" s="1"/>
    </row>
    <row r="7" spans="1:22" ht="15.75" x14ac:dyDescent="0.25">
      <c r="A7" s="1"/>
      <c r="B7" s="49"/>
      <c r="C7" s="340" t="s">
        <v>320</v>
      </c>
      <c r="D7" s="340"/>
      <c r="E7" s="341"/>
      <c r="F7" s="341"/>
      <c r="G7" s="341"/>
      <c r="H7" s="341"/>
      <c r="I7" s="337"/>
      <c r="J7" s="1"/>
      <c r="K7" s="1"/>
      <c r="L7" s="1"/>
      <c r="M7" s="1"/>
    </row>
    <row r="8" spans="1:22" ht="15.75" x14ac:dyDescent="0.25">
      <c r="A8" s="1"/>
      <c r="B8" s="49"/>
      <c r="C8" s="342"/>
      <c r="D8" s="342"/>
      <c r="E8" s="342"/>
      <c r="F8" s="342"/>
      <c r="G8" s="342"/>
      <c r="H8" s="342"/>
      <c r="I8" s="337"/>
      <c r="J8" s="1"/>
      <c r="K8" s="1"/>
      <c r="L8" s="1"/>
      <c r="M8" s="1"/>
    </row>
    <row r="9" spans="1:22" ht="15.75" x14ac:dyDescent="0.25">
      <c r="A9" s="1"/>
      <c r="B9" s="49"/>
      <c r="C9" s="22"/>
      <c r="D9" s="343" t="s">
        <v>321</v>
      </c>
      <c r="E9" s="343"/>
      <c r="F9" s="343"/>
      <c r="G9" s="344" t="s">
        <v>322</v>
      </c>
      <c r="H9" s="343"/>
      <c r="I9" s="337"/>
      <c r="J9" s="15"/>
      <c r="K9" s="15"/>
      <c r="L9" s="15"/>
      <c r="M9" s="15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"/>
      <c r="B10" s="49"/>
      <c r="C10" s="195" t="s">
        <v>323</v>
      </c>
      <c r="D10" s="345" t="s">
        <v>324</v>
      </c>
      <c r="E10" s="345" t="s">
        <v>325</v>
      </c>
      <c r="F10" s="345" t="s">
        <v>326</v>
      </c>
      <c r="G10" s="346" t="s">
        <v>325</v>
      </c>
      <c r="H10" s="345" t="s">
        <v>326</v>
      </c>
      <c r="I10" s="337"/>
      <c r="J10" s="15"/>
      <c r="K10" s="15"/>
      <c r="L10" s="15"/>
      <c r="M10" s="15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"/>
      <c r="B11" s="49"/>
      <c r="C11" s="195" t="s">
        <v>327</v>
      </c>
      <c r="D11" s="195" t="s">
        <v>328</v>
      </c>
      <c r="E11" s="195" t="s">
        <v>329</v>
      </c>
      <c r="F11" s="195" t="s">
        <v>330</v>
      </c>
      <c r="G11" s="347" t="s">
        <v>329</v>
      </c>
      <c r="H11" s="195" t="s">
        <v>330</v>
      </c>
      <c r="I11" s="337"/>
      <c r="J11" s="15"/>
      <c r="K11" s="1"/>
      <c r="L11" s="15"/>
      <c r="M11" s="15"/>
      <c r="N11" s="1"/>
      <c r="O11" s="3"/>
      <c r="P11" s="1"/>
      <c r="Q11" s="1"/>
      <c r="R11" s="1"/>
      <c r="S11" s="1"/>
      <c r="T11" s="1"/>
      <c r="U11" s="1"/>
      <c r="V11" s="1"/>
    </row>
    <row r="12" spans="1:22" ht="15.75" x14ac:dyDescent="0.25">
      <c r="A12" s="1"/>
      <c r="B12" s="49"/>
      <c r="C12" s="22"/>
      <c r="D12" s="22"/>
      <c r="E12" s="22"/>
      <c r="F12" s="22"/>
      <c r="G12" s="348"/>
      <c r="H12" s="22"/>
      <c r="I12" s="337"/>
      <c r="J12" s="15"/>
      <c r="K12" s="15"/>
      <c r="L12" s="15"/>
      <c r="P12" s="1"/>
      <c r="Q12" s="1"/>
      <c r="R12" s="1"/>
      <c r="S12" s="1"/>
      <c r="T12" s="1"/>
      <c r="U12" s="1"/>
      <c r="V12" s="1"/>
    </row>
    <row r="13" spans="1:22" ht="15.75" x14ac:dyDescent="0.25">
      <c r="A13" s="1"/>
      <c r="B13" s="49"/>
      <c r="C13" s="349">
        <v>24</v>
      </c>
      <c r="D13" s="350">
        <v>35534</v>
      </c>
      <c r="E13" s="351">
        <f>D13/5280</f>
        <v>6.729924242424242</v>
      </c>
      <c r="F13" s="352">
        <f>E13*C13</f>
        <v>161.5181818181818</v>
      </c>
      <c r="G13" s="458">
        <f>E13</f>
        <v>6.729924242424242</v>
      </c>
      <c r="H13" s="352">
        <f t="shared" ref="H13:H20" si="0">G13*C13</f>
        <v>161.5181818181818</v>
      </c>
      <c r="I13" s="337"/>
      <c r="J13" s="15"/>
      <c r="K13" s="15"/>
      <c r="L13" s="15"/>
      <c r="M13" s="349"/>
      <c r="N13" s="148"/>
      <c r="O13" s="3"/>
      <c r="P13" s="74"/>
      <c r="Q13" s="1"/>
      <c r="R13" s="1"/>
      <c r="S13" s="1"/>
      <c r="T13" s="1"/>
      <c r="U13" s="1"/>
      <c r="V13" s="1"/>
    </row>
    <row r="14" spans="1:22" ht="15.75" x14ac:dyDescent="0.25">
      <c r="A14" s="1"/>
      <c r="B14" s="49"/>
      <c r="C14" s="349">
        <v>20</v>
      </c>
      <c r="D14" s="350">
        <v>47045</v>
      </c>
      <c r="E14" s="351">
        <f t="shared" ref="E14:E22" si="1">D14/5280</f>
        <v>8.9100378787878789</v>
      </c>
      <c r="F14" s="352">
        <f>E14*C14</f>
        <v>178.20075757575756</v>
      </c>
      <c r="G14" s="458">
        <f>E14</f>
        <v>8.9100378787878789</v>
      </c>
      <c r="H14" s="352">
        <f t="shared" si="0"/>
        <v>178.20075757575756</v>
      </c>
      <c r="I14" s="337"/>
      <c r="J14" s="15"/>
      <c r="K14" s="15"/>
      <c r="L14" s="15"/>
      <c r="M14" s="349"/>
      <c r="N14" s="148"/>
      <c r="O14" s="3"/>
      <c r="P14" s="74"/>
      <c r="Q14" s="1"/>
      <c r="R14" s="1"/>
      <c r="S14" s="1"/>
      <c r="T14" s="1"/>
      <c r="U14" s="1"/>
      <c r="V14" s="1"/>
    </row>
    <row r="15" spans="1:22" ht="15.75" x14ac:dyDescent="0.25">
      <c r="A15" s="1"/>
      <c r="B15" s="49"/>
      <c r="C15" s="349">
        <v>16</v>
      </c>
      <c r="D15" s="350">
        <v>22704</v>
      </c>
      <c r="E15" s="351">
        <f t="shared" si="1"/>
        <v>4.3</v>
      </c>
      <c r="F15" s="352">
        <f>E15*C15</f>
        <v>68.8</v>
      </c>
      <c r="G15" s="458">
        <f>E15</f>
        <v>4.3</v>
      </c>
      <c r="H15" s="352">
        <f t="shared" si="0"/>
        <v>68.8</v>
      </c>
      <c r="I15" s="337"/>
      <c r="J15" s="15"/>
      <c r="K15" s="350"/>
      <c r="L15" s="15"/>
      <c r="M15" s="349"/>
      <c r="N15" s="148"/>
      <c r="O15" s="3"/>
      <c r="P15" s="74"/>
      <c r="Q15" s="1"/>
      <c r="R15" s="1"/>
      <c r="S15" s="1"/>
      <c r="T15" s="1"/>
      <c r="U15" s="1"/>
      <c r="V15" s="1"/>
    </row>
    <row r="16" spans="1:22" ht="15.75" x14ac:dyDescent="0.25">
      <c r="A16" s="1"/>
      <c r="B16" s="49"/>
      <c r="C16" s="349">
        <v>12</v>
      </c>
      <c r="D16" s="350">
        <v>37118</v>
      </c>
      <c r="E16" s="351">
        <f t="shared" si="1"/>
        <v>7.0299242424242427</v>
      </c>
      <c r="F16" s="352">
        <f t="shared" ref="F16:F22" si="2">E16*C16</f>
        <v>84.359090909090909</v>
      </c>
      <c r="G16" s="458">
        <f>E16</f>
        <v>7.0299242424242427</v>
      </c>
      <c r="H16" s="352">
        <f t="shared" si="0"/>
        <v>84.359090909090909</v>
      </c>
      <c r="I16" s="337"/>
      <c r="J16" s="15"/>
      <c r="K16" s="15"/>
      <c r="L16" s="15"/>
      <c r="M16" s="349"/>
      <c r="N16" s="148"/>
      <c r="O16" s="3"/>
      <c r="P16" s="74"/>
      <c r="Q16" s="1"/>
      <c r="R16" s="1"/>
      <c r="S16" s="1"/>
      <c r="T16" s="1"/>
      <c r="U16" s="1"/>
      <c r="V16" s="1"/>
    </row>
    <row r="17" spans="1:22" ht="15.75" x14ac:dyDescent="0.25">
      <c r="A17" s="1"/>
      <c r="B17" s="49"/>
      <c r="C17" s="349">
        <v>10</v>
      </c>
      <c r="D17" s="350">
        <v>29199</v>
      </c>
      <c r="E17" s="351">
        <f t="shared" si="1"/>
        <v>5.5301136363636365</v>
      </c>
      <c r="F17" s="352">
        <f t="shared" si="2"/>
        <v>55.301136363636367</v>
      </c>
      <c r="G17" s="458">
        <v>0.36511363636363597</v>
      </c>
      <c r="H17" s="352">
        <f t="shared" si="0"/>
        <v>3.6511363636363598</v>
      </c>
      <c r="I17" s="337"/>
      <c r="J17" s="15"/>
      <c r="K17" s="15"/>
      <c r="L17" s="15"/>
      <c r="M17" s="349"/>
      <c r="N17" s="148"/>
      <c r="O17" s="3"/>
      <c r="P17" s="74"/>
      <c r="Q17" s="1"/>
      <c r="R17" s="1"/>
      <c r="S17" s="1"/>
      <c r="T17" s="1"/>
      <c r="U17" s="1"/>
      <c r="V17" s="1"/>
    </row>
    <row r="18" spans="1:22" ht="15.75" x14ac:dyDescent="0.25">
      <c r="A18" s="1"/>
      <c r="B18" s="49"/>
      <c r="C18" s="349">
        <v>8</v>
      </c>
      <c r="D18" s="350">
        <v>103171</v>
      </c>
      <c r="E18" s="351">
        <f t="shared" si="1"/>
        <v>19.53996212121212</v>
      </c>
      <c r="F18" s="352">
        <f t="shared" si="2"/>
        <v>156.31969696969696</v>
      </c>
      <c r="G18" s="458">
        <v>4.5204545454545499</v>
      </c>
      <c r="H18" s="352">
        <f t="shared" si="0"/>
        <v>36.1636363636364</v>
      </c>
      <c r="I18" s="337"/>
      <c r="J18" s="15"/>
      <c r="K18" s="15"/>
      <c r="L18" s="15"/>
      <c r="M18" s="349"/>
      <c r="N18" s="148"/>
      <c r="O18" s="3"/>
      <c r="P18" s="74"/>
      <c r="Q18" s="1"/>
      <c r="R18" s="1"/>
      <c r="S18" s="1"/>
      <c r="T18" s="1"/>
      <c r="U18" s="1"/>
      <c r="V18" s="1"/>
    </row>
    <row r="19" spans="1:22" ht="15.75" x14ac:dyDescent="0.25">
      <c r="A19" s="1"/>
      <c r="B19" s="49"/>
      <c r="C19" s="349">
        <v>6</v>
      </c>
      <c r="D19" s="350">
        <v>132792</v>
      </c>
      <c r="E19" s="351">
        <f t="shared" si="1"/>
        <v>25.15</v>
      </c>
      <c r="F19" s="352">
        <f t="shared" si="2"/>
        <v>150.89999999999998</v>
      </c>
      <c r="G19" s="458">
        <v>0.86931818181818199</v>
      </c>
      <c r="H19" s="352">
        <f t="shared" si="0"/>
        <v>5.2159090909090917</v>
      </c>
      <c r="I19" s="337"/>
      <c r="J19" s="15"/>
      <c r="K19" s="15"/>
      <c r="L19" s="15"/>
      <c r="M19" s="349"/>
      <c r="N19" s="148"/>
      <c r="O19" s="3"/>
      <c r="P19" s="74"/>
      <c r="Q19" s="1"/>
      <c r="R19" s="1"/>
      <c r="S19" s="1"/>
      <c r="T19" s="1"/>
      <c r="U19" s="1"/>
      <c r="V19" s="1"/>
    </row>
    <row r="20" spans="1:22" ht="15.75" x14ac:dyDescent="0.25">
      <c r="A20" s="1"/>
      <c r="B20" s="49"/>
      <c r="C20" s="349">
        <v>4</v>
      </c>
      <c r="D20" s="350">
        <v>602659</v>
      </c>
      <c r="E20" s="351">
        <f t="shared" si="1"/>
        <v>114.13996212121212</v>
      </c>
      <c r="F20" s="352">
        <f t="shared" si="2"/>
        <v>456.55984848484849</v>
      </c>
      <c r="G20" s="458">
        <v>1.8545454545454501</v>
      </c>
      <c r="H20" s="352">
        <f t="shared" si="0"/>
        <v>7.4181818181818002</v>
      </c>
      <c r="I20" s="337"/>
      <c r="J20" s="15"/>
      <c r="K20" s="15"/>
      <c r="L20" s="15"/>
      <c r="M20" s="349"/>
      <c r="N20" s="148"/>
      <c r="O20" s="3"/>
      <c r="P20" s="74"/>
      <c r="Q20" s="1"/>
      <c r="R20" s="1"/>
      <c r="S20" s="1"/>
      <c r="T20" s="1"/>
      <c r="U20" s="1"/>
      <c r="V20" s="1"/>
    </row>
    <row r="21" spans="1:22" ht="15.75" x14ac:dyDescent="0.25">
      <c r="A21" s="1"/>
      <c r="B21" s="49"/>
      <c r="C21" s="349">
        <v>3</v>
      </c>
      <c r="D21" s="350">
        <v>386549</v>
      </c>
      <c r="E21" s="351">
        <f t="shared" si="1"/>
        <v>73.210037878787873</v>
      </c>
      <c r="F21" s="352">
        <f t="shared" si="2"/>
        <v>219.6301136363636</v>
      </c>
      <c r="G21" s="353"/>
      <c r="H21" s="352"/>
      <c r="I21" s="337"/>
      <c r="J21" s="15"/>
      <c r="K21" s="15"/>
      <c r="L21" s="15"/>
      <c r="M21" s="15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"/>
      <c r="B22" s="49"/>
      <c r="C22" s="349">
        <v>2</v>
      </c>
      <c r="D22" s="350">
        <v>203755</v>
      </c>
      <c r="E22" s="351">
        <f t="shared" si="1"/>
        <v>38.589962121212125</v>
      </c>
      <c r="F22" s="352">
        <f t="shared" si="2"/>
        <v>77.179924242424249</v>
      </c>
      <c r="G22" s="353"/>
      <c r="H22" s="352"/>
      <c r="I22" s="337"/>
      <c r="J22" s="15"/>
      <c r="K22" s="15"/>
      <c r="L22" s="15"/>
      <c r="M22" s="15"/>
      <c r="N22" s="74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"/>
      <c r="B23" s="49"/>
      <c r="C23" s="349"/>
      <c r="D23" s="350"/>
      <c r="E23" s="354"/>
      <c r="F23" s="351"/>
      <c r="G23" s="353"/>
      <c r="H23" s="352"/>
      <c r="I23" s="337"/>
      <c r="J23" s="15"/>
      <c r="K23" s="15"/>
      <c r="L23" s="15"/>
      <c r="M23" s="15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"/>
      <c r="B24" s="49"/>
      <c r="C24" s="349" t="s">
        <v>42</v>
      </c>
      <c r="D24" s="350">
        <f>SUM(D13:D23)</f>
        <v>1600526</v>
      </c>
      <c r="E24" s="430">
        <f>SUM(E13:E23)</f>
        <v>303.12992424242424</v>
      </c>
      <c r="F24" s="352">
        <f>SUM(F13:F23)</f>
        <v>1608.76875</v>
      </c>
      <c r="G24" s="459">
        <f>SUM(G13:G23)</f>
        <v>34.579318181818181</v>
      </c>
      <c r="H24" s="352">
        <f>SUM(H13:H23)</f>
        <v>545.32689393939393</v>
      </c>
      <c r="I24" s="337"/>
      <c r="J24" s="15"/>
      <c r="K24" s="33"/>
      <c r="L24" s="15"/>
      <c r="M24" s="15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"/>
      <c r="B25" s="49"/>
      <c r="C25" s="1"/>
      <c r="D25" s="1"/>
      <c r="E25" s="1"/>
      <c r="F25" s="337"/>
      <c r="G25" s="1"/>
      <c r="H25" s="1"/>
      <c r="I25" s="337"/>
      <c r="J25" s="15"/>
      <c r="K25" s="15"/>
      <c r="L25" s="15"/>
      <c r="M25" s="15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"/>
      <c r="B26" s="49"/>
      <c r="C26" s="1"/>
      <c r="D26" s="1"/>
      <c r="E26" s="1"/>
      <c r="F26" s="1"/>
      <c r="G26" s="1"/>
      <c r="H26" s="1"/>
      <c r="I26" s="337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"/>
      <c r="B27" s="49"/>
      <c r="C27" s="94"/>
      <c r="D27" s="355" t="s">
        <v>582</v>
      </c>
      <c r="E27" s="355"/>
      <c r="F27" s="355"/>
      <c r="G27" s="355"/>
      <c r="H27" s="20"/>
      <c r="I27" s="337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"/>
      <c r="B28" s="49"/>
      <c r="C28" s="1"/>
      <c r="D28" s="356"/>
      <c r="E28" s="356"/>
      <c r="F28" s="356"/>
      <c r="G28" s="356"/>
      <c r="H28" s="1"/>
      <c r="I28" s="337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"/>
      <c r="B29" s="49"/>
      <c r="C29" s="1"/>
      <c r="D29" s="1"/>
      <c r="E29" s="1"/>
      <c r="F29" s="195" t="s">
        <v>82</v>
      </c>
      <c r="G29" s="195"/>
      <c r="H29" s="1"/>
      <c r="I29" s="337"/>
      <c r="J29" s="15"/>
      <c r="K29" s="15"/>
      <c r="L29" s="15"/>
      <c r="M29" s="15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"/>
      <c r="B30" s="49"/>
      <c r="C30" s="1"/>
      <c r="D30" s="1"/>
      <c r="E30" s="1"/>
      <c r="F30" s="195" t="s">
        <v>331</v>
      </c>
      <c r="G30" s="195" t="s">
        <v>143</v>
      </c>
      <c r="H30" s="1"/>
      <c r="I30" s="337"/>
      <c r="J30" s="15"/>
      <c r="K30" s="15"/>
      <c r="L30" s="15"/>
      <c r="M30" s="15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"/>
      <c r="B31" s="49"/>
      <c r="C31" s="1"/>
      <c r="D31" s="1"/>
      <c r="E31" s="1"/>
      <c r="F31" s="1"/>
      <c r="G31" s="1"/>
      <c r="H31" s="1"/>
      <c r="I31" s="337"/>
      <c r="J31" s="15"/>
      <c r="K31" s="15"/>
      <c r="L31" s="15"/>
      <c r="M31" s="15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"/>
      <c r="B32" s="49"/>
      <c r="C32" s="1"/>
      <c r="D32" s="357" t="s">
        <v>332</v>
      </c>
      <c r="E32" s="357"/>
      <c r="F32" s="26">
        <v>1477122</v>
      </c>
      <c r="G32" s="357"/>
      <c r="H32" s="1"/>
      <c r="I32" s="337"/>
      <c r="J32" s="15"/>
      <c r="K32" s="15"/>
      <c r="L32" s="15"/>
      <c r="M32" s="15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"/>
      <c r="B33" s="49"/>
      <c r="C33" s="1"/>
      <c r="D33" s="357" t="s">
        <v>333</v>
      </c>
      <c r="E33" s="357"/>
      <c r="F33" s="26">
        <v>350348.6</v>
      </c>
      <c r="G33" s="357"/>
      <c r="H33" s="1"/>
      <c r="I33" s="337"/>
      <c r="J33" s="15"/>
      <c r="K33" s="15"/>
      <c r="L33" s="15"/>
      <c r="M33" s="15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"/>
      <c r="B34" s="49"/>
      <c r="C34" s="1"/>
      <c r="D34" s="357" t="s">
        <v>334</v>
      </c>
      <c r="E34" s="357"/>
      <c r="F34" s="26">
        <v>864915</v>
      </c>
      <c r="G34" s="357"/>
      <c r="H34" s="1"/>
      <c r="I34" s="337"/>
      <c r="J34" s="15"/>
      <c r="K34" s="15"/>
      <c r="L34" s="15"/>
      <c r="M34" s="15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"/>
      <c r="B35" s="49"/>
      <c r="C35" s="1"/>
      <c r="D35" s="357" t="s">
        <v>335</v>
      </c>
      <c r="E35" s="357"/>
      <c r="F35" s="26">
        <f>SUM(F33:F34)</f>
        <v>1215263.6000000001</v>
      </c>
      <c r="G35" s="357"/>
      <c r="H35" s="1"/>
      <c r="I35" s="337"/>
      <c r="J35" s="15"/>
      <c r="K35" s="15"/>
      <c r="L35" s="15"/>
      <c r="M35" s="15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"/>
      <c r="B36" s="49"/>
      <c r="C36" s="1"/>
      <c r="D36" s="357"/>
      <c r="E36" s="357"/>
      <c r="F36" s="26"/>
      <c r="G36" s="358"/>
      <c r="H36" s="1"/>
      <c r="I36" s="3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"/>
      <c r="B37" s="49"/>
      <c r="C37" s="1"/>
      <c r="D37" s="357" t="s">
        <v>336</v>
      </c>
      <c r="E37" s="357"/>
      <c r="F37" s="26">
        <v>75541</v>
      </c>
      <c r="G37" s="358">
        <f>F37/$F$32</f>
        <v>5.1140664075140715E-2</v>
      </c>
      <c r="H37" s="1"/>
      <c r="I37" s="337"/>
      <c r="J37" s="1"/>
      <c r="K37" s="1"/>
      <c r="L37" s="1"/>
      <c r="M37" s="1"/>
    </row>
    <row r="38" spans="1:22" ht="15.75" x14ac:dyDescent="0.25">
      <c r="A38" s="1"/>
      <c r="B38" s="49"/>
      <c r="C38" s="1"/>
      <c r="D38" s="357" t="s">
        <v>337</v>
      </c>
      <c r="E38" s="357"/>
      <c r="F38" s="26">
        <v>38124</v>
      </c>
      <c r="G38" s="358"/>
      <c r="H38" s="1"/>
      <c r="I38" s="337"/>
      <c r="J38" s="1"/>
      <c r="K38" s="1"/>
      <c r="L38" s="1"/>
      <c r="M38" s="1"/>
    </row>
    <row r="39" spans="1:22" ht="15.75" x14ac:dyDescent="0.25">
      <c r="A39" s="1"/>
      <c r="B39" s="49"/>
      <c r="C39" s="1"/>
      <c r="D39" s="357" t="s">
        <v>338</v>
      </c>
      <c r="E39" s="357"/>
      <c r="F39" s="26">
        <v>25350</v>
      </c>
      <c r="G39" s="358"/>
      <c r="H39" s="1"/>
      <c r="I39" s="337"/>
      <c r="J39" s="1"/>
      <c r="K39" s="359">
        <f>SUM(F37:F39)</f>
        <v>139015</v>
      </c>
      <c r="L39" s="360" t="s">
        <v>339</v>
      </c>
      <c r="M39" s="1"/>
    </row>
    <row r="40" spans="1:22" ht="15.75" x14ac:dyDescent="0.25">
      <c r="A40" s="1"/>
      <c r="B40" s="49"/>
      <c r="C40" s="1"/>
      <c r="D40" s="357" t="s">
        <v>444</v>
      </c>
      <c r="E40" s="357"/>
      <c r="F40" s="26">
        <f>F32-F35-K39</f>
        <v>122843.39999999991</v>
      </c>
      <c r="G40" s="358">
        <f>F40/$F$32</f>
        <v>8.3164017596379924E-2</v>
      </c>
      <c r="H40" s="1"/>
      <c r="I40" s="337"/>
      <c r="J40" s="1"/>
      <c r="K40" s="1"/>
      <c r="L40" s="1"/>
      <c r="M40" s="1"/>
    </row>
    <row r="41" spans="1:22" ht="15.75" x14ac:dyDescent="0.25">
      <c r="A41" s="1"/>
      <c r="B41" s="55"/>
      <c r="C41" s="20"/>
      <c r="D41" s="20"/>
      <c r="E41" s="361"/>
      <c r="F41" s="20"/>
      <c r="G41" s="20"/>
      <c r="H41" s="20"/>
      <c r="I41" s="362"/>
      <c r="J41" s="1"/>
      <c r="K41" s="1"/>
      <c r="L41" s="1"/>
      <c r="M41" s="1"/>
    </row>
    <row r="42" spans="1:2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22" x14ac:dyDescent="0.2">
      <c r="F43" s="363"/>
    </row>
    <row r="44" spans="1:22" x14ac:dyDescent="0.2">
      <c r="F44" s="363"/>
    </row>
  </sheetData>
  <mergeCells count="2">
    <mergeCell ref="C2:H2"/>
    <mergeCell ref="C4:H4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921-F45C-411A-B8CE-B2472865656A}">
  <sheetPr>
    <pageSetUpPr fitToPage="1"/>
  </sheetPr>
  <dimension ref="A1:K46"/>
  <sheetViews>
    <sheetView workbookViewId="0"/>
  </sheetViews>
  <sheetFormatPr defaultRowHeight="15" x14ac:dyDescent="0.2"/>
  <cols>
    <col min="2" max="2" width="2.77734375" customWidth="1"/>
    <col min="3" max="3" width="26.6640625" customWidth="1"/>
    <col min="4" max="4" width="9.6640625" customWidth="1"/>
    <col min="5" max="5" width="2.44140625" customWidth="1"/>
    <col min="6" max="6" width="9.6640625" customWidth="1"/>
    <col min="7" max="7" width="3.6640625" customWidth="1"/>
    <col min="8" max="8" width="12.6640625" customWidth="1"/>
    <col min="9" max="9" width="2.77734375" customWidth="1"/>
    <col min="10" max="10" width="9.6640625" customWidth="1"/>
  </cols>
  <sheetData>
    <row r="1" spans="1:11" ht="8.1" customHeight="1" x14ac:dyDescent="0.35">
      <c r="A1" s="1"/>
      <c r="B1" s="45"/>
      <c r="C1" s="605"/>
      <c r="D1" s="605"/>
      <c r="E1" s="605"/>
      <c r="F1" s="605"/>
      <c r="G1" s="605"/>
      <c r="H1" s="605"/>
      <c r="I1" s="364"/>
      <c r="J1" s="365"/>
      <c r="K1" s="25"/>
    </row>
    <row r="2" spans="1:11" ht="18.75" x14ac:dyDescent="0.3">
      <c r="A2" s="1"/>
      <c r="B2" s="49"/>
      <c r="C2" s="604" t="s">
        <v>105</v>
      </c>
      <c r="D2" s="604"/>
      <c r="E2" s="604"/>
      <c r="F2" s="604"/>
      <c r="G2" s="604"/>
      <c r="H2" s="604"/>
      <c r="I2" s="337"/>
      <c r="J2" s="1"/>
      <c r="K2" s="25"/>
    </row>
    <row r="3" spans="1:11" ht="18.75" x14ac:dyDescent="0.3">
      <c r="A3" s="1"/>
      <c r="B3" s="606" t="s">
        <v>340</v>
      </c>
      <c r="C3" s="607"/>
      <c r="D3" s="607"/>
      <c r="E3" s="607"/>
      <c r="F3" s="607"/>
      <c r="G3" s="607"/>
      <c r="H3" s="607"/>
      <c r="I3" s="608"/>
      <c r="J3" s="1"/>
      <c r="K3" s="25"/>
    </row>
    <row r="4" spans="1:11" ht="15.75" x14ac:dyDescent="0.25">
      <c r="A4" s="1"/>
      <c r="B4" s="49"/>
      <c r="C4" s="597" t="s">
        <v>167</v>
      </c>
      <c r="D4" s="597"/>
      <c r="E4" s="597"/>
      <c r="F4" s="597"/>
      <c r="G4" s="597"/>
      <c r="H4" s="597"/>
      <c r="I4" s="337"/>
      <c r="J4" s="1"/>
      <c r="K4" s="25"/>
    </row>
    <row r="5" spans="1:11" ht="8.1" customHeight="1" x14ac:dyDescent="0.25">
      <c r="A5" s="1"/>
      <c r="B5" s="55"/>
      <c r="C5" s="387"/>
      <c r="D5" s="387"/>
      <c r="E5" s="387"/>
      <c r="F5" s="387"/>
      <c r="G5" s="387"/>
      <c r="H5" s="428"/>
      <c r="I5" s="362"/>
      <c r="J5" s="1"/>
      <c r="K5" s="25"/>
    </row>
    <row r="6" spans="1:11" ht="15.75" x14ac:dyDescent="0.25">
      <c r="A6" s="1"/>
      <c r="B6" s="49"/>
      <c r="C6" s="357"/>
      <c r="D6" s="357"/>
      <c r="E6" s="366"/>
      <c r="F6" s="357"/>
      <c r="G6" s="357"/>
      <c r="H6" s="25"/>
      <c r="I6" s="337"/>
      <c r="J6" s="1"/>
      <c r="K6" s="25"/>
    </row>
    <row r="7" spans="1:11" ht="15.75" x14ac:dyDescent="0.25">
      <c r="A7" s="1"/>
      <c r="B7" s="49"/>
      <c r="C7" s="357"/>
      <c r="D7" s="357"/>
      <c r="E7" s="366"/>
      <c r="F7" s="357"/>
      <c r="G7" s="357"/>
      <c r="H7" s="367" t="s">
        <v>341</v>
      </c>
      <c r="I7" s="337"/>
      <c r="J7" s="1"/>
      <c r="K7" s="25"/>
    </row>
    <row r="8" spans="1:11" ht="15.75" x14ac:dyDescent="0.25">
      <c r="A8" s="1"/>
      <c r="B8" s="49"/>
      <c r="C8" s="357" t="s">
        <v>445</v>
      </c>
      <c r="D8" s="357"/>
      <c r="E8" s="366"/>
      <c r="F8" s="357"/>
      <c r="G8" s="357"/>
      <c r="H8" s="368">
        <f>Sys!G40</f>
        <v>8.3164017596379924E-2</v>
      </c>
      <c r="I8" s="337"/>
      <c r="J8" s="1"/>
      <c r="K8" s="25"/>
    </row>
    <row r="9" spans="1:11" ht="15.75" x14ac:dyDescent="0.25">
      <c r="A9" s="1"/>
      <c r="B9" s="49"/>
      <c r="C9" s="357" t="s">
        <v>342</v>
      </c>
      <c r="D9" s="357"/>
      <c r="E9" s="366"/>
      <c r="F9" s="357"/>
      <c r="G9" s="357"/>
      <c r="H9" s="368">
        <f>Sys!G37</f>
        <v>5.1140664075140715E-2</v>
      </c>
      <c r="I9" s="337"/>
      <c r="J9" s="1"/>
      <c r="K9" s="25"/>
    </row>
    <row r="10" spans="1:11" ht="15.75" x14ac:dyDescent="0.25">
      <c r="A10" s="1"/>
      <c r="B10" s="49"/>
      <c r="C10" s="357" t="s">
        <v>343</v>
      </c>
      <c r="D10" s="357"/>
      <c r="E10" s="366"/>
      <c r="F10" s="357"/>
      <c r="G10" s="357"/>
      <c r="H10" s="368">
        <f>H9+H8</f>
        <v>0.13430468167152065</v>
      </c>
      <c r="I10" s="337"/>
      <c r="J10" s="1"/>
      <c r="K10" s="25"/>
    </row>
    <row r="11" spans="1:11" ht="15.75" x14ac:dyDescent="0.25">
      <c r="A11" s="1"/>
      <c r="B11" s="49"/>
      <c r="C11" s="357" t="s">
        <v>344</v>
      </c>
      <c r="D11" s="357"/>
      <c r="E11" s="366"/>
      <c r="F11" s="357"/>
      <c r="G11" s="357"/>
      <c r="H11" s="369">
        <f>Sys!H24</f>
        <v>545.32689393939393</v>
      </c>
      <c r="I11" s="337"/>
      <c r="J11" s="1"/>
      <c r="K11" s="25"/>
    </row>
    <row r="12" spans="1:11" ht="15.75" x14ac:dyDescent="0.25">
      <c r="A12" s="1"/>
      <c r="B12" s="49"/>
      <c r="C12" s="357" t="s">
        <v>345</v>
      </c>
      <c r="D12" s="357"/>
      <c r="E12" s="366"/>
      <c r="F12" s="357"/>
      <c r="G12" s="357"/>
      <c r="H12" s="369">
        <f>Sys!F24</f>
        <v>1608.76875</v>
      </c>
      <c r="I12" s="337"/>
      <c r="J12" s="1"/>
      <c r="K12" s="25"/>
    </row>
    <row r="13" spans="1:11" ht="15.75" x14ac:dyDescent="0.25">
      <c r="A13" s="1"/>
      <c r="B13" s="49"/>
      <c r="C13" s="357" t="s">
        <v>446</v>
      </c>
      <c r="D13" s="357"/>
      <c r="E13" s="366"/>
      <c r="F13" s="357"/>
      <c r="G13" s="357"/>
      <c r="H13" s="370">
        <f>Sys!F34</f>
        <v>864915</v>
      </c>
      <c r="I13" s="337"/>
      <c r="J13" s="1"/>
      <c r="K13" s="25"/>
    </row>
    <row r="14" spans="1:11" ht="15.75" x14ac:dyDescent="0.25">
      <c r="A14" s="1"/>
      <c r="B14" s="49"/>
      <c r="C14" s="357" t="s">
        <v>335</v>
      </c>
      <c r="D14" s="357"/>
      <c r="E14" s="366"/>
      <c r="F14" s="357"/>
      <c r="G14" s="357"/>
      <c r="H14" s="370">
        <f>Sys!F35</f>
        <v>1215263.6000000001</v>
      </c>
      <c r="I14" s="337"/>
      <c r="J14" s="1"/>
      <c r="K14" s="25"/>
    </row>
    <row r="15" spans="1:11" ht="15.75" x14ac:dyDescent="0.25">
      <c r="A15" s="1"/>
      <c r="B15" s="49"/>
      <c r="C15" s="357"/>
      <c r="D15" s="357"/>
      <c r="E15" s="366"/>
      <c r="F15" s="357"/>
      <c r="G15" s="357"/>
      <c r="H15" s="368"/>
      <c r="I15" s="337"/>
      <c r="J15" s="1"/>
      <c r="K15" s="25"/>
    </row>
    <row r="16" spans="1:11" ht="15.75" x14ac:dyDescent="0.25">
      <c r="A16" s="1"/>
      <c r="B16" s="49"/>
      <c r="C16" s="357"/>
      <c r="D16" s="357"/>
      <c r="E16" s="366"/>
      <c r="F16" s="416">
        <v>1</v>
      </c>
      <c r="G16" s="357"/>
      <c r="H16" s="368"/>
      <c r="I16" s="337"/>
      <c r="J16" s="1"/>
      <c r="K16" s="25"/>
    </row>
    <row r="17" spans="1:11" ht="15.75" x14ac:dyDescent="0.25">
      <c r="A17" s="1"/>
      <c r="B17" s="49"/>
      <c r="C17" s="357" t="s">
        <v>346</v>
      </c>
      <c r="D17" s="1" t="s">
        <v>347</v>
      </c>
      <c r="E17" s="1"/>
      <c r="F17" s="1"/>
      <c r="G17" s="366" t="s">
        <v>348</v>
      </c>
      <c r="H17" s="368">
        <f>1/(1-H10)</f>
        <v>1.1551408201338569</v>
      </c>
      <c r="I17" s="337"/>
      <c r="J17" s="1"/>
      <c r="K17" s="25"/>
    </row>
    <row r="18" spans="1:11" ht="15.75" x14ac:dyDescent="0.25">
      <c r="A18" s="1"/>
      <c r="B18" s="49"/>
      <c r="C18" s="357"/>
      <c r="D18" s="357">
        <v>1</v>
      </c>
      <c r="E18" s="366" t="s">
        <v>349</v>
      </c>
      <c r="F18" s="371">
        <f>H10</f>
        <v>0.13430468167152065</v>
      </c>
      <c r="G18" s="366"/>
      <c r="H18" s="368"/>
      <c r="I18" s="337"/>
      <c r="J18" s="1"/>
      <c r="K18" s="25"/>
    </row>
    <row r="19" spans="1:11" ht="15.75" x14ac:dyDescent="0.25">
      <c r="A19" s="1"/>
      <c r="B19" s="49"/>
      <c r="C19" s="357"/>
      <c r="D19" s="357"/>
      <c r="E19" s="366"/>
      <c r="F19" s="372"/>
      <c r="G19" s="366"/>
      <c r="H19" s="368"/>
      <c r="I19" s="337"/>
      <c r="J19" s="1"/>
      <c r="K19" s="25"/>
    </row>
    <row r="20" spans="1:11" ht="15.75" x14ac:dyDescent="0.25">
      <c r="A20" s="1"/>
      <c r="B20" s="49"/>
      <c r="C20" s="357"/>
      <c r="D20" s="357"/>
      <c r="E20" s="1"/>
      <c r="F20" s="373">
        <f>H11</f>
        <v>545.32689393939393</v>
      </c>
      <c r="G20" s="366"/>
      <c r="H20" s="368"/>
      <c r="I20" s="337"/>
      <c r="J20" s="1"/>
      <c r="K20" s="25"/>
    </row>
    <row r="21" spans="1:11" ht="15.75" x14ac:dyDescent="0.25">
      <c r="A21" s="1"/>
      <c r="B21" s="49"/>
      <c r="C21" s="357" t="s">
        <v>350</v>
      </c>
      <c r="D21" s="1"/>
      <c r="E21" s="374" t="s">
        <v>439</v>
      </c>
      <c r="F21" s="375"/>
      <c r="G21" s="366" t="s">
        <v>348</v>
      </c>
      <c r="H21" s="368">
        <f>F20/F22</f>
        <v>0.33897158553048345</v>
      </c>
      <c r="I21" s="337"/>
      <c r="J21" s="1"/>
      <c r="K21" s="25"/>
    </row>
    <row r="22" spans="1:11" ht="15.75" x14ac:dyDescent="0.25">
      <c r="A22" s="1"/>
      <c r="B22" s="49"/>
      <c r="C22" s="357"/>
      <c r="D22" s="376"/>
      <c r="E22" s="366"/>
      <c r="F22" s="373">
        <f>H12</f>
        <v>1608.76875</v>
      </c>
      <c r="G22" s="366"/>
      <c r="H22" s="368"/>
      <c r="I22" s="337"/>
      <c r="J22" s="1"/>
      <c r="K22" s="25"/>
    </row>
    <row r="23" spans="1:11" ht="15.75" x14ac:dyDescent="0.25">
      <c r="A23" s="1"/>
      <c r="B23" s="49"/>
      <c r="C23" s="357"/>
      <c r="D23" s="376"/>
      <c r="E23" s="366"/>
      <c r="F23" s="357"/>
      <c r="G23" s="366"/>
      <c r="H23" s="368"/>
      <c r="I23" s="337"/>
      <c r="J23" s="1"/>
      <c r="K23" s="25"/>
    </row>
    <row r="24" spans="1:11" ht="15.75" x14ac:dyDescent="0.25">
      <c r="A24" s="1"/>
      <c r="B24" s="49"/>
      <c r="C24" s="357" t="s">
        <v>351</v>
      </c>
      <c r="D24" s="377">
        <f>H8</f>
        <v>8.3164017596379924E-2</v>
      </c>
      <c r="E24" s="366" t="s">
        <v>352</v>
      </c>
      <c r="F24" s="378">
        <f>H21</f>
        <v>0.33897158553048345</v>
      </c>
      <c r="G24" s="366" t="s">
        <v>348</v>
      </c>
      <c r="H24" s="368">
        <f>D24*F24</f>
        <v>2.8190238903729927E-2</v>
      </c>
      <c r="I24" s="337"/>
      <c r="J24" s="1"/>
      <c r="K24" s="25"/>
    </row>
    <row r="25" spans="1:11" ht="15.75" x14ac:dyDescent="0.25">
      <c r="A25" s="1"/>
      <c r="B25" s="49"/>
      <c r="C25" s="357"/>
      <c r="D25" s="377"/>
      <c r="E25" s="366"/>
      <c r="F25" s="378"/>
      <c r="G25" s="366"/>
      <c r="H25" s="368"/>
      <c r="I25" s="337"/>
      <c r="J25" s="1"/>
      <c r="K25" s="25"/>
    </row>
    <row r="26" spans="1:11" ht="15.75" x14ac:dyDescent="0.25">
      <c r="A26" s="1"/>
      <c r="B26" s="49"/>
      <c r="C26" s="357"/>
      <c r="D26" s="377"/>
      <c r="E26" s="366"/>
      <c r="F26" s="378"/>
      <c r="G26" s="366"/>
      <c r="H26" s="368"/>
      <c r="I26" s="337"/>
      <c r="J26" s="1"/>
      <c r="K26" s="25"/>
    </row>
    <row r="27" spans="1:11" ht="15.75" x14ac:dyDescent="0.25">
      <c r="A27" s="1"/>
      <c r="B27" s="49"/>
      <c r="C27" s="357" t="s">
        <v>353</v>
      </c>
      <c r="D27" s="377">
        <f>H24</f>
        <v>2.8190238903729927E-2</v>
      </c>
      <c r="E27" s="366" t="s">
        <v>354</v>
      </c>
      <c r="F27" s="378">
        <f>H9</f>
        <v>5.1140664075140715E-2</v>
      </c>
      <c r="G27" s="366" t="s">
        <v>348</v>
      </c>
      <c r="H27" s="368">
        <f>D27+F27</f>
        <v>7.9330902978870646E-2</v>
      </c>
      <c r="I27" s="337"/>
      <c r="J27" s="1"/>
      <c r="K27" s="25"/>
    </row>
    <row r="28" spans="1:11" ht="15.75" x14ac:dyDescent="0.25">
      <c r="A28" s="1"/>
      <c r="B28" s="49"/>
      <c r="C28" s="357"/>
      <c r="D28" s="377"/>
      <c r="E28" s="366"/>
      <c r="F28" s="357"/>
      <c r="G28" s="366"/>
      <c r="H28" s="368"/>
      <c r="I28" s="337"/>
      <c r="J28" s="1"/>
      <c r="K28" s="25"/>
    </row>
    <row r="29" spans="1:11" ht="15.75" x14ac:dyDescent="0.25">
      <c r="A29" s="1"/>
      <c r="B29" s="49"/>
      <c r="C29" s="357"/>
      <c r="D29" s="357"/>
      <c r="E29" s="366"/>
      <c r="F29" s="416">
        <v>1</v>
      </c>
      <c r="G29" s="366"/>
      <c r="H29" s="379"/>
      <c r="I29" s="337"/>
      <c r="J29" s="1"/>
      <c r="K29" s="25"/>
    </row>
    <row r="30" spans="1:11" ht="15.75" x14ac:dyDescent="0.25">
      <c r="A30" s="1"/>
      <c r="B30" s="49"/>
      <c r="C30" s="357" t="s">
        <v>355</v>
      </c>
      <c r="D30" s="1" t="s">
        <v>356</v>
      </c>
      <c r="E30" s="1"/>
      <c r="F30" s="1"/>
      <c r="G30" s="366" t="s">
        <v>348</v>
      </c>
      <c r="H30" s="368">
        <f>1/(1-F31)</f>
        <v>1.0861665751957459</v>
      </c>
      <c r="I30" s="337"/>
      <c r="J30" s="1"/>
      <c r="K30" s="25"/>
    </row>
    <row r="31" spans="1:11" ht="15.75" x14ac:dyDescent="0.25">
      <c r="A31" s="1"/>
      <c r="B31" s="49"/>
      <c r="C31" s="357"/>
      <c r="D31" s="357">
        <v>1</v>
      </c>
      <c r="E31" s="366" t="s">
        <v>349</v>
      </c>
      <c r="F31" s="371">
        <f>H27</f>
        <v>7.9330902978870646E-2</v>
      </c>
      <c r="G31" s="366"/>
      <c r="H31" s="368"/>
      <c r="I31" s="337"/>
      <c r="J31" s="1"/>
      <c r="K31" s="25"/>
    </row>
    <row r="32" spans="1:11" ht="15.75" x14ac:dyDescent="0.25">
      <c r="A32" s="1"/>
      <c r="B32" s="49"/>
      <c r="C32" s="357"/>
      <c r="D32" s="357"/>
      <c r="E32" s="366"/>
      <c r="F32" s="371"/>
      <c r="G32" s="366"/>
      <c r="H32" s="368"/>
      <c r="I32" s="337"/>
      <c r="J32" s="1"/>
      <c r="K32" s="25"/>
    </row>
    <row r="33" spans="1:11" ht="15.75" x14ac:dyDescent="0.25">
      <c r="A33" s="1"/>
      <c r="B33" s="49"/>
      <c r="C33" s="357"/>
      <c r="D33" s="380">
        <f>H30</f>
        <v>1.0861665751957459</v>
      </c>
      <c r="E33" s="366"/>
      <c r="F33" s="381">
        <f>$H$13</f>
        <v>864915</v>
      </c>
      <c r="G33" s="366"/>
      <c r="H33" s="368"/>
      <c r="I33" s="337"/>
      <c r="J33" s="1"/>
      <c r="K33" s="25"/>
    </row>
    <row r="34" spans="1:11" ht="15.75" x14ac:dyDescent="0.25">
      <c r="A34" s="1"/>
      <c r="B34" s="49"/>
      <c r="C34" s="382" t="s">
        <v>357</v>
      </c>
      <c r="D34" s="366" t="s">
        <v>358</v>
      </c>
      <c r="E34" s="366" t="s">
        <v>352</v>
      </c>
      <c r="F34" s="366" t="s">
        <v>358</v>
      </c>
      <c r="G34" s="366" t="s">
        <v>348</v>
      </c>
      <c r="H34" s="383">
        <f>(H30/H17)*(+F33/F35)</f>
        <v>0.66921311261607486</v>
      </c>
      <c r="I34" s="337"/>
      <c r="J34" s="1"/>
      <c r="K34" s="25"/>
    </row>
    <row r="35" spans="1:11" ht="15.75" x14ac:dyDescent="0.25">
      <c r="A35" s="1"/>
      <c r="B35" s="49"/>
      <c r="C35" s="357"/>
      <c r="D35" s="380">
        <f>H17</f>
        <v>1.1551408201338569</v>
      </c>
      <c r="E35" s="366"/>
      <c r="F35" s="381">
        <f>$H$14</f>
        <v>1215263.6000000001</v>
      </c>
      <c r="G35" s="366"/>
      <c r="H35" s="383"/>
      <c r="I35" s="337"/>
      <c r="J35" s="1"/>
      <c r="K35" s="25"/>
    </row>
    <row r="36" spans="1:11" ht="15.75" x14ac:dyDescent="0.25">
      <c r="A36" s="1"/>
      <c r="B36" s="49"/>
      <c r="C36" s="357"/>
      <c r="D36" s="380"/>
      <c r="E36" s="366"/>
      <c r="F36" s="381"/>
      <c r="G36" s="366"/>
      <c r="H36" s="383"/>
      <c r="I36" s="337"/>
      <c r="J36" s="1"/>
      <c r="K36" s="25"/>
    </row>
    <row r="37" spans="1:11" ht="15.75" x14ac:dyDescent="0.25">
      <c r="A37" s="1"/>
      <c r="B37" s="49"/>
      <c r="C37" s="357"/>
      <c r="D37" s="381">
        <f>$H$13</f>
        <v>864915</v>
      </c>
      <c r="E37" s="366"/>
      <c r="F37" s="357"/>
      <c r="G37" s="366"/>
      <c r="H37" s="383"/>
      <c r="I37" s="337"/>
      <c r="J37" s="1"/>
      <c r="K37" s="25"/>
    </row>
    <row r="38" spans="1:11" ht="15.75" x14ac:dyDescent="0.25">
      <c r="A38" s="1"/>
      <c r="B38" s="49"/>
      <c r="C38" s="382" t="s">
        <v>359</v>
      </c>
      <c r="D38" s="366" t="s">
        <v>358</v>
      </c>
      <c r="E38" s="366" t="s">
        <v>352</v>
      </c>
      <c r="F38" s="380">
        <f>H21</f>
        <v>0.33897158553048345</v>
      </c>
      <c r="G38" s="366" t="s">
        <v>348</v>
      </c>
      <c r="H38" s="383">
        <f>(+D37/D39)*H21</f>
        <v>0.24124939552134869</v>
      </c>
      <c r="I38" s="337"/>
      <c r="J38" s="1"/>
      <c r="K38" s="25"/>
    </row>
    <row r="39" spans="1:11" ht="15.75" x14ac:dyDescent="0.25">
      <c r="A39" s="1"/>
      <c r="B39" s="49"/>
      <c r="C39" s="357"/>
      <c r="D39" s="381">
        <f>$H$14</f>
        <v>1215263.6000000001</v>
      </c>
      <c r="E39" s="366"/>
      <c r="F39" s="357"/>
      <c r="G39" s="366"/>
      <c r="H39" s="383"/>
      <c r="I39" s="337"/>
      <c r="J39" s="1"/>
      <c r="K39" s="25"/>
    </row>
    <row r="40" spans="1:11" ht="15.75" x14ac:dyDescent="0.25">
      <c r="A40" s="1"/>
      <c r="B40" s="49"/>
      <c r="C40" s="357"/>
      <c r="D40" s="357"/>
      <c r="E40" s="366"/>
      <c r="F40" s="357"/>
      <c r="G40" s="366"/>
      <c r="H40" s="383"/>
      <c r="I40" s="337"/>
      <c r="J40" s="1"/>
      <c r="K40" s="25"/>
    </row>
    <row r="41" spans="1:11" ht="15.75" x14ac:dyDescent="0.25">
      <c r="A41" s="1"/>
      <c r="B41" s="49"/>
      <c r="C41" s="357"/>
      <c r="D41" s="357"/>
      <c r="E41" s="366"/>
      <c r="F41" s="381">
        <f>$H$13</f>
        <v>864915</v>
      </c>
      <c r="G41" s="366"/>
      <c r="H41" s="383"/>
      <c r="I41" s="337"/>
      <c r="J41" s="1"/>
      <c r="K41" s="25"/>
    </row>
    <row r="42" spans="1:11" ht="15.75" x14ac:dyDescent="0.25">
      <c r="A42" s="1"/>
      <c r="B42" s="49"/>
      <c r="C42" s="382" t="s">
        <v>360</v>
      </c>
      <c r="D42" s="357"/>
      <c r="E42" s="366"/>
      <c r="F42" s="366" t="s">
        <v>358</v>
      </c>
      <c r="G42" s="366" t="s">
        <v>348</v>
      </c>
      <c r="H42" s="383">
        <f>F41/F43</f>
        <v>0.71170978872402657</v>
      </c>
      <c r="I42" s="337"/>
      <c r="J42" s="1"/>
      <c r="K42" s="25"/>
    </row>
    <row r="43" spans="1:11" ht="15.75" x14ac:dyDescent="0.25">
      <c r="A43" s="1"/>
      <c r="B43" s="49"/>
      <c r="C43" s="1"/>
      <c r="D43" s="1"/>
      <c r="E43" s="2"/>
      <c r="F43" s="381">
        <f>$H$14</f>
        <v>1215263.6000000001</v>
      </c>
      <c r="G43" s="1"/>
      <c r="H43" s="384"/>
      <c r="I43" s="337"/>
      <c r="J43" s="1"/>
      <c r="K43" s="25"/>
    </row>
    <row r="44" spans="1:11" ht="15.75" x14ac:dyDescent="0.25">
      <c r="A44" s="1"/>
      <c r="B44" s="55"/>
      <c r="C44" s="20"/>
      <c r="D44" s="20"/>
      <c r="E44" s="223"/>
      <c r="F44" s="20"/>
      <c r="G44" s="20"/>
      <c r="H44" s="20"/>
      <c r="I44" s="362"/>
      <c r="J44" s="1"/>
      <c r="K44" s="25"/>
    </row>
    <row r="45" spans="1:11" ht="15.75" x14ac:dyDescent="0.25">
      <c r="A45" s="1"/>
      <c r="B45" s="1"/>
      <c r="C45" s="1"/>
      <c r="D45" s="1"/>
      <c r="E45" s="2"/>
      <c r="F45" s="1"/>
      <c r="G45" s="1"/>
      <c r="H45" s="1"/>
      <c r="I45" s="1"/>
      <c r="J45" s="1"/>
      <c r="K45" s="25"/>
    </row>
    <row r="46" spans="1:11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mergeCells count="4">
    <mergeCell ref="C1:H1"/>
    <mergeCell ref="C2:H2"/>
    <mergeCell ref="C4:H4"/>
    <mergeCell ref="B3:I3"/>
  </mergeCells>
  <printOptions horizontalCentered="1"/>
  <pageMargins left="0.95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A6C0-C2C9-4DD2-8836-CF8CD52B2186}">
  <sheetPr>
    <pageSetUpPr fitToPage="1"/>
  </sheetPr>
  <dimension ref="A1:M46"/>
  <sheetViews>
    <sheetView workbookViewId="0"/>
  </sheetViews>
  <sheetFormatPr defaultRowHeight="15" x14ac:dyDescent="0.2"/>
  <cols>
    <col min="1" max="1" width="4.5546875" customWidth="1"/>
    <col min="2" max="2" width="1.33203125" customWidth="1"/>
    <col min="3" max="3" width="21.77734375" customWidth="1"/>
    <col min="4" max="4" width="9.5546875" customWidth="1"/>
    <col min="5" max="5" width="7.77734375" customWidth="1"/>
    <col min="6" max="6" width="8.6640625" customWidth="1"/>
    <col min="7" max="7" width="9.5546875" customWidth="1"/>
    <col min="8" max="9" width="8.33203125" customWidth="1"/>
    <col min="10" max="10" width="8.5546875" customWidth="1"/>
    <col min="11" max="11" width="2.5546875" customWidth="1"/>
  </cols>
  <sheetData>
    <row r="1" spans="1:13" ht="8.1" customHeight="1" x14ac:dyDescent="0.25">
      <c r="A1" s="15"/>
      <c r="B1" s="83"/>
      <c r="C1" s="84"/>
      <c r="D1" s="84"/>
      <c r="E1" s="84"/>
      <c r="F1" s="84"/>
      <c r="G1" s="84"/>
      <c r="H1" s="84"/>
      <c r="I1" s="84"/>
      <c r="J1" s="85"/>
      <c r="K1" s="78"/>
      <c r="L1" s="15"/>
      <c r="M1" s="15"/>
    </row>
    <row r="2" spans="1:13" ht="18.75" x14ac:dyDescent="0.3">
      <c r="A2" s="15"/>
      <c r="B2" s="86"/>
      <c r="C2" s="599" t="s">
        <v>447</v>
      </c>
      <c r="D2" s="599"/>
      <c r="E2" s="599"/>
      <c r="F2" s="599"/>
      <c r="G2" s="599"/>
      <c r="H2" s="599"/>
      <c r="I2" s="599"/>
      <c r="J2" s="609"/>
      <c r="K2" s="78"/>
      <c r="L2" s="15"/>
      <c r="M2" s="15"/>
    </row>
    <row r="3" spans="1:13" ht="18.75" x14ac:dyDescent="0.3">
      <c r="A3" s="15"/>
      <c r="B3" s="86"/>
      <c r="C3" s="431" t="s">
        <v>361</v>
      </c>
      <c r="D3" s="432"/>
      <c r="E3" s="432"/>
      <c r="F3" s="432"/>
      <c r="G3" s="432"/>
      <c r="H3" s="432"/>
      <c r="I3" s="432"/>
      <c r="J3" s="385"/>
      <c r="K3" s="78"/>
      <c r="L3" s="15"/>
      <c r="M3" s="15"/>
    </row>
    <row r="4" spans="1:13" ht="15.75" x14ac:dyDescent="0.25">
      <c r="A4" s="15"/>
      <c r="B4" s="86"/>
      <c r="C4" s="595" t="s">
        <v>167</v>
      </c>
      <c r="D4" s="595"/>
      <c r="E4" s="595"/>
      <c r="F4" s="595"/>
      <c r="G4" s="595"/>
      <c r="H4" s="595"/>
      <c r="I4" s="595"/>
      <c r="J4" s="601"/>
      <c r="K4" s="78"/>
      <c r="L4" s="15"/>
      <c r="M4" s="15"/>
    </row>
    <row r="5" spans="1:13" ht="8.1" customHeight="1" x14ac:dyDescent="0.25">
      <c r="A5" s="15"/>
      <c r="B5" s="88"/>
      <c r="C5" s="387"/>
      <c r="D5" s="387"/>
      <c r="E5" s="387"/>
      <c r="F5" s="387"/>
      <c r="G5" s="387"/>
      <c r="H5" s="387"/>
      <c r="I5" s="387"/>
      <c r="J5" s="388"/>
      <c r="K5" s="78"/>
      <c r="L5" s="15"/>
      <c r="M5" s="15"/>
    </row>
    <row r="6" spans="1:13" ht="15.75" x14ac:dyDescent="0.25">
      <c r="A6" s="15"/>
      <c r="B6" s="83"/>
      <c r="C6" s="437"/>
      <c r="D6" s="438"/>
      <c r="E6" s="438"/>
      <c r="F6" s="438"/>
      <c r="G6" s="438"/>
      <c r="H6" s="438"/>
      <c r="I6" s="438"/>
      <c r="J6" s="439"/>
      <c r="K6" s="78"/>
      <c r="L6" s="15"/>
      <c r="M6" s="15"/>
    </row>
    <row r="7" spans="1:13" ht="18" x14ac:dyDescent="0.4">
      <c r="A7" s="15"/>
      <c r="B7" s="86"/>
      <c r="C7" s="78"/>
      <c r="D7" s="440" t="s">
        <v>362</v>
      </c>
      <c r="E7" s="221"/>
      <c r="F7" s="440" t="s">
        <v>236</v>
      </c>
      <c r="G7" s="440" t="s">
        <v>363</v>
      </c>
      <c r="H7" s="440" t="s">
        <v>364</v>
      </c>
      <c r="I7" s="440" t="s">
        <v>365</v>
      </c>
      <c r="J7" s="442"/>
      <c r="K7" s="78"/>
      <c r="L7" s="15"/>
      <c r="M7" s="15"/>
    </row>
    <row r="8" spans="1:13" ht="18" x14ac:dyDescent="0.4">
      <c r="A8" s="15"/>
      <c r="B8" s="86"/>
      <c r="C8" s="78"/>
      <c r="D8" s="441" t="s">
        <v>8</v>
      </c>
      <c r="E8" s="441" t="s">
        <v>366</v>
      </c>
      <c r="F8" s="441" t="s">
        <v>380</v>
      </c>
      <c r="G8" s="441" t="s">
        <v>367</v>
      </c>
      <c r="H8" s="441" t="s">
        <v>368</v>
      </c>
      <c r="I8" s="441" t="s">
        <v>369</v>
      </c>
      <c r="J8" s="442" t="s">
        <v>370</v>
      </c>
      <c r="K8" s="78"/>
      <c r="L8" s="15"/>
      <c r="M8" s="15"/>
    </row>
    <row r="9" spans="1:13" ht="15.75" x14ac:dyDescent="0.25">
      <c r="A9" s="15"/>
      <c r="B9" s="86"/>
      <c r="C9" s="78"/>
      <c r="D9" s="78"/>
      <c r="E9" s="78"/>
      <c r="F9" s="78"/>
      <c r="G9" s="78"/>
      <c r="H9" s="78"/>
      <c r="I9" s="78"/>
      <c r="J9" s="87"/>
      <c r="K9" s="78"/>
      <c r="L9" s="15"/>
      <c r="M9" s="15"/>
    </row>
    <row r="10" spans="1:13" ht="15.75" x14ac:dyDescent="0.25">
      <c r="A10" s="15"/>
      <c r="B10" s="86"/>
      <c r="C10" s="38" t="s">
        <v>382</v>
      </c>
      <c r="D10" s="78">
        <f>DeprAdj!J12</f>
        <v>307333.92</v>
      </c>
      <c r="E10" s="78">
        <v>23564</v>
      </c>
      <c r="F10" s="78">
        <f>D10-E10-I10</f>
        <v>249660.91999999998</v>
      </c>
      <c r="G10" s="78"/>
      <c r="H10" s="78"/>
      <c r="I10" s="78">
        <f>11391+22718</f>
        <v>34109</v>
      </c>
      <c r="J10" s="87"/>
      <c r="K10" s="78"/>
      <c r="L10" s="15"/>
      <c r="M10" s="15"/>
    </row>
    <row r="11" spans="1:13" ht="15.75" x14ac:dyDescent="0.25">
      <c r="A11" s="15"/>
      <c r="B11" s="86"/>
      <c r="C11" s="38" t="s">
        <v>383</v>
      </c>
      <c r="D11" s="78">
        <f>DeprAdj!J15</f>
        <v>71.744</v>
      </c>
      <c r="E11" s="78">
        <f>D11</f>
        <v>71.744</v>
      </c>
      <c r="F11" s="78"/>
      <c r="G11" s="78"/>
      <c r="H11" s="78"/>
      <c r="I11" s="78"/>
      <c r="J11" s="87"/>
      <c r="K11" s="78"/>
      <c r="L11" s="15"/>
      <c r="M11" s="15"/>
    </row>
    <row r="12" spans="1:13" ht="15.75" x14ac:dyDescent="0.25">
      <c r="A12" s="15"/>
      <c r="B12" s="86"/>
      <c r="C12" s="38" t="s">
        <v>384</v>
      </c>
      <c r="D12" s="78">
        <f>DeprAdj!J18</f>
        <v>34649.599999999999</v>
      </c>
      <c r="E12" s="78"/>
      <c r="F12" s="78">
        <f>631</f>
        <v>631</v>
      </c>
      <c r="G12" s="78">
        <f>D12-F12</f>
        <v>34018.6</v>
      </c>
      <c r="H12" s="78"/>
      <c r="I12" s="78"/>
      <c r="J12" s="87"/>
      <c r="K12" s="78"/>
      <c r="L12" s="15"/>
      <c r="M12" s="15"/>
    </row>
    <row r="13" spans="1:13" ht="15.75" x14ac:dyDescent="0.25">
      <c r="A13" s="15"/>
      <c r="B13" s="86"/>
      <c r="C13" s="38" t="s">
        <v>385</v>
      </c>
      <c r="D13" s="78">
        <f>DeprAdj!J21+DeprAdj!J22</f>
        <v>179266.13333333333</v>
      </c>
      <c r="E13" s="78"/>
      <c r="F13" s="78">
        <f>D13</f>
        <v>179266.13333333333</v>
      </c>
      <c r="G13" s="78"/>
      <c r="H13" s="78"/>
      <c r="I13" s="78"/>
      <c r="J13" s="87"/>
      <c r="K13" s="78"/>
      <c r="L13" s="15"/>
      <c r="M13" s="15"/>
    </row>
    <row r="14" spans="1:13" ht="15.75" x14ac:dyDescent="0.25">
      <c r="A14" s="15"/>
      <c r="B14" s="86"/>
      <c r="C14" s="38" t="s">
        <v>449</v>
      </c>
      <c r="D14" s="78">
        <f>DeprAdj!J25</f>
        <v>45627.37777777778</v>
      </c>
      <c r="E14" s="78"/>
      <c r="F14" s="78"/>
      <c r="G14" s="78"/>
      <c r="H14" s="78">
        <f>D14</f>
        <v>45627.37777777778</v>
      </c>
      <c r="I14" s="78"/>
      <c r="J14" s="87"/>
      <c r="K14" s="78"/>
      <c r="L14" s="15"/>
      <c r="M14" s="15"/>
    </row>
    <row r="15" spans="1:13" ht="15.75" x14ac:dyDescent="0.25">
      <c r="A15" s="15"/>
      <c r="B15" s="86"/>
      <c r="C15" s="38" t="s">
        <v>450</v>
      </c>
      <c r="D15" s="78">
        <f>DeprAdj!J28</f>
        <v>169522.60800000001</v>
      </c>
      <c r="E15" s="78"/>
      <c r="F15" s="78"/>
      <c r="G15" s="78">
        <f>D15</f>
        <v>169522.60800000001</v>
      </c>
      <c r="H15" s="78"/>
      <c r="I15" s="78"/>
      <c r="J15" s="87"/>
      <c r="K15" s="78"/>
      <c r="L15" s="15"/>
      <c r="M15" s="15"/>
    </row>
    <row r="16" spans="1:13" ht="15.75" x14ac:dyDescent="0.25">
      <c r="A16" s="15"/>
      <c r="B16" s="86"/>
      <c r="C16" s="38" t="s">
        <v>386</v>
      </c>
      <c r="D16" s="78">
        <f>DeprAdj!J31</f>
        <v>28514.474999999999</v>
      </c>
      <c r="E16" s="78"/>
      <c r="F16" s="78"/>
      <c r="G16" s="78"/>
      <c r="H16" s="78"/>
      <c r="I16" s="78"/>
      <c r="J16" s="87">
        <f>D16</f>
        <v>28514.474999999999</v>
      </c>
      <c r="K16" s="78"/>
      <c r="L16" s="15"/>
      <c r="M16" s="15"/>
    </row>
    <row r="17" spans="1:13" ht="15.75" x14ac:dyDescent="0.25">
      <c r="A17" s="15"/>
      <c r="B17" s="86"/>
      <c r="C17" s="38" t="s">
        <v>451</v>
      </c>
      <c r="D17" s="78">
        <f>DeprAdj!J34+DeprAdj!J35</f>
        <v>30638.275000000001</v>
      </c>
      <c r="E17" s="78"/>
      <c r="F17" s="78"/>
      <c r="G17" s="78"/>
      <c r="H17" s="78"/>
      <c r="I17" s="78"/>
      <c r="J17" s="87">
        <f>D17</f>
        <v>30638.275000000001</v>
      </c>
      <c r="K17" s="78"/>
      <c r="L17" s="15"/>
      <c r="M17" s="15"/>
    </row>
    <row r="18" spans="1:13" ht="15.75" x14ac:dyDescent="0.25">
      <c r="A18" s="15"/>
      <c r="B18" s="86"/>
      <c r="C18" s="38" t="s">
        <v>387</v>
      </c>
      <c r="D18" s="78">
        <f>DeprAdj!J38</f>
        <v>2884.38</v>
      </c>
      <c r="E18" s="78"/>
      <c r="F18" s="78"/>
      <c r="G18" s="78"/>
      <c r="H18" s="78"/>
      <c r="I18" s="78"/>
      <c r="J18" s="87">
        <f>D18</f>
        <v>2884.38</v>
      </c>
      <c r="K18" s="78"/>
      <c r="L18" s="15"/>
      <c r="M18" s="15"/>
    </row>
    <row r="19" spans="1:13" ht="15.75" x14ac:dyDescent="0.25">
      <c r="A19" s="15"/>
      <c r="B19" s="86"/>
      <c r="C19" s="38" t="s">
        <v>452</v>
      </c>
      <c r="D19" s="78">
        <f>DeprAdj!J41</f>
        <v>8319.9555555555562</v>
      </c>
      <c r="E19" s="78"/>
      <c r="F19" s="78"/>
      <c r="G19" s="78"/>
      <c r="H19" s="78"/>
      <c r="I19" s="78">
        <f>D19</f>
        <v>8319.9555555555562</v>
      </c>
      <c r="J19" s="87"/>
      <c r="K19" s="78"/>
      <c r="L19" s="15"/>
      <c r="M19" s="15"/>
    </row>
    <row r="20" spans="1:13" ht="15.75" x14ac:dyDescent="0.25">
      <c r="A20" s="15"/>
      <c r="B20" s="86"/>
      <c r="C20" s="38" t="s">
        <v>453</v>
      </c>
      <c r="D20" s="78">
        <f>DeprAdj!J47</f>
        <v>541.82857142857142</v>
      </c>
      <c r="E20" s="78"/>
      <c r="F20" s="78">
        <f>D20</f>
        <v>541.82857142857142</v>
      </c>
      <c r="G20" s="78"/>
      <c r="H20" s="78"/>
      <c r="I20" s="78"/>
      <c r="J20" s="87"/>
      <c r="K20" s="78"/>
      <c r="L20" s="15"/>
      <c r="M20" s="15"/>
    </row>
    <row r="21" spans="1:13" ht="15.75" x14ac:dyDescent="0.25">
      <c r="A21" s="15"/>
      <c r="B21" s="86"/>
      <c r="C21" s="436" t="s">
        <v>371</v>
      </c>
      <c r="D21" s="78">
        <f>SUM(D10:D20)</f>
        <v>807370.29723809508</v>
      </c>
      <c r="E21" s="78">
        <f t="shared" ref="E21:J21" si="0">SUM(E10:E20)</f>
        <v>23635.743999999999</v>
      </c>
      <c r="F21" s="78">
        <f t="shared" si="0"/>
        <v>430099.88190476189</v>
      </c>
      <c r="G21" s="78">
        <f t="shared" si="0"/>
        <v>203541.20800000001</v>
      </c>
      <c r="H21" s="78">
        <f t="shared" si="0"/>
        <v>45627.37777777778</v>
      </c>
      <c r="I21" s="78">
        <f t="shared" si="0"/>
        <v>42428.955555555556</v>
      </c>
      <c r="J21" s="87">
        <f t="shared" si="0"/>
        <v>62037.13</v>
      </c>
      <c r="K21" s="78"/>
      <c r="L21" s="15">
        <f>SUM(E21:J21)</f>
        <v>807370.2972380952</v>
      </c>
      <c r="M21" s="15"/>
    </row>
    <row r="22" spans="1:13" ht="15.75" x14ac:dyDescent="0.25">
      <c r="A22" s="15"/>
      <c r="B22" s="86"/>
      <c r="C22" s="436" t="s">
        <v>372</v>
      </c>
      <c r="D22" s="78"/>
      <c r="E22" s="389">
        <f t="shared" ref="E22:J22" si="1">E21/$D$21</f>
        <v>2.927497343022736E-2</v>
      </c>
      <c r="F22" s="389">
        <f t="shared" si="1"/>
        <v>0.5327169990970384</v>
      </c>
      <c r="G22" s="389">
        <f t="shared" si="1"/>
        <v>0.25210390906909386</v>
      </c>
      <c r="H22" s="389">
        <f t="shared" si="1"/>
        <v>5.6513569961469834E-2</v>
      </c>
      <c r="I22" s="389">
        <f t="shared" si="1"/>
        <v>5.2552039257202414E-2</v>
      </c>
      <c r="J22" s="390">
        <f t="shared" si="1"/>
        <v>7.6838509184968345E-2</v>
      </c>
      <c r="K22" s="78"/>
      <c r="L22" s="15"/>
      <c r="M22" s="15"/>
    </row>
    <row r="23" spans="1:13" ht="15.75" x14ac:dyDescent="0.25">
      <c r="A23" s="15"/>
      <c r="B23" s="86"/>
      <c r="C23" s="38" t="s">
        <v>388</v>
      </c>
      <c r="D23" s="78">
        <f>DeprAdj!J44</f>
        <v>138218.14285714287</v>
      </c>
      <c r="E23" s="78"/>
      <c r="F23" s="78"/>
      <c r="G23" s="78"/>
      <c r="H23" s="78"/>
      <c r="I23" s="78"/>
      <c r="J23" s="87"/>
      <c r="K23" s="78"/>
      <c r="L23" s="15"/>
      <c r="M23" s="15"/>
    </row>
    <row r="24" spans="1:13" ht="15.75" x14ac:dyDescent="0.25">
      <c r="A24" s="15"/>
      <c r="B24" s="86"/>
      <c r="C24" s="38" t="s">
        <v>389</v>
      </c>
      <c r="D24" s="78">
        <f>DeprAdj!J50</f>
        <v>7103.84</v>
      </c>
      <c r="E24" s="78"/>
      <c r="F24" s="78"/>
      <c r="G24" s="78"/>
      <c r="H24" s="78"/>
      <c r="I24" s="78"/>
      <c r="J24" s="87"/>
      <c r="K24" s="78"/>
      <c r="L24" s="15"/>
      <c r="M24" s="15"/>
    </row>
    <row r="25" spans="1:13" ht="15.75" x14ac:dyDescent="0.25">
      <c r="A25" s="15"/>
      <c r="B25" s="86"/>
      <c r="C25" s="38" t="s">
        <v>390</v>
      </c>
      <c r="D25" s="78">
        <f>DeprAdj!J53</f>
        <v>298</v>
      </c>
      <c r="E25" s="78"/>
      <c r="F25" s="78"/>
      <c r="G25" s="78"/>
      <c r="H25" s="78"/>
      <c r="I25" s="78"/>
      <c r="J25" s="87"/>
      <c r="K25" s="78"/>
      <c r="L25" s="15"/>
      <c r="M25" s="15"/>
    </row>
    <row r="26" spans="1:13" ht="15.75" x14ac:dyDescent="0.25">
      <c r="A26" s="15"/>
      <c r="B26" s="86"/>
      <c r="C26" s="38" t="s">
        <v>454</v>
      </c>
      <c r="D26" s="78">
        <f>DeprAdj!J56</f>
        <v>32667.200000000001</v>
      </c>
      <c r="E26" s="78"/>
      <c r="F26" s="78"/>
      <c r="G26" s="78"/>
      <c r="H26" s="78"/>
      <c r="I26" s="78"/>
      <c r="J26" s="87"/>
      <c r="K26" s="78"/>
      <c r="L26" s="15"/>
      <c r="M26" s="15"/>
    </row>
    <row r="27" spans="1:13" ht="15.75" x14ac:dyDescent="0.25">
      <c r="A27" s="15"/>
      <c r="B27" s="86"/>
      <c r="C27" s="38" t="s">
        <v>455</v>
      </c>
      <c r="D27" s="78">
        <f>DeprAdj!J59</f>
        <v>95.142857142857139</v>
      </c>
      <c r="E27" s="78"/>
      <c r="F27" s="78"/>
      <c r="G27" s="78"/>
      <c r="H27" s="78"/>
      <c r="I27" s="78"/>
      <c r="J27" s="87"/>
      <c r="K27" s="78"/>
      <c r="L27" s="15"/>
      <c r="M27" s="15"/>
    </row>
    <row r="28" spans="1:13" ht="15.75" x14ac:dyDescent="0.25">
      <c r="A28" s="15"/>
      <c r="B28" s="86"/>
      <c r="C28" s="436" t="s">
        <v>373</v>
      </c>
      <c r="D28" s="78">
        <f>SUM(D23:D27)</f>
        <v>178382.32571428575</v>
      </c>
      <c r="E28" s="78"/>
      <c r="F28" s="78"/>
      <c r="G28" s="78"/>
      <c r="H28" s="78"/>
      <c r="I28" s="78"/>
      <c r="J28" s="87"/>
      <c r="K28" s="78"/>
      <c r="L28" s="15"/>
      <c r="M28" s="15"/>
    </row>
    <row r="29" spans="1:13" ht="15.75" x14ac:dyDescent="0.25">
      <c r="A29" s="15"/>
      <c r="B29" s="86"/>
      <c r="C29" s="435" t="s">
        <v>374</v>
      </c>
      <c r="D29" s="78"/>
      <c r="E29" s="78">
        <f t="shared" ref="E29:J29" si="2">$D$28*E22</f>
        <v>5222.1378457078781</v>
      </c>
      <c r="F29" s="78">
        <f t="shared" si="2"/>
        <v>95027.297246464776</v>
      </c>
      <c r="G29" s="78">
        <f t="shared" si="2"/>
        <v>44970.881621407774</v>
      </c>
      <c r="H29" s="78">
        <f t="shared" si="2"/>
        <v>10081.022044143987</v>
      </c>
      <c r="I29" s="78">
        <f t="shared" si="2"/>
        <v>9374.3549837282117</v>
      </c>
      <c r="J29" s="87">
        <f t="shared" si="2"/>
        <v>13706.63197283316</v>
      </c>
      <c r="K29" s="78"/>
      <c r="L29" s="15">
        <f>SUM(E29:J29)</f>
        <v>178382.32571428578</v>
      </c>
      <c r="M29" s="15"/>
    </row>
    <row r="30" spans="1:13" ht="15.75" x14ac:dyDescent="0.25">
      <c r="A30" s="15"/>
      <c r="B30" s="86"/>
      <c r="C30" s="435"/>
      <c r="D30" s="78"/>
      <c r="E30" s="78"/>
      <c r="F30" s="78"/>
      <c r="G30" s="78"/>
      <c r="H30" s="78"/>
      <c r="I30" s="78"/>
      <c r="J30" s="87"/>
      <c r="K30" s="78"/>
      <c r="L30" s="15"/>
      <c r="M30" s="15"/>
    </row>
    <row r="31" spans="1:13" ht="15.75" x14ac:dyDescent="0.25">
      <c r="A31" s="15"/>
      <c r="B31" s="86"/>
      <c r="C31" s="216" t="s">
        <v>375</v>
      </c>
      <c r="D31" s="216">
        <f>D21+D28</f>
        <v>985752.6229523808</v>
      </c>
      <c r="E31" s="216">
        <f t="shared" ref="E31:J31" si="3">E21+E29</f>
        <v>28857.881845707878</v>
      </c>
      <c r="F31" s="216">
        <f t="shared" si="3"/>
        <v>525127.17915122665</v>
      </c>
      <c r="G31" s="216">
        <f t="shared" si="3"/>
        <v>248512.08962140779</v>
      </c>
      <c r="H31" s="216">
        <f t="shared" si="3"/>
        <v>55708.399821921768</v>
      </c>
      <c r="I31" s="216">
        <f t="shared" si="3"/>
        <v>51803.310539283768</v>
      </c>
      <c r="J31" s="391">
        <f t="shared" si="3"/>
        <v>75743.761972833163</v>
      </c>
      <c r="K31" s="78"/>
      <c r="L31" s="15">
        <f>SUM(E31:J31)</f>
        <v>985752.62295238103</v>
      </c>
      <c r="M31" s="15"/>
    </row>
    <row r="32" spans="1:13" ht="15.75" x14ac:dyDescent="0.25">
      <c r="A32" s="15"/>
      <c r="B32" s="88"/>
      <c r="C32" s="17"/>
      <c r="D32" s="17"/>
      <c r="E32" s="17"/>
      <c r="F32" s="17"/>
      <c r="G32" s="17"/>
      <c r="H32" s="17"/>
      <c r="I32" s="17"/>
      <c r="J32" s="89"/>
      <c r="K32" s="78"/>
      <c r="L32" s="15"/>
      <c r="M32" s="15"/>
    </row>
    <row r="33" spans="1:13" ht="15.75" x14ac:dyDescent="0.25">
      <c r="A33" s="15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15"/>
      <c r="M33" s="15"/>
    </row>
    <row r="34" spans="1:13" ht="15.75" x14ac:dyDescent="0.25">
      <c r="A34" s="15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15">
        <f>SUM(E34:J34)</f>
        <v>0</v>
      </c>
      <c r="M34" s="15"/>
    </row>
    <row r="35" spans="1:13" ht="15.75" x14ac:dyDescent="0.25">
      <c r="A35" s="15"/>
      <c r="B35" s="15"/>
      <c r="D35" s="38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.75" x14ac:dyDescent="0.25">
      <c r="D36" s="38"/>
    </row>
    <row r="37" spans="1:13" ht="15.75" x14ac:dyDescent="0.25">
      <c r="D37" s="38"/>
    </row>
    <row r="38" spans="1:13" ht="15.75" x14ac:dyDescent="0.25">
      <c r="D38" s="38"/>
    </row>
    <row r="39" spans="1:13" ht="15.75" x14ac:dyDescent="0.25">
      <c r="D39" s="38"/>
    </row>
    <row r="40" spans="1:13" ht="15.75" x14ac:dyDescent="0.25">
      <c r="D40" s="38"/>
    </row>
    <row r="41" spans="1:13" ht="15.75" x14ac:dyDescent="0.25">
      <c r="D41" s="38"/>
    </row>
    <row r="42" spans="1:13" ht="15.75" x14ac:dyDescent="0.25">
      <c r="D42" s="38"/>
    </row>
    <row r="43" spans="1:13" ht="15.75" x14ac:dyDescent="0.25">
      <c r="D43" s="38"/>
    </row>
    <row r="44" spans="1:13" ht="15.75" x14ac:dyDescent="0.25">
      <c r="D44" s="38"/>
    </row>
    <row r="45" spans="1:13" ht="15.75" x14ac:dyDescent="0.25">
      <c r="D45" s="38"/>
    </row>
    <row r="46" spans="1:13" ht="15.75" x14ac:dyDescent="0.25">
      <c r="D46" s="38"/>
    </row>
  </sheetData>
  <mergeCells count="2">
    <mergeCell ref="C2:J2"/>
    <mergeCell ref="C4:J4"/>
  </mergeCells>
  <pageMargins left="0.7" right="0.45" top="1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E34B-6EB4-45F1-86CE-FD11B332E570}">
  <sheetPr>
    <pageSetUpPr fitToPage="1"/>
  </sheetPr>
  <dimension ref="A1:O89"/>
  <sheetViews>
    <sheetView workbookViewId="0">
      <selection activeCell="A2" sqref="A2"/>
    </sheetView>
  </sheetViews>
  <sheetFormatPr defaultRowHeight="15" x14ac:dyDescent="0.2"/>
  <cols>
    <col min="1" max="1" width="5.109375" customWidth="1"/>
    <col min="2" max="2" width="1.109375" customWidth="1"/>
    <col min="3" max="3" width="22.109375" customWidth="1"/>
    <col min="4" max="4" width="10.6640625" customWidth="1"/>
    <col min="5" max="5" width="8.6640625" customWidth="1"/>
    <col min="6" max="7" width="9.109375" customWidth="1"/>
    <col min="8" max="8" width="8.21875" customWidth="1"/>
    <col min="9" max="9" width="9.21875" customWidth="1"/>
    <col min="10" max="10" width="8.33203125" customWidth="1"/>
    <col min="11" max="11" width="1.33203125" customWidth="1"/>
    <col min="13" max="13" width="11" bestFit="1" customWidth="1"/>
  </cols>
  <sheetData>
    <row r="1" spans="1:13" ht="8.1" customHeight="1" x14ac:dyDescent="0.25">
      <c r="A1" s="45"/>
      <c r="B1" s="45"/>
      <c r="C1" s="335"/>
      <c r="D1" s="335"/>
      <c r="E1" s="335"/>
      <c r="F1" s="335"/>
      <c r="G1" s="335"/>
      <c r="H1" s="335"/>
      <c r="I1" s="335"/>
      <c r="J1" s="335"/>
      <c r="K1" s="336"/>
      <c r="L1" s="1"/>
      <c r="M1" s="1"/>
    </row>
    <row r="2" spans="1:13" ht="18.75" x14ac:dyDescent="0.3">
      <c r="A2" s="49"/>
      <c r="B2" s="49"/>
      <c r="C2" s="599" t="s">
        <v>376</v>
      </c>
      <c r="D2" s="599"/>
      <c r="E2" s="599"/>
      <c r="F2" s="599"/>
      <c r="G2" s="599"/>
      <c r="H2" s="599"/>
      <c r="I2" s="599"/>
      <c r="J2" s="599"/>
      <c r="K2" s="393"/>
      <c r="L2" s="1"/>
      <c r="M2" s="1"/>
    </row>
    <row r="3" spans="1:13" ht="18.75" x14ac:dyDescent="0.3">
      <c r="A3" s="49"/>
      <c r="B3" s="49"/>
      <c r="C3" s="431" t="s">
        <v>377</v>
      </c>
      <c r="D3" s="432"/>
      <c r="E3" s="432"/>
      <c r="F3" s="432"/>
      <c r="G3" s="432"/>
      <c r="H3" s="432"/>
      <c r="I3" s="432"/>
      <c r="J3" s="432"/>
      <c r="K3" s="393"/>
      <c r="L3" s="1"/>
      <c r="M3" s="1"/>
    </row>
    <row r="4" spans="1:13" ht="15.75" x14ac:dyDescent="0.25">
      <c r="A4" s="49"/>
      <c r="B4" s="49"/>
      <c r="C4" s="595" t="s">
        <v>167</v>
      </c>
      <c r="D4" s="595"/>
      <c r="E4" s="595"/>
      <c r="F4" s="595"/>
      <c r="G4" s="595"/>
      <c r="H4" s="595"/>
      <c r="I4" s="595"/>
      <c r="J4" s="595"/>
      <c r="K4" s="601"/>
      <c r="L4" s="1"/>
      <c r="M4" s="1"/>
    </row>
    <row r="5" spans="1:13" ht="8.1" customHeight="1" x14ac:dyDescent="0.25">
      <c r="A5" s="49"/>
      <c r="B5" s="55"/>
      <c r="C5" s="34"/>
      <c r="D5" s="34"/>
      <c r="E5" s="34"/>
      <c r="F5" s="34"/>
      <c r="G5" s="34"/>
      <c r="H5" s="34"/>
      <c r="I5" s="34"/>
      <c r="J5" s="34"/>
      <c r="K5" s="400"/>
      <c r="L5" s="1"/>
      <c r="M5" s="1"/>
    </row>
    <row r="6" spans="1:13" ht="15.75" x14ac:dyDescent="0.25">
      <c r="A6" s="49"/>
      <c r="B6" s="49"/>
      <c r="C6" s="48"/>
      <c r="D6" s="48"/>
      <c r="E6" s="48"/>
      <c r="F6" s="48"/>
      <c r="G6" s="48"/>
      <c r="H6" s="48"/>
      <c r="I6" s="48"/>
      <c r="J6" s="48"/>
      <c r="K6" s="393"/>
      <c r="L6" s="1"/>
      <c r="M6" s="1"/>
    </row>
    <row r="7" spans="1:13" ht="15.75" x14ac:dyDescent="0.25">
      <c r="A7" s="49"/>
      <c r="B7" s="49"/>
      <c r="C7" s="48"/>
      <c r="D7" s="52" t="s">
        <v>378</v>
      </c>
      <c r="E7" s="52"/>
      <c r="F7" s="434" t="s">
        <v>236</v>
      </c>
      <c r="G7" s="434" t="s">
        <v>363</v>
      </c>
      <c r="H7" s="434" t="s">
        <v>364</v>
      </c>
      <c r="I7" s="434" t="s">
        <v>365</v>
      </c>
      <c r="J7" s="434"/>
      <c r="K7" s="393"/>
      <c r="L7" s="1"/>
      <c r="M7" s="1"/>
    </row>
    <row r="8" spans="1:13" ht="18" x14ac:dyDescent="0.4">
      <c r="A8" s="49"/>
      <c r="B8" s="49"/>
      <c r="C8" s="48"/>
      <c r="D8" s="434" t="s">
        <v>379</v>
      </c>
      <c r="E8" s="441" t="s">
        <v>366</v>
      </c>
      <c r="F8" s="434" t="s">
        <v>380</v>
      </c>
      <c r="G8" s="434" t="s">
        <v>367</v>
      </c>
      <c r="H8" s="434" t="s">
        <v>368</v>
      </c>
      <c r="I8" s="434" t="s">
        <v>369</v>
      </c>
      <c r="J8" s="434" t="s">
        <v>370</v>
      </c>
      <c r="K8" s="393"/>
      <c r="L8" s="1"/>
      <c r="M8" s="1"/>
    </row>
    <row r="9" spans="1:13" ht="15.75" x14ac:dyDescent="0.25">
      <c r="A9" s="49"/>
      <c r="B9" s="49"/>
      <c r="C9" s="48"/>
      <c r="D9" s="48"/>
      <c r="E9" s="48"/>
      <c r="F9" s="48"/>
      <c r="G9" s="48"/>
      <c r="H9" s="48"/>
      <c r="I9" s="48"/>
      <c r="J9" s="48"/>
      <c r="K9" s="393"/>
      <c r="L9" s="1"/>
      <c r="M9" s="1"/>
    </row>
    <row r="10" spans="1:13" ht="15.75" x14ac:dyDescent="0.25">
      <c r="A10" s="49"/>
      <c r="B10" s="49"/>
      <c r="C10" s="351" t="s">
        <v>456</v>
      </c>
      <c r="D10" s="394">
        <v>21836</v>
      </c>
      <c r="E10" s="48"/>
      <c r="F10" s="48"/>
      <c r="G10" s="48"/>
      <c r="H10" s="48"/>
      <c r="I10" s="78">
        <f>D10</f>
        <v>21836</v>
      </c>
      <c r="J10" s="48"/>
      <c r="K10" s="393"/>
      <c r="L10" s="1"/>
      <c r="M10" s="1"/>
    </row>
    <row r="11" spans="1:13" ht="15.75" x14ac:dyDescent="0.25">
      <c r="A11" s="49"/>
      <c r="B11" s="49"/>
      <c r="C11" s="351" t="s">
        <v>381</v>
      </c>
      <c r="D11" s="350">
        <f>4392549-51508</f>
        <v>4341041</v>
      </c>
      <c r="E11" s="103">
        <v>3391739</v>
      </c>
      <c r="F11" s="78">
        <f>592359+138876</f>
        <v>731235</v>
      </c>
      <c r="G11" s="78"/>
      <c r="H11" s="78">
        <f>30000+89640+98427</f>
        <v>218067</v>
      </c>
      <c r="I11" s="78"/>
      <c r="J11" s="351"/>
      <c r="K11" s="395"/>
      <c r="L11" s="1"/>
      <c r="M11" s="79">
        <f>SUM(E11:J11)</f>
        <v>4341041</v>
      </c>
    </row>
    <row r="12" spans="1:13" ht="15.75" x14ac:dyDescent="0.25">
      <c r="A12" s="49"/>
      <c r="B12" s="49"/>
      <c r="C12" s="443" t="str">
        <f>Al_DeprW!C10</f>
        <v>Structures &amp; Improvements</v>
      </c>
      <c r="D12" s="350">
        <f>11963337-37029</f>
        <v>11926308</v>
      </c>
      <c r="E12" s="350">
        <f>(24/307)*D12</f>
        <v>932349.81107491849</v>
      </c>
      <c r="F12" s="78">
        <f>(250/307)*D12</f>
        <v>9711977.1986970697</v>
      </c>
      <c r="G12" s="78"/>
      <c r="H12" s="78"/>
      <c r="I12" s="78">
        <f>D12-E12-F12</f>
        <v>1281980.9902280122</v>
      </c>
      <c r="J12" s="350"/>
      <c r="K12" s="393"/>
      <c r="L12" s="1"/>
      <c r="M12" s="1"/>
    </row>
    <row r="13" spans="1:13" ht="15.75" x14ac:dyDescent="0.25">
      <c r="A13" s="49"/>
      <c r="B13" s="49"/>
      <c r="C13" s="443" t="s">
        <v>457</v>
      </c>
      <c r="D13" s="350">
        <v>30880</v>
      </c>
      <c r="E13" s="350">
        <f>D13</f>
        <v>30880</v>
      </c>
      <c r="F13" s="78"/>
      <c r="G13" s="78"/>
      <c r="H13" s="78"/>
      <c r="I13" s="78"/>
      <c r="J13" s="350"/>
      <c r="K13" s="393"/>
      <c r="L13" s="1"/>
      <c r="M13" s="1"/>
    </row>
    <row r="14" spans="1:13" ht="15.75" x14ac:dyDescent="0.25">
      <c r="A14" s="49"/>
      <c r="B14" s="49"/>
      <c r="C14" s="443" t="str">
        <f>Al_DeprW!C11</f>
        <v>Supply Mains</v>
      </c>
      <c r="D14" s="350">
        <v>4484</v>
      </c>
      <c r="E14" s="350">
        <f>D14</f>
        <v>4484</v>
      </c>
      <c r="F14" s="350"/>
      <c r="G14" s="350"/>
      <c r="H14" s="350"/>
      <c r="I14" s="350"/>
      <c r="J14" s="350"/>
      <c r="K14" s="393"/>
      <c r="L14" s="1"/>
      <c r="M14" s="1"/>
    </row>
    <row r="15" spans="1:13" ht="15.75" x14ac:dyDescent="0.25">
      <c r="A15" s="49"/>
      <c r="B15" s="49"/>
      <c r="C15" s="443" t="str">
        <f>Al_DeprW!C12</f>
        <v>Pumping Equipment</v>
      </c>
      <c r="D15" s="350">
        <f>18178+857161</f>
        <v>875339</v>
      </c>
      <c r="E15" s="350"/>
      <c r="F15" s="350">
        <v>18178</v>
      </c>
      <c r="G15" s="350">
        <f>D15-F15</f>
        <v>857161</v>
      </c>
      <c r="H15" s="350"/>
      <c r="I15" s="350"/>
      <c r="J15" s="350"/>
      <c r="K15" s="393"/>
      <c r="L15" s="1"/>
      <c r="M15" s="1"/>
    </row>
    <row r="16" spans="1:13" ht="15.75" x14ac:dyDescent="0.25">
      <c r="A16" s="49"/>
      <c r="B16" s="49"/>
      <c r="C16" s="443" t="str">
        <f>Al_DeprW!C13</f>
        <v>Water Treatment Equipment</v>
      </c>
      <c r="D16" s="350">
        <v>6852277</v>
      </c>
      <c r="E16" s="350"/>
      <c r="F16" s="350">
        <f>D16</f>
        <v>6852277</v>
      </c>
      <c r="G16" s="350"/>
      <c r="H16" s="350"/>
      <c r="I16" s="350"/>
      <c r="J16" s="350"/>
      <c r="K16" s="393"/>
      <c r="L16" s="1"/>
      <c r="M16" s="1"/>
    </row>
    <row r="17" spans="1:13" ht="15.75" x14ac:dyDescent="0.25">
      <c r="A17" s="49"/>
      <c r="B17" s="49"/>
      <c r="C17" s="443" t="str">
        <f>Al_DeprW!C14</f>
        <v>Dist. Reservoirs &amp; Standpipes</v>
      </c>
      <c r="D17" s="350">
        <v>2053232</v>
      </c>
      <c r="E17" s="350"/>
      <c r="F17" s="350"/>
      <c r="G17" s="350"/>
      <c r="H17" s="350">
        <f>D17</f>
        <v>2053232</v>
      </c>
      <c r="I17" s="350"/>
      <c r="J17" s="350"/>
      <c r="K17" s="393"/>
      <c r="L17" s="1"/>
      <c r="M17" s="1"/>
    </row>
    <row r="18" spans="1:13" ht="15.75" x14ac:dyDescent="0.25">
      <c r="A18" s="49"/>
      <c r="B18" s="49"/>
      <c r="C18" s="443" t="str">
        <f>Al_DeprW!C15</f>
        <v>Transmission &amp; Dist. Mains</v>
      </c>
      <c r="D18" s="350">
        <v>11073879</v>
      </c>
      <c r="E18" s="350"/>
      <c r="F18" s="350"/>
      <c r="G18" s="350">
        <f>D18</f>
        <v>11073879</v>
      </c>
      <c r="H18" s="350"/>
      <c r="I18" s="350"/>
      <c r="J18" s="350"/>
      <c r="K18" s="393"/>
      <c r="L18" s="1"/>
      <c r="M18" s="1"/>
    </row>
    <row r="19" spans="1:13" ht="15.75" x14ac:dyDescent="0.25">
      <c r="A19" s="49"/>
      <c r="B19" s="49"/>
      <c r="C19" s="443" t="str">
        <f>Al_DeprW!C16</f>
        <v>Services</v>
      </c>
      <c r="D19" s="350">
        <v>1805583</v>
      </c>
      <c r="E19" s="350"/>
      <c r="F19" s="350"/>
      <c r="G19" s="350"/>
      <c r="H19" s="350"/>
      <c r="I19" s="350"/>
      <c r="J19" s="350">
        <f>D19</f>
        <v>1805583</v>
      </c>
      <c r="K19" s="393"/>
      <c r="L19" s="1"/>
      <c r="M19" s="1"/>
    </row>
    <row r="20" spans="1:13" ht="15.75" x14ac:dyDescent="0.25">
      <c r="A20" s="49"/>
      <c r="B20" s="49"/>
      <c r="C20" s="443" t="str">
        <f>Al_DeprW!C17</f>
        <v>Meters &amp; Meter Installations</v>
      </c>
      <c r="D20" s="350">
        <v>1496684</v>
      </c>
      <c r="E20" s="350"/>
      <c r="F20" s="350"/>
      <c r="G20" s="350"/>
      <c r="H20" s="350"/>
      <c r="I20" s="350"/>
      <c r="J20" s="350">
        <f>D20</f>
        <v>1496684</v>
      </c>
      <c r="K20" s="393"/>
      <c r="L20" s="1"/>
      <c r="M20" s="1"/>
    </row>
    <row r="21" spans="1:13" ht="15.75" x14ac:dyDescent="0.25">
      <c r="A21" s="49"/>
      <c r="B21" s="49"/>
      <c r="C21" s="443" t="str">
        <f>Al_DeprW!C18</f>
        <v>Hydrants</v>
      </c>
      <c r="D21" s="350">
        <v>203856</v>
      </c>
      <c r="E21" s="350"/>
      <c r="F21" s="350"/>
      <c r="G21" s="350"/>
      <c r="H21" s="350"/>
      <c r="I21" s="350"/>
      <c r="J21" s="350">
        <f>D21</f>
        <v>203856</v>
      </c>
      <c r="K21" s="393"/>
      <c r="L21" s="1"/>
      <c r="M21" s="1"/>
    </row>
    <row r="22" spans="1:13" ht="15.75" x14ac:dyDescent="0.25">
      <c r="A22" s="49"/>
      <c r="B22" s="49"/>
      <c r="C22" s="443" t="s">
        <v>458</v>
      </c>
      <c r="D22" s="350">
        <v>21732</v>
      </c>
      <c r="E22" s="350">
        <f>D22</f>
        <v>21732</v>
      </c>
      <c r="F22" s="350"/>
      <c r="G22" s="350"/>
      <c r="H22" s="350"/>
      <c r="I22" s="350"/>
      <c r="J22" s="350"/>
      <c r="K22" s="393"/>
      <c r="L22" s="1"/>
      <c r="M22" s="1"/>
    </row>
    <row r="23" spans="1:13" ht="15.75" x14ac:dyDescent="0.25">
      <c r="A23" s="49"/>
      <c r="B23" s="49"/>
      <c r="C23" s="443" t="str">
        <f>Al_DeprW!C19</f>
        <v>Office Furniture &amp; Equipment</v>
      </c>
      <c r="D23" s="350">
        <v>410984</v>
      </c>
      <c r="E23" s="350"/>
      <c r="F23" s="350"/>
      <c r="G23" s="350"/>
      <c r="H23" s="350"/>
      <c r="I23" s="350">
        <f>D23</f>
        <v>410984</v>
      </c>
      <c r="J23" s="350"/>
      <c r="K23" s="393"/>
      <c r="L23" s="1"/>
      <c r="M23" s="1"/>
    </row>
    <row r="24" spans="1:13" ht="15.75" x14ac:dyDescent="0.25">
      <c r="A24" s="49"/>
      <c r="B24" s="49"/>
      <c r="C24" s="443" t="str">
        <f>Al_DeprW!C20</f>
        <v>Lab Equipment</v>
      </c>
      <c r="D24" s="350">
        <v>41728</v>
      </c>
      <c r="E24" s="350"/>
      <c r="F24" s="350">
        <f>D24</f>
        <v>41728</v>
      </c>
      <c r="G24" s="350"/>
      <c r="H24" s="350"/>
      <c r="I24" s="350"/>
      <c r="J24" s="350"/>
      <c r="K24" s="393"/>
      <c r="L24" s="1"/>
      <c r="M24" s="1"/>
    </row>
    <row r="25" spans="1:13" ht="15.75" x14ac:dyDescent="0.25">
      <c r="A25" s="49"/>
      <c r="B25" s="49"/>
      <c r="C25" s="444" t="s">
        <v>371</v>
      </c>
      <c r="D25" s="394">
        <f>SUM(D10:D24)</f>
        <v>41159843</v>
      </c>
      <c r="E25" s="103">
        <f t="shared" ref="E25:J25" si="0">SUM(E10:E24)</f>
        <v>4381184.8110749181</v>
      </c>
      <c r="F25" s="103">
        <f t="shared" si="0"/>
        <v>17355395.198697068</v>
      </c>
      <c r="G25" s="103">
        <f t="shared" si="0"/>
        <v>11931040</v>
      </c>
      <c r="H25" s="103">
        <f t="shared" si="0"/>
        <v>2271299</v>
      </c>
      <c r="I25" s="103">
        <f t="shared" si="0"/>
        <v>1714800.9902280122</v>
      </c>
      <c r="J25" s="103">
        <f t="shared" si="0"/>
        <v>3506123</v>
      </c>
      <c r="K25" s="393"/>
      <c r="L25" s="1"/>
      <c r="M25" s="79">
        <f>SUM(E25:J25)</f>
        <v>41159843</v>
      </c>
    </row>
    <row r="26" spans="1:13" ht="15.75" x14ac:dyDescent="0.25">
      <c r="A26" s="49"/>
      <c r="B26" s="49"/>
      <c r="C26" s="444" t="s">
        <v>372</v>
      </c>
      <c r="D26" s="350"/>
      <c r="E26" s="396">
        <f t="shared" ref="E26:J26" si="1">E25/$D$25</f>
        <v>0.10644318568161006</v>
      </c>
      <c r="F26" s="396">
        <f t="shared" si="1"/>
        <v>0.42165844021069437</v>
      </c>
      <c r="G26" s="396">
        <f t="shared" si="1"/>
        <v>0.28987088216055634</v>
      </c>
      <c r="H26" s="396">
        <f t="shared" si="1"/>
        <v>5.5182401934817875E-2</v>
      </c>
      <c r="I26" s="396">
        <f t="shared" si="1"/>
        <v>4.1661990552976896E-2</v>
      </c>
      <c r="J26" s="396">
        <f t="shared" si="1"/>
        <v>8.5183099459344394E-2</v>
      </c>
      <c r="K26" s="393"/>
      <c r="L26" s="1"/>
      <c r="M26" s="397">
        <f>SUM(E26:J26)</f>
        <v>1</v>
      </c>
    </row>
    <row r="27" spans="1:13" ht="15.75" x14ac:dyDescent="0.25">
      <c r="A27" s="49"/>
      <c r="B27" s="49"/>
      <c r="C27" s="443" t="str">
        <f>Al_DeprW!C23</f>
        <v>Transportation Equipment</v>
      </c>
      <c r="D27" s="350">
        <v>1405169</v>
      </c>
      <c r="E27" s="350"/>
      <c r="F27" s="350"/>
      <c r="G27" s="350"/>
      <c r="H27" s="350"/>
      <c r="I27" s="350"/>
      <c r="J27" s="350"/>
      <c r="K27" s="393"/>
      <c r="L27" s="1"/>
      <c r="M27" s="1"/>
    </row>
    <row r="28" spans="1:13" ht="15.75" x14ac:dyDescent="0.25">
      <c r="A28" s="49"/>
      <c r="B28" s="49"/>
      <c r="C28" s="443" t="str">
        <f>Al_DeprW!C24</f>
        <v>Power Operated Equipment</v>
      </c>
      <c r="D28" s="350">
        <v>497623</v>
      </c>
      <c r="E28" s="350"/>
      <c r="F28" s="350"/>
      <c r="G28" s="350"/>
      <c r="H28" s="350"/>
      <c r="I28" s="350"/>
      <c r="J28" s="350"/>
      <c r="K28" s="393"/>
      <c r="L28" s="1"/>
      <c r="M28" s="1"/>
    </row>
    <row r="29" spans="1:13" ht="15.75" x14ac:dyDescent="0.25">
      <c r="A29" s="49"/>
      <c r="B29" s="49"/>
      <c r="C29" s="443" t="str">
        <f>Al_DeprW!C25</f>
        <v>Communication Equipment</v>
      </c>
      <c r="D29" s="350">
        <v>83342</v>
      </c>
      <c r="E29" s="350"/>
      <c r="F29" s="350"/>
      <c r="G29" s="350"/>
      <c r="H29" s="350"/>
      <c r="I29" s="350"/>
      <c r="J29" s="350"/>
      <c r="K29" s="393"/>
      <c r="L29" s="1"/>
      <c r="M29" s="1"/>
    </row>
    <row r="30" spans="1:13" ht="15.75" x14ac:dyDescent="0.25">
      <c r="A30" s="49"/>
      <c r="B30" s="49"/>
      <c r="C30" s="443" t="str">
        <f>Al_DeprW!C26</f>
        <v>Misc Equipment</v>
      </c>
      <c r="D30" s="350">
        <v>326672</v>
      </c>
      <c r="E30" s="350"/>
      <c r="F30" s="350"/>
      <c r="G30" s="350"/>
      <c r="H30" s="350"/>
      <c r="I30" s="350"/>
      <c r="J30" s="350"/>
      <c r="K30" s="393"/>
      <c r="L30" s="1"/>
      <c r="M30" s="1"/>
    </row>
    <row r="31" spans="1:13" ht="15.75" x14ac:dyDescent="0.25">
      <c r="A31" s="49"/>
      <c r="B31" s="49"/>
      <c r="C31" s="443" t="str">
        <f>Al_DeprW!C27</f>
        <v>Other Tangible Equipment</v>
      </c>
      <c r="D31" s="350">
        <v>162931</v>
      </c>
      <c r="E31" s="350"/>
      <c r="F31" s="350"/>
      <c r="G31" s="350"/>
      <c r="H31" s="350"/>
      <c r="I31" s="350"/>
      <c r="J31" s="350"/>
      <c r="K31" s="393"/>
      <c r="L31" s="1"/>
      <c r="M31" s="1"/>
    </row>
    <row r="32" spans="1:13" ht="15.75" x14ac:dyDescent="0.25">
      <c r="A32" s="49"/>
      <c r="B32" s="49"/>
      <c r="C32" s="444" t="s">
        <v>373</v>
      </c>
      <c r="D32" s="350">
        <f>SUM(D27:D31)</f>
        <v>2475737</v>
      </c>
      <c r="E32" s="350"/>
      <c r="F32" s="350"/>
      <c r="G32" s="350"/>
      <c r="H32" s="350"/>
      <c r="I32" s="350"/>
      <c r="J32" s="350"/>
      <c r="K32" s="393"/>
      <c r="L32" s="1"/>
      <c r="M32" s="1"/>
    </row>
    <row r="33" spans="1:15" ht="15.75" x14ac:dyDescent="0.25">
      <c r="A33" s="49"/>
      <c r="B33" s="49"/>
      <c r="C33" s="443" t="s">
        <v>374</v>
      </c>
      <c r="D33" s="350"/>
      <c r="E33" s="350">
        <f t="shared" ref="E33:J33" si="2">$D$32*E26</f>
        <v>263525.33318983222</v>
      </c>
      <c r="F33" s="350">
        <f t="shared" si="2"/>
        <v>1043915.4017919039</v>
      </c>
      <c r="G33" s="350">
        <f t="shared" si="2"/>
        <v>717644.06818752922</v>
      </c>
      <c r="H33" s="350">
        <f t="shared" si="2"/>
        <v>136617.11421890021</v>
      </c>
      <c r="I33" s="350">
        <f t="shared" si="2"/>
        <v>103144.13150565536</v>
      </c>
      <c r="J33" s="350">
        <f t="shared" si="2"/>
        <v>210890.95110617892</v>
      </c>
      <c r="K33" s="393"/>
      <c r="L33" s="1"/>
      <c r="M33" s="79">
        <f>SUM(E33:J33)</f>
        <v>2475736.9999999995</v>
      </c>
    </row>
    <row r="34" spans="1:15" ht="15.75" x14ac:dyDescent="0.25">
      <c r="A34" s="49"/>
      <c r="B34" s="49"/>
      <c r="C34" s="443"/>
      <c r="D34" s="398"/>
      <c r="E34" s="398"/>
      <c r="F34" s="398"/>
      <c r="G34" s="398"/>
      <c r="H34" s="398"/>
      <c r="I34" s="398"/>
      <c r="J34" s="398"/>
      <c r="K34" s="393"/>
      <c r="L34" s="1"/>
      <c r="M34" s="1"/>
    </row>
    <row r="35" spans="1:15" ht="15.75" x14ac:dyDescent="0.25">
      <c r="A35" s="49"/>
      <c r="B35" s="49"/>
      <c r="C35" s="445" t="s">
        <v>375</v>
      </c>
      <c r="D35" s="398">
        <f>D25+D32</f>
        <v>43635580</v>
      </c>
      <c r="E35" s="5">
        <f t="shared" ref="E35:J35" si="3">E33+E25</f>
        <v>4644710.1442647502</v>
      </c>
      <c r="F35" s="5">
        <f t="shared" si="3"/>
        <v>18399310.600488972</v>
      </c>
      <c r="G35" s="5">
        <f t="shared" si="3"/>
        <v>12648684.068187529</v>
      </c>
      <c r="H35" s="5">
        <f t="shared" si="3"/>
        <v>2407916.1142189</v>
      </c>
      <c r="I35" s="5">
        <f t="shared" si="3"/>
        <v>1817945.1217336676</v>
      </c>
      <c r="J35" s="5">
        <f t="shared" si="3"/>
        <v>3717013.951106179</v>
      </c>
      <c r="K35" s="393"/>
      <c r="L35" s="1"/>
      <c r="M35" s="79">
        <f>SUM(E35:J35)</f>
        <v>43635579.999999993</v>
      </c>
    </row>
    <row r="36" spans="1:15" ht="15.75" x14ac:dyDescent="0.25">
      <c r="A36" s="49"/>
      <c r="B36" s="49"/>
      <c r="C36" s="351" t="s">
        <v>391</v>
      </c>
      <c r="D36" s="48"/>
      <c r="E36" s="396">
        <f t="shared" ref="E36:J36" si="4">E35/$D$35</f>
        <v>0.10644318568161006</v>
      </c>
      <c r="F36" s="396">
        <f t="shared" si="4"/>
        <v>0.42165844021069437</v>
      </c>
      <c r="G36" s="396">
        <f t="shared" si="4"/>
        <v>0.28987088216055634</v>
      </c>
      <c r="H36" s="396">
        <f t="shared" si="4"/>
        <v>5.5182401934817868E-2</v>
      </c>
      <c r="I36" s="396">
        <f t="shared" si="4"/>
        <v>4.1661990552976896E-2</v>
      </c>
      <c r="J36" s="396">
        <f t="shared" si="4"/>
        <v>8.5183099459344394E-2</v>
      </c>
      <c r="K36" s="393"/>
      <c r="L36" s="1"/>
      <c r="M36" s="397">
        <f>SUM(E36:J36)</f>
        <v>1</v>
      </c>
    </row>
    <row r="37" spans="1:15" ht="15.75" x14ac:dyDescent="0.25">
      <c r="A37" s="49"/>
      <c r="B37" s="49"/>
      <c r="C37" s="351"/>
      <c r="D37" s="48"/>
      <c r="E37" s="48"/>
      <c r="F37" s="446"/>
      <c r="G37" s="446"/>
      <c r="H37" s="446"/>
      <c r="I37" s="446"/>
      <c r="J37" s="446"/>
      <c r="K37" s="393"/>
      <c r="L37" s="1"/>
      <c r="M37" s="1"/>
    </row>
    <row r="38" spans="1:15" ht="15.75" x14ac:dyDescent="0.25">
      <c r="A38" s="49"/>
      <c r="B38" s="49"/>
      <c r="C38" s="447" t="s">
        <v>567</v>
      </c>
      <c r="D38" s="217">
        <f>DSch!M22+DSch!M24</f>
        <v>1185774.7944000002</v>
      </c>
      <c r="E38" s="449">
        <f t="shared" ref="E38:J38" si="5">$D$38*E36</f>
        <v>126217.64661689222</v>
      </c>
      <c r="F38" s="449">
        <f t="shared" si="5"/>
        <v>499991.95024786092</v>
      </c>
      <c r="G38" s="449">
        <f t="shared" si="5"/>
        <v>343721.58569648041</v>
      </c>
      <c r="H38" s="449">
        <f t="shared" si="5"/>
        <v>65433.901308756831</v>
      </c>
      <c r="I38" s="449">
        <f t="shared" si="5"/>
        <v>49401.738282250932</v>
      </c>
      <c r="J38" s="449">
        <f t="shared" si="5"/>
        <v>101007.97224775887</v>
      </c>
      <c r="K38" s="393"/>
      <c r="L38" s="1"/>
      <c r="M38" s="79">
        <f>SUM(E38:J38)</f>
        <v>1185774.7944000002</v>
      </c>
    </row>
    <row r="39" spans="1:15" ht="15.75" x14ac:dyDescent="0.25">
      <c r="A39" s="1"/>
      <c r="B39" s="55"/>
      <c r="C39" s="450"/>
      <c r="D39" s="399"/>
      <c r="E39" s="399"/>
      <c r="F39" s="399"/>
      <c r="G39" s="399"/>
      <c r="H39" s="399"/>
      <c r="I39" s="399"/>
      <c r="J39" s="399"/>
      <c r="K39" s="400"/>
      <c r="L39" s="1"/>
      <c r="M39" s="1"/>
    </row>
    <row r="40" spans="1:15" ht="15.75" x14ac:dyDescent="0.25">
      <c r="B40" s="448"/>
      <c r="C40" s="5"/>
      <c r="D40" s="5"/>
      <c r="E40" s="5"/>
      <c r="F40" s="5"/>
      <c r="G40" s="5"/>
      <c r="H40" s="5"/>
      <c r="I40" s="5"/>
      <c r="J40" s="5"/>
      <c r="K40" s="5"/>
      <c r="L40" s="3"/>
      <c r="M40" s="3"/>
      <c r="N40" s="3"/>
      <c r="O40" s="3"/>
    </row>
    <row r="41" spans="1:15" ht="15.75" x14ac:dyDescent="0.25">
      <c r="B41" s="448"/>
      <c r="C41" s="5"/>
      <c r="D41" s="5"/>
      <c r="E41" s="5"/>
      <c r="F41" s="5"/>
      <c r="G41" s="5"/>
      <c r="H41" s="5"/>
      <c r="I41" s="5"/>
      <c r="J41" s="5"/>
      <c r="K41" s="5"/>
      <c r="L41" s="3"/>
      <c r="M41" s="3"/>
      <c r="N41" s="3"/>
      <c r="O41" s="3"/>
    </row>
    <row r="42" spans="1:15" ht="15.75" x14ac:dyDescent="0.25">
      <c r="B42" s="448"/>
      <c r="C42" s="5"/>
      <c r="D42" s="5"/>
      <c r="E42" s="5"/>
      <c r="F42" s="5"/>
      <c r="G42" s="5"/>
      <c r="H42" s="5"/>
      <c r="I42" s="5"/>
      <c r="J42" s="5"/>
      <c r="K42" s="5"/>
      <c r="L42" s="3"/>
      <c r="M42" s="3"/>
      <c r="N42" s="3"/>
      <c r="O42" s="3"/>
    </row>
    <row r="43" spans="1:15" ht="18" x14ac:dyDescent="0.4">
      <c r="B43" s="448"/>
      <c r="C43" s="5"/>
      <c r="E43" s="452" t="s">
        <v>235</v>
      </c>
      <c r="F43" s="5"/>
      <c r="G43" s="5"/>
      <c r="H43" s="5"/>
      <c r="I43" s="5"/>
      <c r="J43" s="5"/>
      <c r="K43" s="5"/>
      <c r="L43" s="3"/>
      <c r="M43" s="3"/>
      <c r="N43" s="3"/>
      <c r="O43" s="3"/>
    </row>
    <row r="44" spans="1:15" ht="15.75" x14ac:dyDescent="0.25">
      <c r="C44" s="451" t="s">
        <v>378</v>
      </c>
      <c r="D44" s="3">
        <v>54700319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C45" s="73"/>
      <c r="D45" s="3"/>
      <c r="E45" s="3">
        <v>51508</v>
      </c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x14ac:dyDescent="0.25">
      <c r="C46" s="73"/>
      <c r="D46" s="3"/>
      <c r="E46" s="3">
        <v>37029</v>
      </c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x14ac:dyDescent="0.25">
      <c r="C47" s="73"/>
      <c r="D47" s="3"/>
      <c r="E47" s="3">
        <v>4948124</v>
      </c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x14ac:dyDescent="0.25">
      <c r="C48" s="73"/>
      <c r="D48" s="3"/>
      <c r="E48" s="3">
        <v>222709</v>
      </c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3:15" ht="15.75" x14ac:dyDescent="0.25">
      <c r="C49" s="73"/>
      <c r="D49" s="3"/>
      <c r="E49" s="3">
        <v>3606776</v>
      </c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3:15" ht="15.75" x14ac:dyDescent="0.25">
      <c r="C50" s="73"/>
      <c r="D50" s="3"/>
      <c r="E50" s="3">
        <v>196418</v>
      </c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3:15" ht="15.75" x14ac:dyDescent="0.25">
      <c r="C51" s="73"/>
      <c r="D51" s="3"/>
      <c r="E51" s="3">
        <v>1781126</v>
      </c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3:15" ht="15.75" x14ac:dyDescent="0.25">
      <c r="C52" s="73"/>
      <c r="D52" s="3"/>
      <c r="E52" s="3">
        <v>15169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3:15" ht="15.75" x14ac:dyDescent="0.25">
      <c r="C53" s="73"/>
      <c r="D53" s="3"/>
      <c r="E53" s="3">
        <v>34856</v>
      </c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3:15" ht="15.75" x14ac:dyDescent="0.25">
      <c r="C54" s="73"/>
      <c r="D54" s="3"/>
      <c r="E54" s="3">
        <v>22222</v>
      </c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3:15" ht="18" x14ac:dyDescent="0.4">
      <c r="C55" s="73"/>
      <c r="D55" s="3"/>
      <c r="E55" s="72">
        <v>148799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3:15" ht="18" x14ac:dyDescent="0.4">
      <c r="C56" s="73" t="s">
        <v>459</v>
      </c>
      <c r="D56" s="72">
        <f>SUM(E45:E55)</f>
        <v>11064736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3:15" ht="15.75" x14ac:dyDescent="0.25">
      <c r="C57" s="73" t="s">
        <v>460</v>
      </c>
      <c r="D57" s="3">
        <f>D44-D56</f>
        <v>43635583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3:15" ht="15.75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3:15" ht="15.75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3:15" ht="15.75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3:15" ht="15.75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3:15" ht="15.75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3:15" ht="15.75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3:15" ht="15.75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3:15" ht="15.75" x14ac:dyDescent="0.2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3:15" ht="15.75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3:15" ht="15.75" x14ac:dyDescent="0.2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3:15" ht="15.75" x14ac:dyDescent="0.2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3:15" ht="15.75" x14ac:dyDescent="0.2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3:15" ht="15.75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3:15" ht="15.75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3:15" ht="15.75" x14ac:dyDescent="0.2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3:15" ht="15.75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3:15" ht="15.75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3:15" ht="15.75" x14ac:dyDescent="0.2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3:15" ht="15.75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3:15" ht="15.75" x14ac:dyDescent="0.2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3:15" ht="15.75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3:15" ht="15.75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3:15" ht="15.75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3:15" ht="15.75" x14ac:dyDescent="0.2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3:15" ht="15.75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3:15" ht="15.75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3:15" ht="15.75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3:15" ht="15.75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3:15" ht="15.75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3:15" ht="15.75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3:15" ht="15.75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3:15" ht="15.75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</sheetData>
  <mergeCells count="2">
    <mergeCell ref="C2:J2"/>
    <mergeCell ref="C4:K4"/>
  </mergeCells>
  <pageMargins left="0.55000000000000004" right="0.45" top="1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8343-FBB6-48AA-B25F-8C792D35D055}">
  <dimension ref="B3:L52"/>
  <sheetViews>
    <sheetView workbookViewId="0"/>
  </sheetViews>
  <sheetFormatPr defaultColWidth="8.88671875" defaultRowHeight="15" x14ac:dyDescent="0.25"/>
  <cols>
    <col min="1" max="1" width="8.88671875" style="3"/>
    <col min="2" max="2" width="18.5546875" style="3" customWidth="1"/>
    <col min="3" max="7" width="9.77734375" style="3" customWidth="1"/>
    <col min="8" max="8" width="10.88671875" style="3" customWidth="1"/>
    <col min="9" max="9" width="9.77734375" style="3" customWidth="1"/>
    <col min="10" max="10" width="9.6640625" style="3" customWidth="1"/>
    <col min="11" max="11" width="9.109375" style="3" bestFit="1" customWidth="1"/>
    <col min="12" max="16384" width="8.88671875" style="3"/>
  </cols>
  <sheetData>
    <row r="3" spans="2:10" ht="17.25" x14ac:dyDescent="0.4">
      <c r="B3" s="170" t="s">
        <v>392</v>
      </c>
    </row>
    <row r="4" spans="2:10" ht="17.25" x14ac:dyDescent="0.4">
      <c r="C4" s="334" t="s">
        <v>378</v>
      </c>
      <c r="D4" s="334" t="s">
        <v>366</v>
      </c>
      <c r="E4" s="334" t="s">
        <v>380</v>
      </c>
      <c r="F4" s="334" t="s">
        <v>393</v>
      </c>
      <c r="G4" s="334" t="s">
        <v>370</v>
      </c>
      <c r="H4" s="334" t="s">
        <v>394</v>
      </c>
      <c r="I4" s="334"/>
    </row>
    <row r="5" spans="2:10" x14ac:dyDescent="0.25">
      <c r="B5" s="3" t="s">
        <v>395</v>
      </c>
      <c r="C5" s="276">
        <v>2205667</v>
      </c>
      <c r="D5" s="276">
        <v>8353</v>
      </c>
      <c r="E5" s="276">
        <f>883125+3767</f>
        <v>886892</v>
      </c>
      <c r="F5" s="276">
        <f>176951+683713</f>
        <v>860664</v>
      </c>
      <c r="G5" s="276">
        <v>287044</v>
      </c>
      <c r="H5" s="276">
        <v>162714</v>
      </c>
      <c r="I5" s="276"/>
      <c r="J5" s="3">
        <f>SUM(D5:H5)</f>
        <v>2205667</v>
      </c>
    </row>
    <row r="6" spans="2:10" x14ac:dyDescent="0.25">
      <c r="B6" s="169" t="s">
        <v>396</v>
      </c>
      <c r="C6" s="276"/>
      <c r="D6" s="401">
        <f>D5/$C5</f>
        <v>3.7870630516755248E-3</v>
      </c>
      <c r="E6" s="401">
        <f>E5/$C5</f>
        <v>0.4020969620527487</v>
      </c>
      <c r="F6" s="401">
        <f>F5/$C5</f>
        <v>0.39020577448907745</v>
      </c>
      <c r="G6" s="401">
        <f>G5/$C5</f>
        <v>0.13013931840119111</v>
      </c>
      <c r="H6" s="401">
        <f>H5/$C5</f>
        <v>7.3770882005307237E-2</v>
      </c>
      <c r="I6" s="276"/>
      <c r="J6" s="198">
        <f>SUM(D6:H6)</f>
        <v>1</v>
      </c>
    </row>
    <row r="7" spans="2:10" x14ac:dyDescent="0.25">
      <c r="B7" s="3" t="s">
        <v>397</v>
      </c>
      <c r="C7" s="276"/>
      <c r="D7" s="276"/>
      <c r="E7" s="276"/>
      <c r="F7" s="276"/>
      <c r="G7" s="276"/>
      <c r="H7" s="276"/>
      <c r="I7" s="276"/>
    </row>
    <row r="8" spans="2:10" x14ac:dyDescent="0.25">
      <c r="B8" s="3" t="s">
        <v>398</v>
      </c>
      <c r="C8" s="276"/>
      <c r="D8" s="276"/>
      <c r="E8" s="276"/>
      <c r="F8" s="276"/>
      <c r="G8" s="276"/>
      <c r="H8" s="276"/>
      <c r="I8" s="276">
        <f>SUM(D8:H8)</f>
        <v>0</v>
      </c>
    </row>
    <row r="9" spans="2:10" x14ac:dyDescent="0.25">
      <c r="B9" s="3" t="s">
        <v>399</v>
      </c>
      <c r="C9" s="276"/>
      <c r="D9" s="276"/>
      <c r="E9" s="276"/>
      <c r="F9" s="276"/>
      <c r="G9" s="276"/>
      <c r="H9" s="276"/>
      <c r="I9" s="276"/>
    </row>
    <row r="10" spans="2:10" x14ac:dyDescent="0.25">
      <c r="B10" s="3" t="s">
        <v>400</v>
      </c>
      <c r="C10" s="276">
        <v>302762</v>
      </c>
      <c r="D10" s="276">
        <v>201386</v>
      </c>
      <c r="E10" s="276">
        <v>57129</v>
      </c>
      <c r="F10" s="276">
        <v>40651</v>
      </c>
      <c r="G10" s="276">
        <v>0</v>
      </c>
      <c r="H10" s="276">
        <v>3596</v>
      </c>
      <c r="I10" s="276"/>
      <c r="J10" s="3">
        <f t="shared" ref="J10:J27" si="0">SUM(D10:H10)</f>
        <v>302762</v>
      </c>
    </row>
    <row r="11" spans="2:10" x14ac:dyDescent="0.25">
      <c r="B11" s="3" t="s">
        <v>169</v>
      </c>
      <c r="C11" s="276">
        <v>556183</v>
      </c>
      <c r="D11" s="276"/>
      <c r="E11" s="276">
        <v>556183</v>
      </c>
      <c r="F11" s="276"/>
      <c r="G11" s="276"/>
      <c r="H11" s="276"/>
      <c r="I11" s="276"/>
      <c r="J11" s="3">
        <f t="shared" si="0"/>
        <v>556183</v>
      </c>
    </row>
    <row r="12" spans="2:10" x14ac:dyDescent="0.25">
      <c r="B12" s="3" t="s">
        <v>401</v>
      </c>
      <c r="C12" s="276">
        <v>822481</v>
      </c>
      <c r="D12" s="276"/>
      <c r="E12" s="276">
        <f>88328+52290</f>
        <v>140618</v>
      </c>
      <c r="F12" s="276">
        <f>245156+309237</f>
        <v>554393</v>
      </c>
      <c r="G12" s="276">
        <v>78078</v>
      </c>
      <c r="H12" s="276">
        <v>49392</v>
      </c>
      <c r="I12" s="276"/>
      <c r="J12" s="3">
        <f t="shared" si="0"/>
        <v>822481</v>
      </c>
    </row>
    <row r="13" spans="2:10" x14ac:dyDescent="0.25">
      <c r="B13" s="3" t="s">
        <v>440</v>
      </c>
      <c r="C13" s="276">
        <v>3757</v>
      </c>
      <c r="D13" s="276"/>
      <c r="E13" s="276"/>
      <c r="F13" s="276"/>
      <c r="G13" s="276"/>
      <c r="H13" s="276">
        <f>C13</f>
        <v>3757</v>
      </c>
      <c r="I13" s="276"/>
      <c r="J13" s="3">
        <f t="shared" si="0"/>
        <v>3757</v>
      </c>
    </row>
    <row r="14" spans="2:10" x14ac:dyDescent="0.25">
      <c r="B14" s="3" t="s">
        <v>402</v>
      </c>
      <c r="C14" s="276">
        <v>12650</v>
      </c>
      <c r="D14" s="276"/>
      <c r="E14" s="276"/>
      <c r="F14" s="276"/>
      <c r="G14" s="276"/>
      <c r="H14" s="276">
        <f>C14</f>
        <v>12650</v>
      </c>
      <c r="I14" s="276"/>
      <c r="J14" s="3">
        <f t="shared" si="0"/>
        <v>12650</v>
      </c>
    </row>
    <row r="15" spans="2:10" x14ac:dyDescent="0.25">
      <c r="B15" s="3" t="s">
        <v>403</v>
      </c>
      <c r="C15" s="276">
        <v>3260</v>
      </c>
      <c r="D15" s="276"/>
      <c r="E15" s="276"/>
      <c r="F15" s="276"/>
      <c r="G15" s="276"/>
      <c r="H15" s="276">
        <f>C15</f>
        <v>3260</v>
      </c>
      <c r="I15" s="276"/>
      <c r="J15" s="3">
        <f t="shared" si="0"/>
        <v>3260</v>
      </c>
    </row>
    <row r="16" spans="2:10" x14ac:dyDescent="0.25">
      <c r="B16" s="3" t="s">
        <v>404</v>
      </c>
      <c r="C16" s="276"/>
      <c r="D16" s="276"/>
      <c r="E16" s="276"/>
      <c r="F16" s="276"/>
      <c r="G16" s="276"/>
      <c r="H16" s="276"/>
      <c r="I16" s="276"/>
      <c r="J16" s="3">
        <f t="shared" si="0"/>
        <v>0</v>
      </c>
    </row>
    <row r="17" spans="2:10" x14ac:dyDescent="0.25">
      <c r="B17" s="3" t="s">
        <v>405</v>
      </c>
      <c r="C17" s="276"/>
      <c r="D17" s="276"/>
      <c r="E17" s="276"/>
      <c r="F17" s="276"/>
      <c r="G17" s="276"/>
      <c r="H17" s="276"/>
      <c r="I17" s="276"/>
      <c r="J17" s="3">
        <f t="shared" si="0"/>
        <v>0</v>
      </c>
    </row>
    <row r="18" spans="2:10" x14ac:dyDescent="0.25">
      <c r="B18" s="3" t="s">
        <v>406</v>
      </c>
      <c r="C18" s="276"/>
      <c r="D18" s="276"/>
      <c r="E18" s="276"/>
      <c r="F18" s="276"/>
      <c r="G18" s="276"/>
      <c r="H18" s="276"/>
      <c r="I18" s="276"/>
      <c r="J18" s="3">
        <f t="shared" si="0"/>
        <v>0</v>
      </c>
    </row>
    <row r="19" spans="2:10" x14ac:dyDescent="0.25">
      <c r="B19" s="3" t="s">
        <v>407</v>
      </c>
      <c r="C19" s="276"/>
      <c r="D19" s="276"/>
      <c r="E19" s="276"/>
      <c r="F19" s="276"/>
      <c r="G19" s="276"/>
      <c r="H19" s="276"/>
      <c r="I19" s="276"/>
      <c r="J19" s="3">
        <f t="shared" si="0"/>
        <v>0</v>
      </c>
    </row>
    <row r="20" spans="2:10" x14ac:dyDescent="0.25">
      <c r="B20" s="3" t="s">
        <v>408</v>
      </c>
      <c r="C20" s="276">
        <v>95139</v>
      </c>
      <c r="D20" s="276"/>
      <c r="E20" s="276">
        <v>2402</v>
      </c>
      <c r="F20" s="276">
        <v>78708</v>
      </c>
      <c r="G20" s="276">
        <v>9680</v>
      </c>
      <c r="H20" s="276">
        <v>4349</v>
      </c>
      <c r="I20" s="276"/>
      <c r="J20" s="3">
        <f t="shared" si="0"/>
        <v>95139</v>
      </c>
    </row>
    <row r="21" spans="2:10" x14ac:dyDescent="0.25">
      <c r="B21" s="3" t="s">
        <v>409</v>
      </c>
      <c r="C21" s="276">
        <v>62252</v>
      </c>
      <c r="D21" s="276"/>
      <c r="E21" s="276"/>
      <c r="F21" s="276"/>
      <c r="G21" s="276"/>
      <c r="H21" s="276">
        <f>C21</f>
        <v>62252</v>
      </c>
      <c r="I21" s="276"/>
      <c r="J21" s="3">
        <f t="shared" si="0"/>
        <v>62252</v>
      </c>
    </row>
    <row r="22" spans="2:10" x14ac:dyDescent="0.25">
      <c r="B22" s="3" t="s">
        <v>410</v>
      </c>
      <c r="C22" s="276">
        <v>92534</v>
      </c>
      <c r="D22" s="276"/>
      <c r="E22" s="276"/>
      <c r="F22" s="276"/>
      <c r="G22" s="276"/>
      <c r="H22" s="276">
        <f>C22</f>
        <v>92534</v>
      </c>
      <c r="I22" s="276"/>
      <c r="J22" s="3">
        <f t="shared" si="0"/>
        <v>92534</v>
      </c>
    </row>
    <row r="23" spans="2:10" x14ac:dyDescent="0.25">
      <c r="B23" s="3" t="s">
        <v>411</v>
      </c>
      <c r="C23" s="276">
        <v>48910</v>
      </c>
      <c r="D23" s="276"/>
      <c r="E23" s="276"/>
      <c r="F23" s="276"/>
      <c r="G23" s="276"/>
      <c r="H23" s="276">
        <f>C23</f>
        <v>48910</v>
      </c>
      <c r="I23" s="276"/>
      <c r="J23" s="3">
        <f t="shared" si="0"/>
        <v>48910</v>
      </c>
    </row>
    <row r="24" spans="2:10" x14ac:dyDescent="0.25">
      <c r="B24" s="3" t="s">
        <v>412</v>
      </c>
      <c r="C24" s="276"/>
      <c r="D24" s="276"/>
      <c r="E24" s="276"/>
      <c r="F24" s="276"/>
      <c r="G24" s="276"/>
      <c r="H24" s="276"/>
      <c r="I24" s="276"/>
      <c r="J24" s="3">
        <f t="shared" si="0"/>
        <v>0</v>
      </c>
    </row>
    <row r="25" spans="2:10" x14ac:dyDescent="0.25">
      <c r="B25" s="3" t="s">
        <v>146</v>
      </c>
      <c r="C25" s="276">
        <v>24657</v>
      </c>
      <c r="D25" s="276"/>
      <c r="E25" s="276"/>
      <c r="F25" s="276"/>
      <c r="G25" s="276">
        <v>24657</v>
      </c>
      <c r="H25" s="276"/>
      <c r="I25" s="276"/>
      <c r="J25" s="3">
        <f t="shared" si="0"/>
        <v>24657</v>
      </c>
    </row>
    <row r="26" spans="2:10" ht="17.25" x14ac:dyDescent="0.4">
      <c r="B26" s="3" t="s">
        <v>413</v>
      </c>
      <c r="C26" s="141">
        <v>44410</v>
      </c>
      <c r="D26" s="141">
        <v>0</v>
      </c>
      <c r="E26" s="141">
        <v>0</v>
      </c>
      <c r="F26" s="141">
        <v>0</v>
      </c>
      <c r="G26" s="141">
        <v>0</v>
      </c>
      <c r="H26" s="141">
        <f>C26</f>
        <v>44410</v>
      </c>
      <c r="I26" s="276"/>
      <c r="J26" s="3">
        <f t="shared" si="0"/>
        <v>44410</v>
      </c>
    </row>
    <row r="27" spans="2:10" x14ac:dyDescent="0.25">
      <c r="B27" s="3" t="s">
        <v>54</v>
      </c>
      <c r="C27" s="276">
        <f t="shared" ref="C27:H27" si="1">SUM(C5:C26)</f>
        <v>4274662</v>
      </c>
      <c r="D27" s="276">
        <f t="shared" si="1"/>
        <v>209739.00378706306</v>
      </c>
      <c r="E27" s="276">
        <f t="shared" si="1"/>
        <v>1643224.4020969621</v>
      </c>
      <c r="F27" s="276">
        <f t="shared" si="1"/>
        <v>1534416.3902057745</v>
      </c>
      <c r="G27" s="276">
        <f t="shared" si="1"/>
        <v>399459.13013931841</v>
      </c>
      <c r="H27" s="276">
        <f t="shared" si="1"/>
        <v>487824.07377088198</v>
      </c>
      <c r="I27" s="276">
        <f>SUM(D27:H27)</f>
        <v>4274663</v>
      </c>
      <c r="J27" s="3">
        <f t="shared" si="0"/>
        <v>4274663</v>
      </c>
    </row>
    <row r="30" spans="2:10" ht="17.25" x14ac:dyDescent="0.4">
      <c r="B30" s="170" t="s">
        <v>414</v>
      </c>
    </row>
    <row r="31" spans="2:10" ht="17.25" x14ac:dyDescent="0.4">
      <c r="C31" s="334" t="s">
        <v>378</v>
      </c>
      <c r="D31" s="334" t="s">
        <v>366</v>
      </c>
      <c r="E31" s="334" t="s">
        <v>380</v>
      </c>
      <c r="F31" s="334" t="s">
        <v>393</v>
      </c>
      <c r="G31" s="334" t="s">
        <v>370</v>
      </c>
      <c r="H31" s="334" t="s">
        <v>394</v>
      </c>
      <c r="I31" s="334"/>
    </row>
    <row r="32" spans="2:10" x14ac:dyDescent="0.25">
      <c r="B32" s="3" t="s">
        <v>395</v>
      </c>
      <c r="C32" s="274">
        <f>SAO!I22</f>
        <v>1251492.1739725305</v>
      </c>
      <c r="D32" s="276">
        <f>$C32*D$6</f>
        <v>4739.4797715124478</v>
      </c>
      <c r="E32" s="276">
        <f t="shared" ref="E32:H34" si="2">$C32*E$6</f>
        <v>503221.20118714456</v>
      </c>
      <c r="F32" s="276">
        <f t="shared" si="2"/>
        <v>488339.47301197052</v>
      </c>
      <c r="G32" s="276">
        <f t="shared" si="2"/>
        <v>162868.33850521001</v>
      </c>
      <c r="H32" s="276">
        <f t="shared" si="2"/>
        <v>92323.681496692981</v>
      </c>
      <c r="I32" s="276"/>
      <c r="J32" s="3">
        <f t="shared" ref="J32:J42" si="3">SUM(D32:H32)</f>
        <v>1251492.1739725305</v>
      </c>
    </row>
    <row r="33" spans="2:12" x14ac:dyDescent="0.25">
      <c r="B33" s="3" t="s">
        <v>397</v>
      </c>
      <c r="C33" s="274">
        <f>SAO!I23</f>
        <v>18000</v>
      </c>
      <c r="D33" s="276"/>
      <c r="E33" s="276"/>
      <c r="F33" s="276"/>
      <c r="G33" s="276"/>
      <c r="H33" s="276">
        <f>C33</f>
        <v>18000</v>
      </c>
      <c r="I33" s="276"/>
      <c r="J33" s="3">
        <f t="shared" si="3"/>
        <v>18000</v>
      </c>
    </row>
    <row r="34" spans="2:12" x14ac:dyDescent="0.25">
      <c r="B34" s="3" t="s">
        <v>415</v>
      </c>
      <c r="C34" s="274">
        <f>SAO!I27+Adj!M12</f>
        <v>838295.98496658134</v>
      </c>
      <c r="D34" s="276">
        <f>$C34*D$6</f>
        <v>3174.6797510348815</v>
      </c>
      <c r="E34" s="276">
        <f t="shared" si="2"/>
        <v>337076.26885607903</v>
      </c>
      <c r="F34" s="276">
        <f t="shared" si="2"/>
        <v>327107.9340649689</v>
      </c>
      <c r="G34" s="276">
        <f t="shared" si="2"/>
        <v>109095.26810200604</v>
      </c>
      <c r="H34" s="276">
        <f t="shared" si="2"/>
        <v>61841.834192492483</v>
      </c>
      <c r="I34" s="276"/>
      <c r="J34" s="3">
        <f t="shared" si="3"/>
        <v>838295.98496658145</v>
      </c>
    </row>
    <row r="35" spans="2:12" x14ac:dyDescent="0.25">
      <c r="B35" s="3" t="s">
        <v>400</v>
      </c>
      <c r="C35" s="276">
        <f>SAO!I28</f>
        <v>302762</v>
      </c>
      <c r="D35" s="276">
        <f>D10</f>
        <v>201386</v>
      </c>
      <c r="E35" s="276">
        <f>E10</f>
        <v>57129</v>
      </c>
      <c r="F35" s="276">
        <f>F10</f>
        <v>40651</v>
      </c>
      <c r="G35" s="276">
        <f>G10</f>
        <v>0</v>
      </c>
      <c r="H35" s="276">
        <f>H10</f>
        <v>3596</v>
      </c>
      <c r="I35" s="276"/>
      <c r="J35" s="3">
        <f t="shared" si="3"/>
        <v>302762</v>
      </c>
      <c r="L35" s="3">
        <v>113593</v>
      </c>
    </row>
    <row r="36" spans="2:12" x14ac:dyDescent="0.25">
      <c r="B36" s="3" t="s">
        <v>169</v>
      </c>
      <c r="C36" s="274">
        <f>SAO!I29</f>
        <v>666999.18999999994</v>
      </c>
      <c r="D36" s="276">
        <f>D11</f>
        <v>0</v>
      </c>
      <c r="E36" s="276">
        <f>C36</f>
        <v>666999.18999999994</v>
      </c>
      <c r="F36" s="276">
        <f>F11</f>
        <v>0</v>
      </c>
      <c r="G36" s="276">
        <f>G11</f>
        <v>0</v>
      </c>
      <c r="H36" s="276">
        <f>H11</f>
        <v>0</v>
      </c>
      <c r="I36" s="276"/>
      <c r="J36" s="3">
        <f t="shared" si="3"/>
        <v>666999.18999999994</v>
      </c>
    </row>
    <row r="37" spans="2:12" x14ac:dyDescent="0.25">
      <c r="B37" s="3" t="s">
        <v>401</v>
      </c>
      <c r="C37" s="274">
        <f>SAO!I30</f>
        <v>812258.11018246738</v>
      </c>
      <c r="D37" s="276">
        <f>D12</f>
        <v>0</v>
      </c>
      <c r="E37" s="276">
        <f>E12</f>
        <v>140618</v>
      </c>
      <c r="F37" s="276">
        <f>F12</f>
        <v>554393</v>
      </c>
      <c r="G37" s="276">
        <f>G12</f>
        <v>78078</v>
      </c>
      <c r="H37" s="274">
        <f>H12+SAO!G30</f>
        <v>39169.110182467441</v>
      </c>
      <c r="I37" s="274"/>
      <c r="J37" s="3">
        <f t="shared" si="3"/>
        <v>812258.11018246738</v>
      </c>
    </row>
    <row r="38" spans="2:12" x14ac:dyDescent="0.25">
      <c r="B38" s="418" t="s">
        <v>25</v>
      </c>
      <c r="C38" s="3">
        <f>SAO!I31</f>
        <v>19667</v>
      </c>
      <c r="D38" s="276"/>
      <c r="E38" s="276"/>
      <c r="F38" s="276"/>
      <c r="G38" s="276"/>
      <c r="H38" s="276">
        <f>C38</f>
        <v>19667</v>
      </c>
      <c r="I38" s="276"/>
      <c r="J38" s="3">
        <f t="shared" si="3"/>
        <v>19667</v>
      </c>
    </row>
    <row r="39" spans="2:12" x14ac:dyDescent="0.25">
      <c r="B39" s="3" t="s">
        <v>408</v>
      </c>
      <c r="C39" s="274">
        <f>SAO!I33</f>
        <v>97103.930082642211</v>
      </c>
      <c r="D39" s="276">
        <f>D20</f>
        <v>0</v>
      </c>
      <c r="E39" s="276">
        <f>$C$39*E51</f>
        <v>2653.3387857022663</v>
      </c>
      <c r="F39" s="276">
        <f>$C$39*F51</f>
        <v>78953.634667207603</v>
      </c>
      <c r="G39" s="276">
        <f>$C$39*G51</f>
        <v>10692.889028142356</v>
      </c>
      <c r="H39" s="276">
        <f>$C$39*H51</f>
        <v>4804.0676015899899</v>
      </c>
      <c r="I39" s="276"/>
      <c r="J39" s="3">
        <f t="shared" si="3"/>
        <v>97103.930082642211</v>
      </c>
    </row>
    <row r="40" spans="2:12" x14ac:dyDescent="0.25">
      <c r="B40" s="418" t="s">
        <v>170</v>
      </c>
      <c r="C40" s="274">
        <f>SAO!I34</f>
        <v>206738.7949354396</v>
      </c>
      <c r="D40" s="276">
        <f>D21</f>
        <v>0</v>
      </c>
      <c r="E40" s="276">
        <f>E21</f>
        <v>0</v>
      </c>
      <c r="F40" s="276">
        <f>F21</f>
        <v>0</v>
      </c>
      <c r="G40" s="276">
        <f>G21</f>
        <v>0</v>
      </c>
      <c r="H40" s="274">
        <f>C40</f>
        <v>206738.7949354396</v>
      </c>
      <c r="I40" s="274"/>
      <c r="J40" s="3">
        <f t="shared" si="3"/>
        <v>206738.7949354396</v>
      </c>
    </row>
    <row r="41" spans="2:12" x14ac:dyDescent="0.25">
      <c r="B41" s="3" t="s">
        <v>146</v>
      </c>
      <c r="C41" s="3">
        <f>SAO!I35</f>
        <v>24657</v>
      </c>
      <c r="D41" s="276">
        <f>D25</f>
        <v>0</v>
      </c>
      <c r="E41" s="276">
        <f>E25</f>
        <v>0</v>
      </c>
      <c r="F41" s="276">
        <f>F25</f>
        <v>0</v>
      </c>
      <c r="G41" s="276">
        <f>G25</f>
        <v>24657</v>
      </c>
      <c r="H41" s="276">
        <f>H25</f>
        <v>0</v>
      </c>
      <c r="I41" s="276"/>
      <c r="J41" s="3">
        <f t="shared" si="3"/>
        <v>24657</v>
      </c>
    </row>
    <row r="42" spans="2:12" ht="17.25" x14ac:dyDescent="0.4">
      <c r="B42" s="3" t="s">
        <v>413</v>
      </c>
      <c r="C42" s="417">
        <f>SAO!I36+C52</f>
        <v>39708.623341114857</v>
      </c>
      <c r="D42" s="141">
        <f>D26</f>
        <v>0</v>
      </c>
      <c r="E42" s="141">
        <f>E26</f>
        <v>0</v>
      </c>
      <c r="F42" s="141">
        <f>F26</f>
        <v>0</v>
      </c>
      <c r="G42" s="141">
        <f>G26</f>
        <v>0</v>
      </c>
      <c r="H42" s="417">
        <f>C42</f>
        <v>39708.623341114857</v>
      </c>
      <c r="I42" s="417"/>
      <c r="J42" s="72">
        <f t="shared" si="3"/>
        <v>39708.623341114857</v>
      </c>
    </row>
    <row r="43" spans="2:12" x14ac:dyDescent="0.25">
      <c r="B43" s="3" t="s">
        <v>54</v>
      </c>
      <c r="C43" s="3">
        <f t="shared" ref="C43:H43" si="4">SUM(C32:C42)</f>
        <v>4277682.8074807758</v>
      </c>
      <c r="D43" s="3">
        <f t="shared" si="4"/>
        <v>209300.15952254733</v>
      </c>
      <c r="E43" s="3">
        <f t="shared" si="4"/>
        <v>1707696.9988289259</v>
      </c>
      <c r="F43" s="3">
        <f t="shared" si="4"/>
        <v>1489445.041744147</v>
      </c>
      <c r="G43" s="3">
        <f t="shared" si="4"/>
        <v>385391.49563535844</v>
      </c>
      <c r="H43" s="3">
        <f t="shared" si="4"/>
        <v>485849.11174979736</v>
      </c>
      <c r="I43" s="3">
        <f>SUM(D43:H43)</f>
        <v>4277682.8074807758</v>
      </c>
      <c r="J43" s="3">
        <f>SUM(J32:J42)</f>
        <v>4277682.8074807758</v>
      </c>
    </row>
    <row r="44" spans="2:12" ht="17.25" x14ac:dyDescent="0.4">
      <c r="B44" s="73" t="s">
        <v>416</v>
      </c>
      <c r="C44" s="72">
        <f>SAO!I38</f>
        <v>985751.94295238098</v>
      </c>
    </row>
    <row r="45" spans="2:12" x14ac:dyDescent="0.25">
      <c r="B45" s="3" t="s">
        <v>443</v>
      </c>
      <c r="C45" s="3">
        <f>C43+C44</f>
        <v>5263434.7504331563</v>
      </c>
    </row>
    <row r="50" spans="2:11" x14ac:dyDescent="0.25">
      <c r="B50" s="294" t="s">
        <v>20</v>
      </c>
      <c r="C50" s="3">
        <f>SAO!I41</f>
        <v>109037.77117922493</v>
      </c>
      <c r="E50" s="574">
        <v>2402</v>
      </c>
      <c r="F50" s="575">
        <v>71474.713855825379</v>
      </c>
      <c r="G50" s="576">
        <v>9680</v>
      </c>
      <c r="H50" s="576">
        <v>4349</v>
      </c>
      <c r="I50" s="576"/>
      <c r="J50" s="577">
        <v>87905.713855825379</v>
      </c>
      <c r="K50" s="3" t="s">
        <v>565</v>
      </c>
    </row>
    <row r="51" spans="2:11" ht="17.25" x14ac:dyDescent="0.4">
      <c r="B51" s="3" t="s">
        <v>441</v>
      </c>
      <c r="C51" s="72">
        <f>-Adj!M12</f>
        <v>-95739.147838110075</v>
      </c>
      <c r="E51" s="578">
        <f>E50/$J$50</f>
        <v>2.7324731176627867E-2</v>
      </c>
      <c r="F51" s="572">
        <f>F50/$J$50</f>
        <v>0.81308382266312551</v>
      </c>
      <c r="G51" s="572">
        <f>G50/$J$50</f>
        <v>0.11011798409232212</v>
      </c>
      <c r="H51" s="572">
        <f>H50/$J$50</f>
        <v>4.9473462067924474E-2</v>
      </c>
      <c r="I51" s="82"/>
      <c r="J51" s="579">
        <f>SUM(E51:H51)</f>
        <v>0.99999999999999989</v>
      </c>
    </row>
    <row r="52" spans="2:11" x14ac:dyDescent="0.25">
      <c r="B52" s="3" t="s">
        <v>442</v>
      </c>
      <c r="C52" s="3">
        <f>C50+C51</f>
        <v>13298.623341114857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SAO</vt:lpstr>
      <vt:lpstr>Adj</vt:lpstr>
      <vt:lpstr>DeprAdj</vt:lpstr>
      <vt:lpstr>DSch</vt:lpstr>
      <vt:lpstr>Sys</vt:lpstr>
      <vt:lpstr>Fac</vt:lpstr>
      <vt:lpstr>Al_DeprW</vt:lpstr>
      <vt:lpstr>Al_Plnt</vt:lpstr>
      <vt:lpstr>Mtrx</vt:lpstr>
      <vt:lpstr>Whol</vt:lpstr>
      <vt:lpstr>AlocOM_R</vt:lpstr>
      <vt:lpstr>AlocSum</vt:lpstr>
      <vt:lpstr>Units</vt:lpstr>
      <vt:lpstr>CalcRet</vt:lpstr>
      <vt:lpstr>Rates</vt:lpstr>
      <vt:lpstr>Usage</vt:lpstr>
      <vt:lpstr>ExBA</vt:lpstr>
      <vt:lpstr>PropBA</vt:lpstr>
      <vt:lpstr>CoAlloc</vt:lpstr>
      <vt:lpstr>Trk_Off</vt:lpstr>
      <vt:lpstr>Al_DeprW!Print_Area</vt:lpstr>
      <vt:lpstr>Al_Plnt!Print_Area</vt:lpstr>
      <vt:lpstr>AlocOM_R!Print_Area</vt:lpstr>
      <vt:lpstr>AlocSum!Print_Area</vt:lpstr>
      <vt:lpstr>CalcRet!Print_Area</vt:lpstr>
      <vt:lpstr>CoAlloc!Print_Area</vt:lpstr>
      <vt:lpstr>DeprAdj!Print_Area</vt:lpstr>
      <vt:lpstr>DSch!Print_Area</vt:lpstr>
      <vt:lpstr>ExBA!Print_Area</vt:lpstr>
      <vt:lpstr>Fac!Print_Area</vt:lpstr>
      <vt:lpstr>PropBA!Print_Area</vt:lpstr>
      <vt:lpstr>Rates!Print_Area</vt:lpstr>
      <vt:lpstr>SAO!Print_Area</vt:lpstr>
      <vt:lpstr>Sys!Print_Area</vt:lpstr>
      <vt:lpstr>Trk_Off!Print_Area</vt:lpstr>
      <vt:lpstr>Units!Print_Area</vt:lpstr>
      <vt:lpstr>Usage!Print_Area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Vilines</cp:lastModifiedBy>
  <cp:lastPrinted>2022-06-17T16:32:14Z</cp:lastPrinted>
  <dcterms:created xsi:type="dcterms:W3CDTF">2016-05-18T14:12:06Z</dcterms:created>
  <dcterms:modified xsi:type="dcterms:W3CDTF">2022-07-25T15:27:05Z</dcterms:modified>
</cp:coreProperties>
</file>