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Wood Creek\"/>
    </mc:Choice>
  </mc:AlternateContent>
  <xr:revisionPtr revIDLastSave="0" documentId="13_ncr:1_{44ED6D50-0AD0-4D1D-AD90-EFE32BF121CF}" xr6:coauthVersionLast="47" xr6:coauthVersionMax="47" xr10:uidLastSave="{00000000-0000-0000-0000-000000000000}"/>
  <bookViews>
    <workbookView xWindow="-15" yWindow="-15" windowWidth="28830" windowHeight="15630" xr2:uid="{30D25048-A5D4-4F01-9270-0A433019029C}"/>
  </bookViews>
  <sheets>
    <sheet name="ExBA" sheetId="1" r:id="rId1"/>
    <sheet name="PropB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N10" i="1"/>
  <c r="N9" i="1"/>
  <c r="N8" i="1"/>
  <c r="N7" i="1"/>
  <c r="N6" i="1"/>
  <c r="B113" i="2"/>
  <c r="D112" i="2"/>
  <c r="B105" i="2"/>
  <c r="B104" i="2"/>
  <c r="D100" i="2"/>
  <c r="F11" i="2" s="1"/>
  <c r="C100" i="2"/>
  <c r="C104" i="2" s="1"/>
  <c r="E98" i="2"/>
  <c r="F97" i="2"/>
  <c r="E97" i="2"/>
  <c r="E99" i="2" s="1"/>
  <c r="B92" i="2"/>
  <c r="B91" i="2"/>
  <c r="B90" i="2"/>
  <c r="D85" i="2"/>
  <c r="C85" i="2"/>
  <c r="D84" i="2"/>
  <c r="C84" i="2"/>
  <c r="D83" i="2"/>
  <c r="C83" i="2"/>
  <c r="C86" i="2" s="1"/>
  <c r="C90" i="2" s="1"/>
  <c r="C93" i="2" s="1"/>
  <c r="E10" i="2" s="1"/>
  <c r="G82" i="2"/>
  <c r="F82" i="2"/>
  <c r="E82" i="2"/>
  <c r="E84" i="2" s="1"/>
  <c r="B77" i="2"/>
  <c r="B76" i="2"/>
  <c r="B75" i="2"/>
  <c r="D70" i="2"/>
  <c r="C70" i="2"/>
  <c r="D69" i="2"/>
  <c r="C69" i="2"/>
  <c r="D68" i="2"/>
  <c r="C68" i="2"/>
  <c r="G67" i="2"/>
  <c r="F67" i="2"/>
  <c r="E67" i="2"/>
  <c r="B62" i="2"/>
  <c r="B61" i="2"/>
  <c r="B60" i="2"/>
  <c r="D55" i="2"/>
  <c r="C55" i="2"/>
  <c r="D54" i="2"/>
  <c r="D56" i="2" s="1"/>
  <c r="C54" i="2"/>
  <c r="C56" i="2" s="1"/>
  <c r="E53" i="2"/>
  <c r="H53" i="2" s="1"/>
  <c r="G52" i="2"/>
  <c r="F52" i="2"/>
  <c r="E52" i="2"/>
  <c r="B47" i="2"/>
  <c r="B46" i="2"/>
  <c r="B45" i="2"/>
  <c r="B44" i="2"/>
  <c r="D39" i="2"/>
  <c r="C39" i="2"/>
  <c r="D37" i="2"/>
  <c r="C37" i="2"/>
  <c r="D36" i="2"/>
  <c r="D38" i="2" s="1"/>
  <c r="D40" i="2" s="1"/>
  <c r="F7" i="2" s="1"/>
  <c r="C36" i="2"/>
  <c r="C38" i="2" s="1"/>
  <c r="H35" i="2"/>
  <c r="G35" i="2"/>
  <c r="F35" i="2"/>
  <c r="E35" i="2"/>
  <c r="B30" i="2"/>
  <c r="B29" i="2"/>
  <c r="B28" i="2"/>
  <c r="B27" i="2"/>
  <c r="D22" i="2"/>
  <c r="C22" i="2"/>
  <c r="D19" i="2"/>
  <c r="C19" i="2"/>
  <c r="H18" i="2"/>
  <c r="G18" i="2"/>
  <c r="F18" i="2"/>
  <c r="E18" i="2"/>
  <c r="F13" i="2"/>
  <c r="E8" i="1"/>
  <c r="E11" i="1"/>
  <c r="E18" i="1"/>
  <c r="E23" i="1" s="1"/>
  <c r="F18" i="1"/>
  <c r="F23" i="1" s="1"/>
  <c r="G18" i="1"/>
  <c r="G23" i="1" s="1"/>
  <c r="H18" i="1"/>
  <c r="H23" i="1" s="1"/>
  <c r="I18" i="1"/>
  <c r="C19" i="1"/>
  <c r="C24" i="1" s="1"/>
  <c r="D19" i="1"/>
  <c r="D24" i="1" s="1"/>
  <c r="F6" i="1" s="1"/>
  <c r="E19" i="1"/>
  <c r="J19" i="1" s="1"/>
  <c r="C20" i="1"/>
  <c r="E20" i="1" s="1"/>
  <c r="D20" i="1"/>
  <c r="C21" i="1"/>
  <c r="D21" i="1"/>
  <c r="E21" i="1"/>
  <c r="F21" i="1"/>
  <c r="G21" i="1"/>
  <c r="J21" i="1"/>
  <c r="C22" i="1"/>
  <c r="G22" i="1" s="1"/>
  <c r="G24" i="1" s="1"/>
  <c r="D30" i="1" s="1"/>
  <c r="F30" i="1" s="1"/>
  <c r="D22" i="1"/>
  <c r="E22" i="1"/>
  <c r="F22" i="1"/>
  <c r="C23" i="1"/>
  <c r="D23" i="1"/>
  <c r="B28" i="1"/>
  <c r="B29" i="1"/>
  <c r="B30" i="1"/>
  <c r="B32" i="1"/>
  <c r="E37" i="1"/>
  <c r="F37" i="1"/>
  <c r="F40" i="1" s="1"/>
  <c r="G40" i="1" s="1"/>
  <c r="G41" i="1" s="1"/>
  <c r="D47" i="1" s="1"/>
  <c r="F47" i="1" s="1"/>
  <c r="G37" i="1"/>
  <c r="C38" i="1"/>
  <c r="D38" i="1"/>
  <c r="D41" i="1" s="1"/>
  <c r="F7" i="1" s="1"/>
  <c r="E38" i="1"/>
  <c r="H38" i="1"/>
  <c r="C39" i="1"/>
  <c r="C41" i="1" s="1"/>
  <c r="D39" i="1"/>
  <c r="E39" i="1"/>
  <c r="H39" i="1" s="1"/>
  <c r="F39" i="1"/>
  <c r="C40" i="1"/>
  <c r="E40" i="1" s="1"/>
  <c r="D40" i="1"/>
  <c r="B45" i="1"/>
  <c r="B46" i="1"/>
  <c r="B47" i="1"/>
  <c r="E52" i="1"/>
  <c r="F52" i="1"/>
  <c r="E53" i="1"/>
  <c r="E55" i="1" s="1"/>
  <c r="D59" i="1" s="1"/>
  <c r="D61" i="1" s="1"/>
  <c r="F8" i="1" s="1"/>
  <c r="G53" i="1"/>
  <c r="G55" i="1" s="1"/>
  <c r="E54" i="1"/>
  <c r="G54" i="1" s="1"/>
  <c r="F54" i="1"/>
  <c r="F55" i="1" s="1"/>
  <c r="D60" i="1" s="1"/>
  <c r="F60" i="1" s="1"/>
  <c r="F61" i="1" s="1"/>
  <c r="G8" i="1" s="1"/>
  <c r="C55" i="1"/>
  <c r="D55" i="1"/>
  <c r="B59" i="1"/>
  <c r="C59" i="1"/>
  <c r="F59" i="1"/>
  <c r="B60" i="1"/>
  <c r="C61" i="1"/>
  <c r="E65" i="1"/>
  <c r="F65" i="1"/>
  <c r="C66" i="1"/>
  <c r="D66" i="1"/>
  <c r="E66" i="1"/>
  <c r="F66" i="1"/>
  <c r="G66" i="1"/>
  <c r="G68" i="1" s="1"/>
  <c r="C67" i="1"/>
  <c r="D67" i="1"/>
  <c r="E67" i="1"/>
  <c r="F67" i="1"/>
  <c r="G67" i="1"/>
  <c r="C68" i="1"/>
  <c r="C72" i="1" s="1"/>
  <c r="D68" i="1"/>
  <c r="E68" i="1"/>
  <c r="D72" i="1" s="1"/>
  <c r="F68" i="1"/>
  <c r="D73" i="1" s="1"/>
  <c r="F73" i="1" s="1"/>
  <c r="B72" i="1"/>
  <c r="B73" i="1"/>
  <c r="E78" i="1"/>
  <c r="E80" i="1" s="1"/>
  <c r="F78" i="1"/>
  <c r="C79" i="1"/>
  <c r="C81" i="1" s="1"/>
  <c r="D79" i="1"/>
  <c r="F79" i="1" s="1"/>
  <c r="E79" i="1"/>
  <c r="E81" i="1" s="1"/>
  <c r="D85" i="1" s="1"/>
  <c r="C80" i="1"/>
  <c r="D80" i="1"/>
  <c r="B85" i="1"/>
  <c r="B86" i="1"/>
  <c r="E91" i="1"/>
  <c r="F91" i="1"/>
  <c r="E92" i="1"/>
  <c r="E94" i="1" s="1"/>
  <c r="D98" i="1" s="1"/>
  <c r="F92" i="1"/>
  <c r="F94" i="1" s="1"/>
  <c r="D99" i="1" s="1"/>
  <c r="F99" i="1" s="1"/>
  <c r="G92" i="1"/>
  <c r="G94" i="1" s="1"/>
  <c r="E93" i="1"/>
  <c r="F93" i="1"/>
  <c r="G93" i="1"/>
  <c r="C94" i="1"/>
  <c r="C98" i="1" s="1"/>
  <c r="D94" i="1"/>
  <c r="F11" i="1" s="1"/>
  <c r="B98" i="1"/>
  <c r="B99" i="1"/>
  <c r="D104" i="1"/>
  <c r="D107" i="1" s="1"/>
  <c r="G13" i="1" s="1"/>
  <c r="D105" i="1"/>
  <c r="D106" i="1"/>
  <c r="B107" i="1"/>
  <c r="F13" i="1" s="1"/>
  <c r="E37" i="2" l="1"/>
  <c r="F39" i="2"/>
  <c r="D20" i="2"/>
  <c r="D21" i="2" s="1"/>
  <c r="D23" i="2" s="1"/>
  <c r="F6" i="2" s="1"/>
  <c r="E36" i="2"/>
  <c r="I36" i="2" s="1"/>
  <c r="E100" i="2"/>
  <c r="D104" i="2" s="1"/>
  <c r="C71" i="2"/>
  <c r="C75" i="2" s="1"/>
  <c r="C78" i="2" s="1"/>
  <c r="E9" i="2" s="1"/>
  <c r="E69" i="2"/>
  <c r="F69" i="2" s="1"/>
  <c r="E54" i="2"/>
  <c r="F54" i="2" s="1"/>
  <c r="F56" i="2" s="1"/>
  <c r="D61" i="2" s="1"/>
  <c r="F61" i="2" s="1"/>
  <c r="F55" i="2"/>
  <c r="F85" i="2"/>
  <c r="E11" i="2"/>
  <c r="F70" i="2"/>
  <c r="G39" i="2"/>
  <c r="H39" i="2" s="1"/>
  <c r="H40" i="2" s="1"/>
  <c r="D47" i="2" s="1"/>
  <c r="F47" i="2" s="1"/>
  <c r="G22" i="2"/>
  <c r="F38" i="2"/>
  <c r="E38" i="2"/>
  <c r="F104" i="2"/>
  <c r="C106" i="2"/>
  <c r="F37" i="2"/>
  <c r="C60" i="2"/>
  <c r="C63" i="2" s="1"/>
  <c r="E8" i="2"/>
  <c r="G55" i="2"/>
  <c r="G56" i="2" s="1"/>
  <c r="D62" i="2" s="1"/>
  <c r="F62" i="2" s="1"/>
  <c r="F75" i="2"/>
  <c r="F90" i="2"/>
  <c r="D71" i="2"/>
  <c r="F84" i="2"/>
  <c r="E22" i="2"/>
  <c r="E68" i="2"/>
  <c r="F98" i="2"/>
  <c r="E19" i="2"/>
  <c r="F22" i="2"/>
  <c r="E55" i="2"/>
  <c r="C20" i="2"/>
  <c r="E20" i="2" s="1"/>
  <c r="F20" i="2" s="1"/>
  <c r="E85" i="2"/>
  <c r="F99" i="2"/>
  <c r="G99" i="2" s="1"/>
  <c r="E39" i="2"/>
  <c r="D110" i="2"/>
  <c r="D86" i="2"/>
  <c r="D111" i="2"/>
  <c r="E83" i="2"/>
  <c r="G83" i="2" s="1"/>
  <c r="C40" i="2"/>
  <c r="E70" i="2"/>
  <c r="F20" i="1"/>
  <c r="F24" i="1" s="1"/>
  <c r="D29" i="1" s="1"/>
  <c r="F29" i="1" s="1"/>
  <c r="J20" i="1"/>
  <c r="H40" i="1"/>
  <c r="E6" i="1"/>
  <c r="C28" i="1"/>
  <c r="C100" i="1"/>
  <c r="F98" i="1"/>
  <c r="F100" i="1" s="1"/>
  <c r="G11" i="1" s="1"/>
  <c r="F41" i="1"/>
  <c r="D46" i="1" s="1"/>
  <c r="F46" i="1" s="1"/>
  <c r="F80" i="1"/>
  <c r="F81" i="1" s="1"/>
  <c r="D86" i="1" s="1"/>
  <c r="H41" i="1"/>
  <c r="D74" i="1"/>
  <c r="F9" i="1" s="1"/>
  <c r="F12" i="1" s="1"/>
  <c r="E7" i="1"/>
  <c r="C45" i="1"/>
  <c r="H22" i="1"/>
  <c r="H24" i="1" s="1"/>
  <c r="D31" i="1" s="1"/>
  <c r="F31" i="1" s="1"/>
  <c r="I23" i="1"/>
  <c r="I24" i="1" s="1"/>
  <c r="D32" i="1" s="1"/>
  <c r="F32" i="1" s="1"/>
  <c r="J23" i="1"/>
  <c r="C85" i="1"/>
  <c r="E10" i="1"/>
  <c r="F72" i="1"/>
  <c r="F74" i="1" s="1"/>
  <c r="G9" i="1" s="1"/>
  <c r="C74" i="1"/>
  <c r="E9" i="1" s="1"/>
  <c r="E41" i="1"/>
  <c r="D45" i="1" s="1"/>
  <c r="D48" i="1" s="1"/>
  <c r="D100" i="1"/>
  <c r="D81" i="1"/>
  <c r="F10" i="1" s="1"/>
  <c r="E24" i="1"/>
  <c r="D28" i="1" s="1"/>
  <c r="D33" i="1" s="1"/>
  <c r="G79" i="1"/>
  <c r="G85" i="2" l="1"/>
  <c r="H54" i="2"/>
  <c r="G38" i="2"/>
  <c r="G40" i="2" s="1"/>
  <c r="D46" i="2" s="1"/>
  <c r="F46" i="2" s="1"/>
  <c r="E40" i="2"/>
  <c r="D44" i="2" s="1"/>
  <c r="F60" i="2"/>
  <c r="F71" i="2"/>
  <c r="D76" i="2" s="1"/>
  <c r="F76" i="2" s="1"/>
  <c r="H22" i="2"/>
  <c r="H23" i="2" s="1"/>
  <c r="D30" i="2" s="1"/>
  <c r="F30" i="2" s="1"/>
  <c r="F86" i="2"/>
  <c r="D91" i="2" s="1"/>
  <c r="F91" i="2" s="1"/>
  <c r="F100" i="2"/>
  <c r="D105" i="2" s="1"/>
  <c r="F105" i="2" s="1"/>
  <c r="F106" i="2" s="1"/>
  <c r="G11" i="2" s="1"/>
  <c r="H69" i="2"/>
  <c r="I19" i="2"/>
  <c r="G70" i="2"/>
  <c r="H70" i="2" s="1"/>
  <c r="H68" i="2"/>
  <c r="E71" i="2"/>
  <c r="D75" i="2" s="1"/>
  <c r="D106" i="2"/>
  <c r="G86" i="2"/>
  <c r="D92" i="2" s="1"/>
  <c r="F92" i="2" s="1"/>
  <c r="F93" i="2" s="1"/>
  <c r="G10" i="2" s="1"/>
  <c r="H84" i="2"/>
  <c r="E7" i="2"/>
  <c r="C44" i="2"/>
  <c r="D113" i="2"/>
  <c r="G13" i="2" s="1"/>
  <c r="H85" i="2"/>
  <c r="I20" i="2"/>
  <c r="G68" i="2"/>
  <c r="F63" i="2"/>
  <c r="G8" i="2" s="1"/>
  <c r="I39" i="2"/>
  <c r="G98" i="2"/>
  <c r="G100" i="2" s="1"/>
  <c r="F40" i="2"/>
  <c r="D45" i="2" s="1"/>
  <c r="F45" i="2" s="1"/>
  <c r="C21" i="2"/>
  <c r="H83" i="2"/>
  <c r="E86" i="2"/>
  <c r="D90" i="2" s="1"/>
  <c r="D93" i="2" s="1"/>
  <c r="F10" i="2" s="1"/>
  <c r="E56" i="2"/>
  <c r="D60" i="2" s="1"/>
  <c r="D63" i="2" s="1"/>
  <c r="F8" i="2" s="1"/>
  <c r="H55" i="2"/>
  <c r="H56" i="2" s="1"/>
  <c r="I37" i="2"/>
  <c r="F86" i="1"/>
  <c r="D87" i="1"/>
  <c r="G80" i="1"/>
  <c r="C87" i="1"/>
  <c r="F85" i="1"/>
  <c r="F87" i="1" s="1"/>
  <c r="G10" i="1" s="1"/>
  <c r="C33" i="1"/>
  <c r="F28" i="1"/>
  <c r="F33" i="1" s="1"/>
  <c r="G6" i="1" s="1"/>
  <c r="E12" i="1"/>
  <c r="G81" i="1"/>
  <c r="F45" i="1"/>
  <c r="F48" i="1" s="1"/>
  <c r="G7" i="1" s="1"/>
  <c r="C48" i="1"/>
  <c r="J22" i="1"/>
  <c r="J24" i="1" s="1"/>
  <c r="I38" i="2" l="1"/>
  <c r="H86" i="2"/>
  <c r="I22" i="2"/>
  <c r="F21" i="2"/>
  <c r="F23" i="2" s="1"/>
  <c r="D28" i="2" s="1"/>
  <c r="F28" i="2" s="1"/>
  <c r="E21" i="2"/>
  <c r="C23" i="2"/>
  <c r="H71" i="2"/>
  <c r="C48" i="2"/>
  <c r="F44" i="2"/>
  <c r="F48" i="2" s="1"/>
  <c r="G7" i="2" s="1"/>
  <c r="D48" i="2"/>
  <c r="G71" i="2"/>
  <c r="D77" i="2" s="1"/>
  <c r="F77" i="2" s="1"/>
  <c r="F78" i="2" s="1"/>
  <c r="G9" i="2" s="1"/>
  <c r="I40" i="2"/>
  <c r="G12" i="1"/>
  <c r="G14" i="1" s="1"/>
  <c r="D78" i="2" l="1"/>
  <c r="F9" i="2" s="1"/>
  <c r="F12" i="2" s="1"/>
  <c r="C27" i="2"/>
  <c r="E6" i="2"/>
  <c r="E12" i="2" s="1"/>
  <c r="G21" i="2"/>
  <c r="G23" i="2" s="1"/>
  <c r="D29" i="2" s="1"/>
  <c r="F29" i="2" s="1"/>
  <c r="E23" i="2"/>
  <c r="D27" i="2" s="1"/>
  <c r="I21" i="2" l="1"/>
  <c r="I23" i="2" s="1"/>
  <c r="C31" i="2"/>
  <c r="F27" i="2"/>
  <c r="F31" i="2" s="1"/>
  <c r="G6" i="2" s="1"/>
  <c r="G12" i="2" s="1"/>
  <c r="G14" i="2" s="1"/>
  <c r="D31" i="2"/>
</calcChain>
</file>

<file path=xl/sharedStrings.xml><?xml version="1.0" encoding="utf-8"?>
<sst xmlns="http://schemas.openxmlformats.org/spreadsheetml/2006/main" count="283" uniqueCount="39">
  <si>
    <t>CURRENT BILLING ANALYSIS - 2020 USAGE &amp; EXISTING RATES</t>
  </si>
  <si>
    <t>Wood Creek Water District</t>
  </si>
  <si>
    <t xml:space="preserve">  SUMMARY  </t>
  </si>
  <si>
    <t>No. of Bills</t>
  </si>
  <si>
    <t>Gallons Sold</t>
  </si>
  <si>
    <t>Revenue</t>
  </si>
  <si>
    <t xml:space="preserve">     5/8" X 3/4" Meters</t>
  </si>
  <si>
    <t xml:space="preserve">     1" Meters</t>
  </si>
  <si>
    <t xml:space="preserve">     1-1/2" Meters</t>
  </si>
  <si>
    <t xml:space="preserve">     2" Meters</t>
  </si>
  <si>
    <t xml:space="preserve">     3" Meters</t>
  </si>
  <si>
    <t xml:space="preserve">     6" Meters</t>
  </si>
  <si>
    <t>Retail Sales</t>
  </si>
  <si>
    <t>Sales for Resale</t>
  </si>
  <si>
    <t>Total Pro Forma Sales Revenue</t>
  </si>
  <si>
    <t>5/8" x 3/4" METERS</t>
  </si>
  <si>
    <t>FIRST</t>
  </si>
  <si>
    <t>NEXT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</si>
  <si>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</si>
  <si>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</si>
  <si>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</si>
  <si>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</si>
  <si>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</si>
  <si>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</si>
  <si>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</si>
  <si>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</si>
  <si>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1" METERS</t>
  </si>
  <si>
    <t>1-1/2" METERS</t>
  </si>
  <si>
    <t>2" METERS</t>
  </si>
  <si>
    <t>3" METERS</t>
  </si>
  <si>
    <t>6" METERS</t>
  </si>
  <si>
    <t>SALES FOR RESALE</t>
  </si>
  <si>
    <t>K GALS</t>
  </si>
  <si>
    <t>West Laurel</t>
  </si>
  <si>
    <t>East Laurel</t>
  </si>
  <si>
    <t>Livingston</t>
  </si>
  <si>
    <t>PROPOSED BILLING ANALYSIS - 2020 USAGE &amp; PROPOSED RATES</t>
  </si>
  <si>
    <t>Average Usage</t>
  </si>
  <si>
    <t>by Meter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</si>
</sst>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5" fontId="3" fillId="0" borderId="0" xfId="2" applyNumberFormat="1" applyFont="1"/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64" fontId="3" fillId="0" borderId="0" xfId="0" applyNumberFormat="1" applyFont="1"/>
    <xf numFmtId="165" fontId="3" fillId="0" borderId="0" xfId="0" applyNumberFormat="1" applyFont="1"/>
    <xf numFmtId="165" fontId="3" fillId="0" borderId="0" xfId="2" applyNumberFormat="1" applyFont="1" applyBorder="1"/>
    <xf numFmtId="43" fontId="3" fillId="0" borderId="0" xfId="1" applyFont="1"/>
    <xf numFmtId="3" fontId="7" fillId="0" borderId="0" xfId="0" applyNumberFormat="1" applyFont="1" applyAlignment="1">
      <alignment horizontal="left"/>
    </xf>
    <xf numFmtId="0" fontId="7" fillId="0" borderId="0" xfId="0" applyFont="1"/>
    <xf numFmtId="165" fontId="7" fillId="0" borderId="0" xfId="0" applyNumberFormat="1" applyFont="1"/>
    <xf numFmtId="43" fontId="3" fillId="0" borderId="0" xfId="1" applyFont="1" applyFill="1"/>
    <xf numFmtId="0" fontId="3" fillId="0" borderId="0" xfId="0" applyFont="1" applyAlignment="1">
      <alignment horizontal="right"/>
    </xf>
    <xf numFmtId="164" fontId="6" fillId="0" borderId="0" xfId="1" applyNumberFormat="1" applyFont="1" applyFill="1"/>
    <xf numFmtId="0" fontId="8" fillId="0" borderId="0" xfId="0" applyFont="1"/>
    <xf numFmtId="37" fontId="3" fillId="0" borderId="1" xfId="0" applyNumberFormat="1" applyFont="1" applyBorder="1" applyAlignment="1">
      <alignment horizontal="center"/>
    </xf>
    <xf numFmtId="37" fontId="3" fillId="0" borderId="0" xfId="0" applyNumberFormat="1" applyFont="1"/>
    <xf numFmtId="164" fontId="3" fillId="0" borderId="0" xfId="3" applyNumberFormat="1" applyFont="1" applyFill="1"/>
    <xf numFmtId="164" fontId="3" fillId="0" borderId="0" xfId="3" applyNumberFormat="1" applyFont="1" applyFill="1" applyBorder="1"/>
    <xf numFmtId="37" fontId="3" fillId="0" borderId="1" xfId="0" applyNumberFormat="1" applyFont="1" applyBorder="1"/>
    <xf numFmtId="164" fontId="3" fillId="0" borderId="1" xfId="3" applyNumberFormat="1" applyFont="1" applyFill="1" applyBorder="1"/>
    <xf numFmtId="164" fontId="3" fillId="0" borderId="0" xfId="3" applyNumberFormat="1" applyFont="1" applyBorder="1"/>
    <xf numFmtId="0" fontId="7" fillId="0" borderId="0" xfId="0" applyFont="1" applyAlignment="1">
      <alignment horizontal="left"/>
    </xf>
    <xf numFmtId="164" fontId="3" fillId="0" borderId="0" xfId="3" applyNumberFormat="1" applyFont="1"/>
    <xf numFmtId="44" fontId="3" fillId="0" borderId="0" xfId="4" applyFont="1"/>
    <xf numFmtId="165" fontId="3" fillId="0" borderId="0" xfId="4" applyNumberFormat="1" applyFont="1"/>
    <xf numFmtId="43" fontId="3" fillId="0" borderId="0" xfId="3" applyFont="1"/>
    <xf numFmtId="43" fontId="3" fillId="0" borderId="1" xfId="3" applyFont="1" applyBorder="1"/>
    <xf numFmtId="164" fontId="3" fillId="0" borderId="1" xfId="1" applyNumberFormat="1" applyFont="1" applyBorder="1"/>
    <xf numFmtId="3" fontId="3" fillId="0" borderId="0" xfId="0" applyNumberFormat="1" applyFont="1"/>
    <xf numFmtId="0" fontId="4" fillId="0" borderId="0" xfId="0" applyFont="1"/>
    <xf numFmtId="164" fontId="3" fillId="0" borderId="0" xfId="3" applyNumberFormat="1" applyFont="1" applyAlignment="1">
      <alignment horizontal="right"/>
    </xf>
    <xf numFmtId="164" fontId="6" fillId="0" borderId="0" xfId="3" applyNumberFormat="1" applyFont="1"/>
    <xf numFmtId="164" fontId="6" fillId="0" borderId="0" xfId="3" applyNumberFormat="1" applyFont="1" applyAlignment="1">
      <alignment horizontal="right"/>
    </xf>
    <xf numFmtId="165" fontId="3" fillId="0" borderId="0" xfId="4" applyNumberFormat="1" applyFont="1" applyBorder="1"/>
    <xf numFmtId="164" fontId="6" fillId="0" borderId="0" xfId="3" applyNumberFormat="1" applyFont="1" applyFill="1"/>
    <xf numFmtId="164" fontId="3" fillId="0" borderId="1" xfId="3" applyNumberFormat="1" applyFont="1" applyBorder="1"/>
    <xf numFmtId="43" fontId="0" fillId="0" borderId="0" xfId="1" applyFont="1"/>
    <xf numFmtId="44" fontId="0" fillId="0" borderId="0" xfId="2" applyFont="1"/>
    <xf numFmtId="43" fontId="0" fillId="0" borderId="1" xfId="1" applyFont="1" applyBorder="1"/>
    <xf numFmtId="44" fontId="3" fillId="0" borderId="0" xfId="2" applyFont="1"/>
    <xf numFmtId="43" fontId="3" fillId="0" borderId="1" xfId="1" applyFont="1" applyBorder="1"/>
    <xf numFmtId="43" fontId="0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64" fontId="0" fillId="0" borderId="0" xfId="1" applyNumberFormat="1" applyFont="1"/>
  </cellXfs>
  <cellStyles count="5">
    <cellStyle name="Comma" xfId="1" builtinId="3"/>
    <cellStyle name="Comma 2" xfId="3" xr:uid="{DCF4DAD0-8220-45FD-97E9-83A0404078F5}"/>
    <cellStyle name="Currency" xfId="2" builtinId="4"/>
    <cellStyle name="Currency 2" xfId="4" xr:uid="{B2AE2728-8988-495D-B8F4-592BDD63C37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od%20Ck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O"/>
      <sheetName val="Adj"/>
      <sheetName val="DeprAdj"/>
      <sheetName val="DSch"/>
      <sheetName val="Sys"/>
      <sheetName val="Fac"/>
      <sheetName val="Al_DeprW"/>
      <sheetName val="Al_Plnt"/>
      <sheetName val="Mtrx"/>
      <sheetName val="Whol"/>
      <sheetName val="AlocOM_R"/>
      <sheetName val="AlocSum"/>
      <sheetName val="Units"/>
      <sheetName val="CalcRet"/>
      <sheetName val="Rates"/>
      <sheetName val="Bills"/>
      <sheetName val="Usage"/>
      <sheetName val="ExBA"/>
      <sheetName val="PropBA"/>
      <sheetName val="Notice"/>
      <sheetName val="App A"/>
      <sheetName val="CoAlloc"/>
      <sheetName val="Trk_O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B5">
            <v>3554</v>
          </cell>
          <cell r="C5">
            <v>0</v>
          </cell>
          <cell r="H5">
            <v>40</v>
          </cell>
          <cell r="I5">
            <v>0</v>
          </cell>
          <cell r="K5">
            <v>0</v>
          </cell>
        </row>
        <row r="6">
          <cell r="B6">
            <v>45202</v>
          </cell>
          <cell r="C6">
            <v>108472100</v>
          </cell>
          <cell r="H6">
            <v>107</v>
          </cell>
          <cell r="I6">
            <v>264500</v>
          </cell>
          <cell r="J6">
            <v>9</v>
          </cell>
          <cell r="K6">
            <v>24400</v>
          </cell>
        </row>
        <row r="7">
          <cell r="B7">
            <v>10507</v>
          </cell>
          <cell r="C7">
            <v>71261000</v>
          </cell>
          <cell r="D7">
            <v>85</v>
          </cell>
          <cell r="E7">
            <v>608300</v>
          </cell>
          <cell r="H7">
            <v>86</v>
          </cell>
          <cell r="I7">
            <v>638500</v>
          </cell>
          <cell r="J7">
            <v>9</v>
          </cell>
          <cell r="K7">
            <v>75400</v>
          </cell>
        </row>
        <row r="8">
          <cell r="H8">
            <v>52</v>
          </cell>
          <cell r="I8">
            <v>629500</v>
          </cell>
        </row>
        <row r="9">
          <cell r="H9">
            <v>17</v>
          </cell>
          <cell r="I9">
            <v>291900</v>
          </cell>
          <cell r="J9">
            <v>2</v>
          </cell>
          <cell r="K9">
            <v>38000</v>
          </cell>
        </row>
        <row r="10">
          <cell r="H10">
            <v>16</v>
          </cell>
          <cell r="I10">
            <v>364100</v>
          </cell>
        </row>
        <row r="11">
          <cell r="H11">
            <v>10</v>
          </cell>
          <cell r="I11">
            <v>282300</v>
          </cell>
          <cell r="J11">
            <v>1</v>
          </cell>
          <cell r="K11">
            <v>25700</v>
          </cell>
        </row>
        <row r="12">
          <cell r="H12">
            <v>18</v>
          </cell>
          <cell r="I12">
            <v>573000</v>
          </cell>
          <cell r="J12">
            <v>2</v>
          </cell>
          <cell r="K12">
            <v>65900</v>
          </cell>
        </row>
        <row r="13">
          <cell r="H13">
            <v>20</v>
          </cell>
          <cell r="I13">
            <v>746800</v>
          </cell>
          <cell r="J13">
            <v>1</v>
          </cell>
          <cell r="K13">
            <v>36100</v>
          </cell>
        </row>
        <row r="14">
          <cell r="H14">
            <v>15</v>
          </cell>
          <cell r="I14">
            <v>636300</v>
          </cell>
          <cell r="J14">
            <v>3</v>
          </cell>
          <cell r="K14">
            <v>127400</v>
          </cell>
        </row>
        <row r="15">
          <cell r="H15">
            <v>10</v>
          </cell>
          <cell r="I15">
            <v>474100</v>
          </cell>
        </row>
        <row r="16">
          <cell r="H16">
            <v>14</v>
          </cell>
          <cell r="I16">
            <v>732400</v>
          </cell>
          <cell r="J16">
            <v>2</v>
          </cell>
          <cell r="K16">
            <v>104500</v>
          </cell>
        </row>
        <row r="17">
          <cell r="H17">
            <v>4</v>
          </cell>
          <cell r="I17">
            <v>227900</v>
          </cell>
        </row>
        <row r="18">
          <cell r="F18">
            <v>1</v>
          </cell>
          <cell r="G18">
            <v>63500</v>
          </cell>
          <cell r="H18">
            <v>4</v>
          </cell>
          <cell r="I18">
            <v>248800</v>
          </cell>
        </row>
        <row r="19">
          <cell r="F19">
            <v>1</v>
          </cell>
          <cell r="G19">
            <v>69900</v>
          </cell>
          <cell r="H19">
            <v>3</v>
          </cell>
          <cell r="I19">
            <v>198000</v>
          </cell>
        </row>
        <row r="20">
          <cell r="F20">
            <v>1</v>
          </cell>
          <cell r="G20">
            <v>74900</v>
          </cell>
          <cell r="H20">
            <v>4</v>
          </cell>
          <cell r="I20">
            <v>292800</v>
          </cell>
        </row>
        <row r="21">
          <cell r="B21">
            <v>90</v>
          </cell>
          <cell r="C21">
            <v>15851900</v>
          </cell>
          <cell r="D21">
            <v>14</v>
          </cell>
          <cell r="E21">
            <v>1751400</v>
          </cell>
          <cell r="F21">
            <v>9</v>
          </cell>
          <cell r="G21">
            <v>1054500</v>
          </cell>
          <cell r="H21">
            <v>144</v>
          </cell>
          <cell r="I21">
            <v>30350100</v>
          </cell>
          <cell r="J21">
            <v>1</v>
          </cell>
          <cell r="K21">
            <v>481300</v>
          </cell>
        </row>
        <row r="22">
          <cell r="B22">
            <v>62570</v>
          </cell>
          <cell r="C22">
            <v>251347000</v>
          </cell>
          <cell r="D22">
            <v>420</v>
          </cell>
          <cell r="E22">
            <v>6589900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07EB-D351-4041-9DF3-E57F7165BE77}">
  <dimension ref="A1:N107"/>
  <sheetViews>
    <sheetView tabSelected="1" workbookViewId="0">
      <selection activeCell="A4" sqref="A4"/>
    </sheetView>
  </sheetViews>
  <sheetFormatPr defaultRowHeight="15" x14ac:dyDescent="0.25"/>
  <cols>
    <col min="1" max="1" width="12.28515625" customWidth="1"/>
    <col min="2" max="2" width="10" customWidth="1"/>
    <col min="3" max="3" width="9.28515625" customWidth="1"/>
    <col min="4" max="7" width="13.85546875" customWidth="1"/>
    <col min="8" max="9" width="12.5703125" customWidth="1"/>
    <col min="10" max="10" width="13.28515625" customWidth="1"/>
    <col min="14" max="14" width="15.42578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4" ht="8.1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4" x14ac:dyDescent="0.25">
      <c r="A4" s="3"/>
      <c r="B4" s="3"/>
      <c r="C4" s="4" t="s">
        <v>2</v>
      </c>
      <c r="D4" s="3"/>
      <c r="E4" s="3"/>
      <c r="F4" s="3"/>
      <c r="G4" s="3"/>
      <c r="H4" s="3"/>
      <c r="I4" s="3"/>
      <c r="J4" s="3"/>
      <c r="N4" s="52" t="s">
        <v>37</v>
      </c>
    </row>
    <row r="5" spans="1:14" ht="17.25" x14ac:dyDescent="0.4">
      <c r="A5" s="3"/>
      <c r="B5" s="3"/>
      <c r="C5" s="5"/>
      <c r="D5" s="6"/>
      <c r="E5" s="7" t="s">
        <v>3</v>
      </c>
      <c r="F5" s="7" t="s">
        <v>4</v>
      </c>
      <c r="G5" s="7" t="s">
        <v>5</v>
      </c>
      <c r="H5" s="8"/>
      <c r="I5" s="3"/>
      <c r="J5" s="3"/>
      <c r="N5" s="53" t="s">
        <v>38</v>
      </c>
    </row>
    <row r="6" spans="1:14" x14ac:dyDescent="0.25">
      <c r="A6" s="3"/>
      <c r="B6" s="3"/>
      <c r="C6" s="3" t="s">
        <v>6</v>
      </c>
      <c r="D6" s="3"/>
      <c r="E6" s="9">
        <f>C24</f>
        <v>62570</v>
      </c>
      <c r="F6" s="10">
        <f>D24</f>
        <v>251347000</v>
      </c>
      <c r="G6" s="11">
        <f>F33</f>
        <v>2443971.1310000001</v>
      </c>
      <c r="H6" s="11"/>
      <c r="I6" s="3"/>
      <c r="J6" s="3"/>
      <c r="N6" s="54">
        <f>F6/E6</f>
        <v>4017.0529007511586</v>
      </c>
    </row>
    <row r="7" spans="1:14" x14ac:dyDescent="0.25">
      <c r="A7" s="3"/>
      <c r="B7" s="3"/>
      <c r="C7" s="3" t="s">
        <v>7</v>
      </c>
      <c r="D7" s="3"/>
      <c r="E7" s="9">
        <f>C41</f>
        <v>420</v>
      </c>
      <c r="F7" s="10">
        <f>D41</f>
        <v>6589900</v>
      </c>
      <c r="G7" s="9">
        <f>F48</f>
        <v>43341.767</v>
      </c>
      <c r="H7" s="9"/>
      <c r="I7" s="3"/>
      <c r="J7" s="3"/>
      <c r="N7" s="54">
        <f t="shared" ref="N7:N11" si="0">F7/E7</f>
        <v>15690.238095238095</v>
      </c>
    </row>
    <row r="8" spans="1:14" x14ac:dyDescent="0.25">
      <c r="A8" s="3"/>
      <c r="B8" s="3"/>
      <c r="C8" s="3" t="s">
        <v>8</v>
      </c>
      <c r="D8" s="3"/>
      <c r="E8" s="9">
        <f>C55</f>
        <v>12</v>
      </c>
      <c r="F8" s="10">
        <f>D61</f>
        <v>1262800</v>
      </c>
      <c r="G8" s="9">
        <f>F61</f>
        <v>6085.996000000001</v>
      </c>
      <c r="H8" s="9"/>
      <c r="I8" s="3"/>
      <c r="J8" s="3"/>
      <c r="N8" s="54">
        <f t="shared" si="0"/>
        <v>105233.33333333333</v>
      </c>
    </row>
    <row r="9" spans="1:14" x14ac:dyDescent="0.25">
      <c r="A9" s="3"/>
      <c r="B9" s="3"/>
      <c r="C9" s="3" t="s">
        <v>9</v>
      </c>
      <c r="D9" s="3"/>
      <c r="E9" s="9">
        <f>C74</f>
        <v>564</v>
      </c>
      <c r="F9" s="10">
        <f>D74</f>
        <v>36951000</v>
      </c>
      <c r="G9" s="9">
        <f>F74</f>
        <v>202936.36199999999</v>
      </c>
      <c r="H9" s="9"/>
      <c r="I9" s="3"/>
      <c r="J9" s="3"/>
      <c r="N9" s="54">
        <f t="shared" si="0"/>
        <v>65515.957446808512</v>
      </c>
    </row>
    <row r="10" spans="1:14" x14ac:dyDescent="0.25">
      <c r="A10" s="3"/>
      <c r="B10" s="3"/>
      <c r="C10" s="3" t="s">
        <v>10</v>
      </c>
      <c r="D10" s="3"/>
      <c r="E10" s="9">
        <f>C81</f>
        <v>30</v>
      </c>
      <c r="F10" s="10">
        <f>D81</f>
        <v>978700</v>
      </c>
      <c r="G10" s="9">
        <f>F87</f>
        <v>7392.0640000000003</v>
      </c>
      <c r="H10" s="9"/>
      <c r="I10" s="3"/>
      <c r="J10" s="3"/>
      <c r="N10" s="54">
        <f t="shared" si="0"/>
        <v>32623.333333333332</v>
      </c>
    </row>
    <row r="11" spans="1:14" ht="17.25" x14ac:dyDescent="0.4">
      <c r="A11" s="3"/>
      <c r="B11" s="3"/>
      <c r="C11" s="3" t="s">
        <v>11</v>
      </c>
      <c r="D11" s="3"/>
      <c r="E11" s="12">
        <f>C94</f>
        <v>48</v>
      </c>
      <c r="F11" s="13">
        <f>D94</f>
        <v>53219200</v>
      </c>
      <c r="G11" s="12">
        <f>F100</f>
        <v>253100.36100000003</v>
      </c>
      <c r="H11" s="9"/>
      <c r="I11" s="3"/>
      <c r="J11" s="3"/>
      <c r="N11" s="54">
        <f t="shared" si="0"/>
        <v>1108733.3333333333</v>
      </c>
    </row>
    <row r="12" spans="1:14" x14ac:dyDescent="0.25">
      <c r="A12" s="3"/>
      <c r="B12" s="3"/>
      <c r="C12" s="3" t="s">
        <v>12</v>
      </c>
      <c r="D12" s="3"/>
      <c r="E12" s="14">
        <f>SUM(E6:E11)</f>
        <v>63644</v>
      </c>
      <c r="F12" s="14">
        <f>SUM(F6:F11)</f>
        <v>350348600</v>
      </c>
      <c r="G12" s="15">
        <f>SUM(G6:G11)</f>
        <v>2956827.6809999999</v>
      </c>
      <c r="H12" s="16"/>
      <c r="I12" s="9"/>
      <c r="J12" s="14"/>
    </row>
    <row r="13" spans="1:14" ht="17.25" x14ac:dyDescent="0.4">
      <c r="A13" s="3"/>
      <c r="B13" s="3"/>
      <c r="C13" s="3" t="s">
        <v>13</v>
      </c>
      <c r="D13" s="3"/>
      <c r="E13" s="3"/>
      <c r="F13" s="10">
        <f>B107*1000</f>
        <v>864915000</v>
      </c>
      <c r="G13" s="12">
        <f>D107</f>
        <v>2958009.3</v>
      </c>
      <c r="H13" s="12"/>
      <c r="I13" s="9"/>
      <c r="J13" s="17"/>
    </row>
    <row r="14" spans="1:14" ht="20.100000000000001" customHeight="1" x14ac:dyDescent="0.25">
      <c r="A14" s="3"/>
      <c r="B14" s="3"/>
      <c r="C14" s="18" t="s">
        <v>14</v>
      </c>
      <c r="D14" s="19"/>
      <c r="E14" s="19"/>
      <c r="F14" s="19"/>
      <c r="G14" s="20">
        <f>G12+G13</f>
        <v>5914836.9809999997</v>
      </c>
      <c r="H14" s="15"/>
      <c r="I14" s="15"/>
      <c r="J14" s="21"/>
    </row>
    <row r="15" spans="1:14" ht="8.1" customHeight="1" x14ac:dyDescent="0.4">
      <c r="A15" s="3"/>
      <c r="B15" s="3"/>
      <c r="C15" s="3"/>
      <c r="D15" s="3"/>
      <c r="E15" s="3"/>
      <c r="F15" s="22"/>
      <c r="G15" s="23"/>
      <c r="H15" s="3"/>
      <c r="I15" s="15"/>
      <c r="J15" s="21"/>
    </row>
    <row r="16" spans="1:14" ht="15.75" x14ac:dyDescent="0.25">
      <c r="A16" s="24" t="s">
        <v>15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8" t="s">
        <v>16</v>
      </c>
      <c r="F17" s="8" t="s">
        <v>17</v>
      </c>
      <c r="G17" s="8" t="s">
        <v>17</v>
      </c>
      <c r="H17" s="8" t="s">
        <v>17</v>
      </c>
      <c r="I17" s="8" t="s">
        <v>18</v>
      </c>
      <c r="J17" s="3"/>
    </row>
    <row r="18" spans="1:10" x14ac:dyDescent="0.25">
      <c r="A18" s="3"/>
      <c r="B18" s="7" t="s">
        <v>19</v>
      </c>
      <c r="C18" s="25" t="s">
        <v>20</v>
      </c>
      <c r="D18" s="25" t="s">
        <v>21</v>
      </c>
      <c r="E18" s="25">
        <f>B19</f>
        <v>2000</v>
      </c>
      <c r="F18" s="25">
        <f>B20</f>
        <v>1500</v>
      </c>
      <c r="G18" s="25">
        <f>B21</f>
        <v>1500</v>
      </c>
      <c r="H18" s="25">
        <f>B22</f>
        <v>2500</v>
      </c>
      <c r="I18" s="25">
        <f>B23</f>
        <v>7500</v>
      </c>
      <c r="J18" s="7" t="s">
        <v>22</v>
      </c>
    </row>
    <row r="19" spans="1:10" x14ac:dyDescent="0.25">
      <c r="A19" s="22" t="s">
        <v>16</v>
      </c>
      <c r="B19" s="26">
        <v>2000</v>
      </c>
      <c r="C19" s="27">
        <f>20454+2290</f>
        <v>22744</v>
      </c>
      <c r="D19" s="27">
        <f>20080400+1673800</f>
        <v>21754200</v>
      </c>
      <c r="E19" s="27">
        <f>D19</f>
        <v>21754200</v>
      </c>
      <c r="F19" s="27">
        <v>0</v>
      </c>
      <c r="G19" s="27"/>
      <c r="H19" s="27"/>
      <c r="I19" s="27">
        <v>0</v>
      </c>
      <c r="J19" s="27">
        <f>SUM(E19:I19)</f>
        <v>21754200</v>
      </c>
    </row>
    <row r="20" spans="1:10" x14ac:dyDescent="0.25">
      <c r="A20" s="22" t="s">
        <v>17</v>
      </c>
      <c r="B20" s="26">
        <v>1500</v>
      </c>
      <c r="C20" s="27">
        <f>15480+564</f>
        <v>16044</v>
      </c>
      <c r="D20" s="27">
        <f>42888600+1519300</f>
        <v>44407900</v>
      </c>
      <c r="E20" s="27">
        <f>C20*E$18</f>
        <v>32088000</v>
      </c>
      <c r="F20" s="27">
        <f>D20-E20</f>
        <v>12319900</v>
      </c>
      <c r="G20" s="27"/>
      <c r="H20" s="27"/>
      <c r="I20" s="27">
        <v>0</v>
      </c>
      <c r="J20" s="27">
        <f>SUM(E20:I20)</f>
        <v>44407900</v>
      </c>
    </row>
    <row r="21" spans="1:10" x14ac:dyDescent="0.25">
      <c r="A21" s="22" t="s">
        <v>17</v>
      </c>
      <c r="B21" s="26">
        <v>1500</v>
      </c>
      <c r="C21" s="27">
        <f>9746+259</f>
        <v>10005</v>
      </c>
      <c r="D21" s="27">
        <f>41205400+1107900</f>
        <v>42313300</v>
      </c>
      <c r="E21" s="27">
        <f>C21*E$18</f>
        <v>20010000</v>
      </c>
      <c r="F21" s="27">
        <f>$C21*F$18</f>
        <v>15007500</v>
      </c>
      <c r="G21" s="27">
        <f>D21-(E21+F21)</f>
        <v>7295800</v>
      </c>
      <c r="H21" s="27"/>
      <c r="I21" s="27"/>
      <c r="J21" s="27">
        <f>SUM(E21:I21)</f>
        <v>42313300</v>
      </c>
    </row>
    <row r="22" spans="1:10" x14ac:dyDescent="0.25">
      <c r="A22" s="22" t="s">
        <v>17</v>
      </c>
      <c r="B22" s="26">
        <v>2500</v>
      </c>
      <c r="C22" s="27">
        <f>7411+227</f>
        <v>7638</v>
      </c>
      <c r="D22" s="27">
        <f>45233000+1384300</f>
        <v>46617300</v>
      </c>
      <c r="E22" s="27">
        <f>C22*E$18</f>
        <v>15276000</v>
      </c>
      <c r="F22" s="27">
        <f>$C22*F$18</f>
        <v>11457000</v>
      </c>
      <c r="G22" s="28">
        <f>$C22*G$18</f>
        <v>11457000</v>
      </c>
      <c r="H22" s="27">
        <f>D22-E22-F22-G22</f>
        <v>8427300</v>
      </c>
      <c r="I22" s="27"/>
      <c r="J22" s="27">
        <f>SUM(E22:I22)</f>
        <v>46617300</v>
      </c>
    </row>
    <row r="23" spans="1:10" x14ac:dyDescent="0.25">
      <c r="A23" s="22" t="s">
        <v>18</v>
      </c>
      <c r="B23" s="29">
        <v>7500</v>
      </c>
      <c r="C23" s="30">
        <f>5834+305</f>
        <v>6139</v>
      </c>
      <c r="D23" s="30">
        <f>90104100+6150200</f>
        <v>96254300</v>
      </c>
      <c r="E23" s="30">
        <f>C23*E$18</f>
        <v>12278000</v>
      </c>
      <c r="F23" s="30">
        <f>$C23*F$18</f>
        <v>9208500</v>
      </c>
      <c r="G23" s="30">
        <f>$C23*G$18</f>
        <v>9208500</v>
      </c>
      <c r="H23" s="30">
        <f>C23*H18</f>
        <v>15347500</v>
      </c>
      <c r="I23" s="30">
        <f>D23-(F23+E23+G23+H23)</f>
        <v>50211800</v>
      </c>
      <c r="J23" s="30">
        <f>SUM(E23:I23)</f>
        <v>96254300</v>
      </c>
    </row>
    <row r="24" spans="1:10" x14ac:dyDescent="0.25">
      <c r="A24" s="22"/>
      <c r="B24" s="26"/>
      <c r="C24" s="31">
        <f t="shared" ref="C24:J24" si="1">SUM(C19:C23)</f>
        <v>62570</v>
      </c>
      <c r="D24" s="31">
        <f t="shared" si="1"/>
        <v>251347000</v>
      </c>
      <c r="E24" s="31">
        <f t="shared" si="1"/>
        <v>101406200</v>
      </c>
      <c r="F24" s="31">
        <f t="shared" si="1"/>
        <v>47992900</v>
      </c>
      <c r="G24" s="31">
        <f t="shared" si="1"/>
        <v>27961300</v>
      </c>
      <c r="H24" s="31">
        <f t="shared" si="1"/>
        <v>23774800</v>
      </c>
      <c r="I24" s="31">
        <f t="shared" si="1"/>
        <v>50211800</v>
      </c>
      <c r="J24" s="31">
        <f t="shared" si="1"/>
        <v>251347000</v>
      </c>
    </row>
    <row r="25" spans="1:10" x14ac:dyDescent="0.25">
      <c r="A25" s="22"/>
      <c r="B25" s="26"/>
      <c r="C25" s="3"/>
      <c r="D25" s="26"/>
      <c r="E25" s="26"/>
      <c r="F25" s="26"/>
      <c r="G25" s="26"/>
      <c r="H25" s="26"/>
      <c r="I25" s="26"/>
      <c r="J25" s="26"/>
    </row>
    <row r="26" spans="1:10" x14ac:dyDescent="0.25">
      <c r="A26" s="32" t="s">
        <v>23</v>
      </c>
      <c r="B26" s="32"/>
      <c r="C26" s="3"/>
      <c r="D26" s="26"/>
      <c r="E26" s="26"/>
      <c r="F26" s="26"/>
      <c r="G26" s="26"/>
      <c r="H26" s="26"/>
      <c r="I26" s="26"/>
      <c r="J26" s="26"/>
    </row>
    <row r="27" spans="1:10" x14ac:dyDescent="0.25">
      <c r="A27" s="22"/>
      <c r="B27" s="7"/>
      <c r="C27" s="25" t="s">
        <v>20</v>
      </c>
      <c r="D27" s="7" t="s">
        <v>21</v>
      </c>
      <c r="E27" s="25" t="s">
        <v>24</v>
      </c>
      <c r="F27" s="25" t="s">
        <v>25</v>
      </c>
      <c r="G27" s="26"/>
      <c r="H27" s="26"/>
      <c r="I27" s="26"/>
      <c r="J27" s="26"/>
    </row>
    <row r="28" spans="1:10" x14ac:dyDescent="0.25">
      <c r="A28" s="22" t="s">
        <v>16</v>
      </c>
      <c r="B28" s="26">
        <f>B19</f>
        <v>2000</v>
      </c>
      <c r="C28" s="33">
        <f>C24</f>
        <v>62570</v>
      </c>
      <c r="D28" s="27">
        <f>E24</f>
        <v>101406200</v>
      </c>
      <c r="E28" s="34">
        <v>24.22</v>
      </c>
      <c r="F28" s="35">
        <f>E28*C28</f>
        <v>1515445.4</v>
      </c>
      <c r="G28" s="26"/>
      <c r="H28" s="3"/>
      <c r="I28" s="3"/>
      <c r="J28" s="26"/>
    </row>
    <row r="29" spans="1:10" x14ac:dyDescent="0.25">
      <c r="A29" s="22" t="s">
        <v>17</v>
      </c>
      <c r="B29" s="26">
        <f>B20</f>
        <v>1500</v>
      </c>
      <c r="C29" s="3"/>
      <c r="D29" s="27">
        <f>F24</f>
        <v>47992900</v>
      </c>
      <c r="E29" s="36">
        <v>7.7</v>
      </c>
      <c r="F29" s="9">
        <f>E29*(D29/1000)</f>
        <v>369545.33</v>
      </c>
      <c r="G29" s="26"/>
      <c r="H29" s="3"/>
      <c r="I29" s="3"/>
      <c r="J29" s="26"/>
    </row>
    <row r="30" spans="1:10" x14ac:dyDescent="0.25">
      <c r="A30" s="22" t="s">
        <v>17</v>
      </c>
      <c r="B30" s="26">
        <f>B21</f>
        <v>1500</v>
      </c>
      <c r="C30" s="3"/>
      <c r="D30" s="27">
        <f>G24</f>
        <v>27961300</v>
      </c>
      <c r="E30" s="36">
        <v>6.87</v>
      </c>
      <c r="F30" s="9">
        <f>E30*(D30/1000)</f>
        <v>192094.13099999999</v>
      </c>
      <c r="G30" s="26"/>
      <c r="H30" s="3"/>
      <c r="I30" s="3"/>
      <c r="J30" s="26"/>
    </row>
    <row r="31" spans="1:10" x14ac:dyDescent="0.25">
      <c r="A31" s="22" t="s">
        <v>17</v>
      </c>
      <c r="B31" s="26">
        <v>2500</v>
      </c>
      <c r="C31" s="3"/>
      <c r="D31" s="27">
        <f>H24</f>
        <v>23774800</v>
      </c>
      <c r="E31" s="36">
        <v>5.78</v>
      </c>
      <c r="F31" s="9">
        <f>E31*(D31/1000)</f>
        <v>137418.34400000001</v>
      </c>
      <c r="G31" s="26"/>
      <c r="H31" s="3"/>
      <c r="I31" s="3"/>
      <c r="J31" s="26"/>
    </row>
    <row r="32" spans="1:10" x14ac:dyDescent="0.25">
      <c r="A32" s="22" t="s">
        <v>18</v>
      </c>
      <c r="B32" s="29">
        <f>B23</f>
        <v>7500</v>
      </c>
      <c r="C32" s="6"/>
      <c r="D32" s="30">
        <f>I24</f>
        <v>50211800</v>
      </c>
      <c r="E32" s="37">
        <v>4.57</v>
      </c>
      <c r="F32" s="38">
        <f>E32*(D32/1000)</f>
        <v>229467.92600000004</v>
      </c>
      <c r="G32" s="26"/>
      <c r="H32" s="3"/>
      <c r="I32" s="3"/>
      <c r="J32" s="26"/>
    </row>
    <row r="33" spans="1:10" x14ac:dyDescent="0.25">
      <c r="A33" s="22"/>
      <c r="B33" s="26" t="s">
        <v>22</v>
      </c>
      <c r="C33" s="9">
        <f>SUM(C28:C32)</f>
        <v>62570</v>
      </c>
      <c r="D33" s="31">
        <f>SUM(D28:D32)</f>
        <v>251347000</v>
      </c>
      <c r="E33" s="3"/>
      <c r="F33" s="35">
        <f>SUM(F28:F32)</f>
        <v>2443971.1310000001</v>
      </c>
      <c r="G33" s="26"/>
      <c r="H33" s="26"/>
      <c r="I33" s="26"/>
      <c r="J33" s="26"/>
    </row>
    <row r="34" spans="1:10" x14ac:dyDescent="0.25">
      <c r="A34" s="22"/>
      <c r="B34" s="26"/>
      <c r="C34" s="9"/>
      <c r="D34" s="31"/>
      <c r="E34" s="3"/>
      <c r="F34" s="35"/>
      <c r="G34" s="26"/>
      <c r="H34" s="26"/>
      <c r="I34" s="26"/>
      <c r="J34" s="26"/>
    </row>
    <row r="35" spans="1:10" ht="15.75" x14ac:dyDescent="0.25">
      <c r="A35" s="24" t="s">
        <v>26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8" t="s">
        <v>16</v>
      </c>
      <c r="F36" s="8" t="s">
        <v>17</v>
      </c>
      <c r="G36" s="8" t="s">
        <v>18</v>
      </c>
      <c r="H36" s="3"/>
      <c r="I36" s="3"/>
      <c r="J36" s="3"/>
    </row>
    <row r="37" spans="1:10" x14ac:dyDescent="0.25">
      <c r="A37" s="3"/>
      <c r="B37" s="7" t="s">
        <v>19</v>
      </c>
      <c r="C37" s="25" t="s">
        <v>20</v>
      </c>
      <c r="D37" s="25" t="s">
        <v>21</v>
      </c>
      <c r="E37" s="25">
        <f>B38</f>
        <v>5000</v>
      </c>
      <c r="F37" s="25">
        <f>B39</f>
        <v>2500</v>
      </c>
      <c r="G37" s="25">
        <f>B40</f>
        <v>7500</v>
      </c>
      <c r="H37" s="7" t="s">
        <v>22</v>
      </c>
      <c r="I37" s="3"/>
      <c r="J37" s="3"/>
    </row>
    <row r="38" spans="1:10" x14ac:dyDescent="0.25">
      <c r="A38" s="22" t="s">
        <v>16</v>
      </c>
      <c r="B38" s="26">
        <v>5000</v>
      </c>
      <c r="C38" s="27">
        <f>58+121</f>
        <v>179</v>
      </c>
      <c r="D38" s="27">
        <f>115800+160800</f>
        <v>276600</v>
      </c>
      <c r="E38" s="27">
        <f>D38</f>
        <v>276600</v>
      </c>
      <c r="F38" s="27">
        <v>0</v>
      </c>
      <c r="G38" s="27">
        <v>0</v>
      </c>
      <c r="H38" s="27">
        <f>SUM(E38:G38)</f>
        <v>276600</v>
      </c>
      <c r="I38" s="3"/>
      <c r="J38" s="3"/>
    </row>
    <row r="39" spans="1:10" x14ac:dyDescent="0.25">
      <c r="A39" s="22" t="s">
        <v>17</v>
      </c>
      <c r="B39" s="26">
        <v>2500</v>
      </c>
      <c r="C39" s="27">
        <f>29+22</f>
        <v>51</v>
      </c>
      <c r="D39" s="27">
        <f>176100+135500</f>
        <v>311600</v>
      </c>
      <c r="E39" s="27">
        <f>$C39*E$37</f>
        <v>255000</v>
      </c>
      <c r="F39" s="27">
        <f>D39-E39</f>
        <v>56600</v>
      </c>
      <c r="G39" s="27">
        <v>0</v>
      </c>
      <c r="H39" s="27">
        <f>SUM(E39:G39)</f>
        <v>311600</v>
      </c>
      <c r="I39" s="3"/>
      <c r="J39" s="3"/>
    </row>
    <row r="40" spans="1:10" x14ac:dyDescent="0.25">
      <c r="A40" s="22" t="s">
        <v>18</v>
      </c>
      <c r="B40" s="29">
        <v>7500</v>
      </c>
      <c r="C40" s="30">
        <f>33+157</f>
        <v>190</v>
      </c>
      <c r="D40" s="30">
        <f>506000+5495700</f>
        <v>6001700</v>
      </c>
      <c r="E40" s="30">
        <f>$C40*E$37</f>
        <v>950000</v>
      </c>
      <c r="F40" s="30">
        <f>$C40*F$37</f>
        <v>475000</v>
      </c>
      <c r="G40" s="30">
        <f>D40-(F40+E40)</f>
        <v>4576700</v>
      </c>
      <c r="H40" s="30">
        <f>SUM(E40:G40)</f>
        <v>6001700</v>
      </c>
      <c r="I40" s="3"/>
      <c r="J40" s="3"/>
    </row>
    <row r="41" spans="1:10" x14ac:dyDescent="0.25">
      <c r="A41" s="22"/>
      <c r="B41" s="26"/>
      <c r="C41" s="31">
        <f t="shared" ref="C41:H41" si="2">SUM(C38:C40)</f>
        <v>420</v>
      </c>
      <c r="D41" s="31">
        <f t="shared" si="2"/>
        <v>6589900</v>
      </c>
      <c r="E41" s="31">
        <f t="shared" si="2"/>
        <v>1481600</v>
      </c>
      <c r="F41" s="31">
        <f t="shared" si="2"/>
        <v>531600</v>
      </c>
      <c r="G41" s="31">
        <f t="shared" si="2"/>
        <v>4576700</v>
      </c>
      <c r="H41" s="31">
        <f t="shared" si="2"/>
        <v>6589900</v>
      </c>
      <c r="I41" s="3"/>
      <c r="J41" s="3"/>
    </row>
    <row r="42" spans="1:10" x14ac:dyDescent="0.25">
      <c r="A42" s="22"/>
      <c r="B42" s="26"/>
      <c r="C42" s="3"/>
      <c r="D42" s="26"/>
      <c r="E42" s="26"/>
      <c r="F42" s="26"/>
      <c r="G42" s="26"/>
      <c r="H42" s="26"/>
      <c r="I42" s="26"/>
      <c r="J42" s="26"/>
    </row>
    <row r="43" spans="1:10" x14ac:dyDescent="0.25">
      <c r="A43" s="32" t="s">
        <v>23</v>
      </c>
      <c r="B43" s="32"/>
      <c r="C43" s="3"/>
      <c r="D43" s="26"/>
      <c r="E43" s="26"/>
      <c r="F43" s="26"/>
      <c r="G43" s="26"/>
      <c r="H43" s="26"/>
      <c r="I43" s="26"/>
      <c r="J43" s="26"/>
    </row>
    <row r="44" spans="1:10" x14ac:dyDescent="0.25">
      <c r="A44" s="22"/>
      <c r="B44" s="7"/>
      <c r="C44" s="25" t="s">
        <v>20</v>
      </c>
      <c r="D44" s="7" t="s">
        <v>21</v>
      </c>
      <c r="E44" s="25" t="s">
        <v>24</v>
      </c>
      <c r="F44" s="25" t="s">
        <v>25</v>
      </c>
      <c r="G44" s="26"/>
      <c r="H44" s="26"/>
      <c r="I44" s="26"/>
      <c r="J44" s="26"/>
    </row>
    <row r="45" spans="1:10" x14ac:dyDescent="0.25">
      <c r="A45" s="22" t="s">
        <v>16</v>
      </c>
      <c r="B45" s="26">
        <f>B38</f>
        <v>5000</v>
      </c>
      <c r="C45" s="33">
        <f>C41</f>
        <v>420</v>
      </c>
      <c r="D45" s="27">
        <f>E41</f>
        <v>1481600</v>
      </c>
      <c r="E45" s="34">
        <v>46.08</v>
      </c>
      <c r="F45" s="35">
        <f>E45*C45</f>
        <v>19353.599999999999</v>
      </c>
      <c r="G45" s="26"/>
      <c r="H45" s="3"/>
      <c r="I45" s="3"/>
      <c r="J45" s="26"/>
    </row>
    <row r="46" spans="1:10" x14ac:dyDescent="0.25">
      <c r="A46" s="22" t="s">
        <v>17</v>
      </c>
      <c r="B46" s="26">
        <f>B39</f>
        <v>2500</v>
      </c>
      <c r="C46" s="3"/>
      <c r="D46" s="27">
        <f>F41</f>
        <v>531600</v>
      </c>
      <c r="E46" s="36">
        <v>5.78</v>
      </c>
      <c r="F46" s="9">
        <f>E46*(D46/1000)</f>
        <v>3072.6480000000001</v>
      </c>
      <c r="G46" s="26"/>
      <c r="H46" s="3"/>
      <c r="I46" s="3"/>
      <c r="J46" s="26"/>
    </row>
    <row r="47" spans="1:10" x14ac:dyDescent="0.25">
      <c r="A47" s="22" t="s">
        <v>18</v>
      </c>
      <c r="B47" s="29">
        <f>B40</f>
        <v>7500</v>
      </c>
      <c r="C47" s="6"/>
      <c r="D47" s="30">
        <f>G41</f>
        <v>4576700</v>
      </c>
      <c r="E47" s="37">
        <v>4.57</v>
      </c>
      <c r="F47" s="38">
        <f>E47*(D47/1000)</f>
        <v>20915.519</v>
      </c>
      <c r="G47" s="26"/>
      <c r="H47" s="3"/>
      <c r="I47" s="3"/>
      <c r="J47" s="26"/>
    </row>
    <row r="48" spans="1:10" x14ac:dyDescent="0.25">
      <c r="A48" s="22"/>
      <c r="B48" s="26" t="s">
        <v>22</v>
      </c>
      <c r="C48" s="9">
        <f>SUM(C45:C47)</f>
        <v>420</v>
      </c>
      <c r="D48" s="31">
        <f>SUM(D45:D47)</f>
        <v>6589900</v>
      </c>
      <c r="E48" s="3"/>
      <c r="F48" s="35">
        <f>SUM(F45:F47)</f>
        <v>43341.767</v>
      </c>
      <c r="G48" s="26"/>
      <c r="H48" s="26"/>
      <c r="I48" s="26"/>
      <c r="J48" s="26"/>
    </row>
    <row r="49" spans="1:10" x14ac:dyDescent="0.25">
      <c r="A49" s="22"/>
      <c r="B49" s="26"/>
      <c r="C49" s="9"/>
      <c r="D49" s="31"/>
      <c r="E49" s="3"/>
      <c r="F49" s="35"/>
      <c r="G49" s="26"/>
      <c r="H49" s="26"/>
      <c r="I49" s="26"/>
      <c r="J49" s="26"/>
    </row>
    <row r="50" spans="1:10" ht="15.75" x14ac:dyDescent="0.25">
      <c r="A50" s="24" t="s">
        <v>27</v>
      </c>
      <c r="B50" s="3"/>
      <c r="C50" s="3"/>
      <c r="D50" s="3"/>
      <c r="E50" s="3"/>
      <c r="F50" s="3"/>
      <c r="G50" s="3"/>
      <c r="H50" s="3"/>
      <c r="I50" s="3"/>
      <c r="J50" s="26"/>
    </row>
    <row r="51" spans="1:10" x14ac:dyDescent="0.25">
      <c r="A51" s="3"/>
      <c r="B51" s="3"/>
      <c r="C51" s="3"/>
      <c r="D51" s="3"/>
      <c r="E51" s="8" t="s">
        <v>16</v>
      </c>
      <c r="F51" s="8" t="s">
        <v>18</v>
      </c>
      <c r="G51" s="3"/>
      <c r="H51" s="26"/>
      <c r="I51" s="3"/>
      <c r="J51" s="3"/>
    </row>
    <row r="52" spans="1:10" x14ac:dyDescent="0.25">
      <c r="A52" s="3"/>
      <c r="B52" s="7" t="s">
        <v>19</v>
      </c>
      <c r="C52" s="25" t="s">
        <v>20</v>
      </c>
      <c r="D52" s="25" t="s">
        <v>21</v>
      </c>
      <c r="E52" s="25">
        <f>B53</f>
        <v>10000</v>
      </c>
      <c r="F52" s="25">
        <f>B54</f>
        <v>10000</v>
      </c>
      <c r="G52" s="7" t="s">
        <v>22</v>
      </c>
      <c r="H52" s="26"/>
      <c r="I52" s="3"/>
      <c r="J52" s="3"/>
    </row>
    <row r="53" spans="1:10" x14ac:dyDescent="0.25">
      <c r="A53" s="22" t="s">
        <v>16</v>
      </c>
      <c r="B53" s="26">
        <v>10000</v>
      </c>
      <c r="C53" s="27">
        <v>0</v>
      </c>
      <c r="D53" s="27">
        <v>0</v>
      </c>
      <c r="E53" s="27">
        <f>D53</f>
        <v>0</v>
      </c>
      <c r="F53" s="27">
        <v>0</v>
      </c>
      <c r="G53" s="27">
        <f>SUM(E53:F53)</f>
        <v>0</v>
      </c>
      <c r="H53" s="26"/>
      <c r="I53" s="3"/>
      <c r="J53" s="3"/>
    </row>
    <row r="54" spans="1:10" x14ac:dyDescent="0.25">
      <c r="A54" s="22" t="s">
        <v>18</v>
      </c>
      <c r="B54" s="29">
        <v>10000</v>
      </c>
      <c r="C54" s="30">
        <v>12</v>
      </c>
      <c r="D54" s="30">
        <v>1262800</v>
      </c>
      <c r="E54" s="30">
        <f>$C54*E$52</f>
        <v>120000</v>
      </c>
      <c r="F54" s="30">
        <f>D54-E54</f>
        <v>1142800</v>
      </c>
      <c r="G54" s="30">
        <f>SUM(E54:F54)</f>
        <v>1262800</v>
      </c>
      <c r="H54" s="26"/>
      <c r="I54" s="3"/>
      <c r="J54" s="3"/>
    </row>
    <row r="55" spans="1:10" x14ac:dyDescent="0.25">
      <c r="A55" s="22"/>
      <c r="B55" s="26"/>
      <c r="C55" s="31">
        <f>SUM(C53:C54)</f>
        <v>12</v>
      </c>
      <c r="D55" s="31">
        <f>SUM(D53:D54)</f>
        <v>1262800</v>
      </c>
      <c r="E55" s="31">
        <f>SUM(E53:E54)</f>
        <v>120000</v>
      </c>
      <c r="F55" s="31">
        <f>SUM(F53:F54)</f>
        <v>1142800</v>
      </c>
      <c r="G55" s="31">
        <f>SUM(G53:G54)</f>
        <v>1262800</v>
      </c>
      <c r="H55" s="26"/>
      <c r="I55" s="3"/>
      <c r="J55" s="3"/>
    </row>
    <row r="56" spans="1:10" x14ac:dyDescent="0.25">
      <c r="A56" s="22"/>
      <c r="B56" s="26"/>
      <c r="C56" s="3"/>
      <c r="D56" s="26"/>
      <c r="E56" s="26"/>
      <c r="F56" s="26"/>
      <c r="G56" s="26"/>
      <c r="H56" s="26"/>
      <c r="I56" s="26"/>
      <c r="J56" s="26"/>
    </row>
    <row r="57" spans="1:10" x14ac:dyDescent="0.25">
      <c r="A57" s="32" t="s">
        <v>23</v>
      </c>
      <c r="B57" s="32"/>
      <c r="C57" s="3"/>
      <c r="D57" s="26"/>
      <c r="E57" s="26"/>
      <c r="F57" s="26"/>
      <c r="G57" s="26"/>
      <c r="H57" s="26"/>
      <c r="I57" s="26"/>
      <c r="J57" s="26"/>
    </row>
    <row r="58" spans="1:10" x14ac:dyDescent="0.25">
      <c r="A58" s="22"/>
      <c r="B58" s="7"/>
      <c r="C58" s="25" t="s">
        <v>20</v>
      </c>
      <c r="D58" s="7" t="s">
        <v>21</v>
      </c>
      <c r="E58" s="25" t="s">
        <v>24</v>
      </c>
      <c r="F58" s="25" t="s">
        <v>25</v>
      </c>
      <c r="G58" s="26"/>
      <c r="H58" s="26"/>
      <c r="I58" s="26"/>
      <c r="J58" s="26"/>
    </row>
    <row r="59" spans="1:10" x14ac:dyDescent="0.25">
      <c r="A59" s="22" t="s">
        <v>16</v>
      </c>
      <c r="B59" s="26">
        <f>B53</f>
        <v>10000</v>
      </c>
      <c r="C59" s="33">
        <f>C55</f>
        <v>12</v>
      </c>
      <c r="D59" s="27">
        <f>E55</f>
        <v>120000</v>
      </c>
      <c r="E59" s="34">
        <v>71.95</v>
      </c>
      <c r="F59" s="35">
        <f>E59*C59</f>
        <v>863.40000000000009</v>
      </c>
      <c r="G59" s="26"/>
      <c r="H59" s="3"/>
      <c r="I59" s="3"/>
      <c r="J59" s="26"/>
    </row>
    <row r="60" spans="1:10" x14ac:dyDescent="0.25">
      <c r="A60" s="22" t="s">
        <v>18</v>
      </c>
      <c r="B60" s="29">
        <f>B54</f>
        <v>10000</v>
      </c>
      <c r="C60" s="6"/>
      <c r="D60" s="30">
        <f>F55</f>
        <v>1142800</v>
      </c>
      <c r="E60" s="37">
        <v>4.57</v>
      </c>
      <c r="F60" s="38">
        <f>E60*(D60/1000)</f>
        <v>5222.5960000000005</v>
      </c>
      <c r="G60" s="26"/>
      <c r="H60" s="3"/>
      <c r="I60" s="3"/>
      <c r="J60" s="26"/>
    </row>
    <row r="61" spans="1:10" x14ac:dyDescent="0.25">
      <c r="A61" s="22"/>
      <c r="B61" s="26" t="s">
        <v>22</v>
      </c>
      <c r="C61" s="9">
        <f>SUM(C59:C60)</f>
        <v>12</v>
      </c>
      <c r="D61" s="31">
        <f>SUM(D59:D60)</f>
        <v>1262800</v>
      </c>
      <c r="E61" s="3"/>
      <c r="F61" s="35">
        <f>SUM(F59:F60)</f>
        <v>6085.996000000001</v>
      </c>
      <c r="G61" s="26"/>
      <c r="H61" s="26"/>
      <c r="I61" s="26"/>
      <c r="J61" s="26"/>
    </row>
    <row r="62" spans="1:10" x14ac:dyDescent="0.25">
      <c r="A62" s="22"/>
      <c r="B62" s="26"/>
      <c r="C62" s="39"/>
      <c r="D62" s="31"/>
      <c r="E62" s="3"/>
      <c r="F62" s="34"/>
      <c r="G62" s="26"/>
      <c r="H62" s="26"/>
      <c r="I62" s="26"/>
      <c r="J62" s="26"/>
    </row>
    <row r="63" spans="1:10" ht="15.75" x14ac:dyDescent="0.25">
      <c r="A63" s="24" t="s">
        <v>28</v>
      </c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8" t="s">
        <v>16</v>
      </c>
      <c r="F64" s="8" t="s">
        <v>18</v>
      </c>
      <c r="G64" s="3"/>
      <c r="H64" s="3"/>
      <c r="I64" s="3"/>
      <c r="J64" s="3"/>
    </row>
    <row r="65" spans="1:10" x14ac:dyDescent="0.25">
      <c r="A65" s="3"/>
      <c r="B65" s="7" t="s">
        <v>19</v>
      </c>
      <c r="C65" s="25" t="s">
        <v>20</v>
      </c>
      <c r="D65" s="25" t="s">
        <v>21</v>
      </c>
      <c r="E65" s="25">
        <f>B66</f>
        <v>20000</v>
      </c>
      <c r="F65" s="25">
        <f>B67</f>
        <v>20000</v>
      </c>
      <c r="G65" s="7" t="s">
        <v>22</v>
      </c>
      <c r="H65" s="3"/>
      <c r="I65" s="3"/>
      <c r="J65" s="3"/>
    </row>
    <row r="66" spans="1:10" x14ac:dyDescent="0.25">
      <c r="A66" s="22" t="s">
        <v>16</v>
      </c>
      <c r="B66" s="26">
        <v>20000</v>
      </c>
      <c r="C66" s="27">
        <f>106+196</f>
        <v>302</v>
      </c>
      <c r="D66" s="27">
        <f>672700+1151700</f>
        <v>1824400</v>
      </c>
      <c r="E66" s="27">
        <f>D66</f>
        <v>1824400</v>
      </c>
      <c r="F66" s="27">
        <f>D66-E66</f>
        <v>0</v>
      </c>
      <c r="G66" s="27">
        <f>SUM(E66:F66)</f>
        <v>1824400</v>
      </c>
      <c r="H66" s="3"/>
      <c r="I66" s="3"/>
      <c r="J66" s="3"/>
    </row>
    <row r="67" spans="1:10" x14ac:dyDescent="0.25">
      <c r="A67" s="22" t="s">
        <v>18</v>
      </c>
      <c r="B67" s="29">
        <v>20000</v>
      </c>
      <c r="C67" s="30">
        <f>14+248</f>
        <v>262</v>
      </c>
      <c r="D67" s="30">
        <f>627500+34499100</f>
        <v>35126600</v>
      </c>
      <c r="E67" s="30">
        <f>$C67*E$65</f>
        <v>5240000</v>
      </c>
      <c r="F67" s="30">
        <f>D67-E67</f>
        <v>29886600</v>
      </c>
      <c r="G67" s="30">
        <f>SUM(E67:F67)</f>
        <v>35126600</v>
      </c>
      <c r="H67" s="3"/>
      <c r="I67" s="3"/>
      <c r="J67" s="3"/>
    </row>
    <row r="68" spans="1:10" x14ac:dyDescent="0.25">
      <c r="A68" s="22"/>
      <c r="B68" s="26"/>
      <c r="C68" s="31">
        <f>SUM(C66:C67)</f>
        <v>564</v>
      </c>
      <c r="D68" s="31">
        <f>SUM(D66:D67)</f>
        <v>36951000</v>
      </c>
      <c r="E68" s="31">
        <f>SUM(E66:E67)</f>
        <v>7064400</v>
      </c>
      <c r="F68" s="31">
        <f>SUM(F66:F67)</f>
        <v>29886600</v>
      </c>
      <c r="G68" s="31">
        <f>SUM(G66:G67)</f>
        <v>36951000</v>
      </c>
      <c r="H68" s="3"/>
      <c r="I68" s="3"/>
      <c r="J68" s="3"/>
    </row>
    <row r="69" spans="1:10" x14ac:dyDescent="0.25">
      <c r="A69" s="22"/>
      <c r="B69" s="26"/>
      <c r="C69" s="3"/>
      <c r="D69" s="26"/>
      <c r="E69" s="26"/>
      <c r="F69" s="26"/>
      <c r="G69" s="26"/>
      <c r="H69" s="26"/>
      <c r="I69" s="3"/>
      <c r="J69" s="3"/>
    </row>
    <row r="70" spans="1:10" x14ac:dyDescent="0.25">
      <c r="A70" s="32" t="s">
        <v>23</v>
      </c>
      <c r="B70" s="32"/>
      <c r="C70" s="3"/>
      <c r="D70" s="26"/>
      <c r="E70" s="26"/>
      <c r="F70" s="26"/>
      <c r="G70" s="26"/>
      <c r="H70" s="26"/>
      <c r="I70" s="3"/>
      <c r="J70" s="3"/>
    </row>
    <row r="71" spans="1:10" x14ac:dyDescent="0.25">
      <c r="A71" s="22"/>
      <c r="B71" s="7"/>
      <c r="C71" s="25" t="s">
        <v>20</v>
      </c>
      <c r="D71" s="7" t="s">
        <v>21</v>
      </c>
      <c r="E71" s="25" t="s">
        <v>24</v>
      </c>
      <c r="F71" s="25" t="s">
        <v>25</v>
      </c>
      <c r="G71" s="26"/>
      <c r="H71" s="26"/>
      <c r="I71" s="3"/>
      <c r="J71" s="3"/>
    </row>
    <row r="72" spans="1:10" x14ac:dyDescent="0.25">
      <c r="A72" s="22" t="s">
        <v>16</v>
      </c>
      <c r="B72" s="26">
        <f>B66</f>
        <v>20000</v>
      </c>
      <c r="C72" s="33">
        <f>C68</f>
        <v>564</v>
      </c>
      <c r="D72" s="27">
        <f>E68</f>
        <v>7064400</v>
      </c>
      <c r="E72" s="34">
        <v>117.65</v>
      </c>
      <c r="F72" s="35">
        <f>E72*C72</f>
        <v>66354.600000000006</v>
      </c>
      <c r="G72" s="26"/>
      <c r="H72" s="3"/>
      <c r="I72" s="3"/>
      <c r="J72" s="3"/>
    </row>
    <row r="73" spans="1:10" x14ac:dyDescent="0.25">
      <c r="A73" s="22" t="s">
        <v>18</v>
      </c>
      <c r="B73" s="29">
        <f>B67</f>
        <v>20000</v>
      </c>
      <c r="C73" s="6"/>
      <c r="D73" s="30">
        <f>F68</f>
        <v>29886600</v>
      </c>
      <c r="E73" s="37">
        <v>4.57</v>
      </c>
      <c r="F73" s="38">
        <f>E73*(D73/1000)</f>
        <v>136581.76199999999</v>
      </c>
      <c r="G73" s="26"/>
      <c r="H73" s="3"/>
      <c r="I73" s="3"/>
      <c r="J73" s="3"/>
    </row>
    <row r="74" spans="1:10" x14ac:dyDescent="0.25">
      <c r="A74" s="22"/>
      <c r="B74" s="26" t="s">
        <v>22</v>
      </c>
      <c r="C74" s="9">
        <f>SUM(C72:C73)</f>
        <v>564</v>
      </c>
      <c r="D74" s="31">
        <f>SUM(D72:D73)</f>
        <v>36951000</v>
      </c>
      <c r="E74" s="3"/>
      <c r="F74" s="35">
        <f>SUM(F72:F73)</f>
        <v>202936.36199999999</v>
      </c>
      <c r="G74" s="26"/>
      <c r="H74" s="26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.75" x14ac:dyDescent="0.25">
      <c r="A76" s="24" t="s">
        <v>29</v>
      </c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8" t="s">
        <v>16</v>
      </c>
      <c r="F77" s="8" t="s">
        <v>18</v>
      </c>
      <c r="G77" s="3"/>
      <c r="H77" s="3"/>
      <c r="I77" s="3"/>
      <c r="J77" s="3"/>
    </row>
    <row r="78" spans="1:10" x14ac:dyDescent="0.25">
      <c r="A78" s="3"/>
      <c r="B78" s="7" t="s">
        <v>19</v>
      </c>
      <c r="C78" s="25" t="s">
        <v>20</v>
      </c>
      <c r="D78" s="25" t="s">
        <v>21</v>
      </c>
      <c r="E78" s="25">
        <f>B79</f>
        <v>30000</v>
      </c>
      <c r="F78" s="25">
        <f>B80</f>
        <v>30000</v>
      </c>
      <c r="G78" s="7" t="s">
        <v>22</v>
      </c>
      <c r="H78" s="3"/>
      <c r="I78" s="3"/>
      <c r="J78" s="3"/>
    </row>
    <row r="79" spans="1:10" x14ac:dyDescent="0.25">
      <c r="A79" s="22" t="s">
        <v>16</v>
      </c>
      <c r="B79" s="26">
        <v>30000</v>
      </c>
      <c r="C79" s="27">
        <f>6+15</f>
        <v>21</v>
      </c>
      <c r="D79" s="27">
        <f>71300+92200</f>
        <v>163500</v>
      </c>
      <c r="E79" s="27">
        <f>D79</f>
        <v>163500</v>
      </c>
      <c r="F79" s="27">
        <f>D79-E79</f>
        <v>0</v>
      </c>
      <c r="G79" s="27">
        <f>SUM(E79:F79)</f>
        <v>163500</v>
      </c>
      <c r="H79" s="3"/>
      <c r="I79" s="3"/>
      <c r="J79" s="3"/>
    </row>
    <row r="80" spans="1:10" x14ac:dyDescent="0.25">
      <c r="A80" s="22" t="s">
        <v>18</v>
      </c>
      <c r="B80" s="29">
        <v>30000</v>
      </c>
      <c r="C80" s="30">
        <f>6+3</f>
        <v>9</v>
      </c>
      <c r="D80" s="30">
        <f>675900+139300</f>
        <v>815200</v>
      </c>
      <c r="E80" s="30">
        <f>$C80*E78</f>
        <v>270000</v>
      </c>
      <c r="F80" s="30">
        <f>D80-E80</f>
        <v>545200</v>
      </c>
      <c r="G80" s="30">
        <f>SUM(E80:F80)</f>
        <v>815200</v>
      </c>
      <c r="H80" s="3"/>
      <c r="I80" s="3"/>
      <c r="J80" s="3"/>
    </row>
    <row r="81" spans="1:10" x14ac:dyDescent="0.25">
      <c r="A81" s="22"/>
      <c r="B81" s="26"/>
      <c r="C81" s="31">
        <f>SUM(C79:C80)</f>
        <v>30</v>
      </c>
      <c r="D81" s="31">
        <f>SUM(D79:D80)</f>
        <v>978700</v>
      </c>
      <c r="E81" s="31">
        <f>SUM(E79:E80)</f>
        <v>433500</v>
      </c>
      <c r="F81" s="31">
        <f>SUM(F79:F80)</f>
        <v>545200</v>
      </c>
      <c r="G81" s="31">
        <f>SUM(G79:G80)</f>
        <v>978700</v>
      </c>
      <c r="H81" s="3"/>
      <c r="I81" s="3"/>
      <c r="J81" s="3"/>
    </row>
    <row r="82" spans="1:10" x14ac:dyDescent="0.25">
      <c r="A82" s="22"/>
      <c r="B82" s="26"/>
      <c r="C82" s="3"/>
      <c r="D82" s="26"/>
      <c r="E82" s="26"/>
      <c r="F82" s="26"/>
      <c r="G82" s="26"/>
      <c r="H82" s="3"/>
      <c r="I82" s="3"/>
      <c r="J82" s="3"/>
    </row>
    <row r="83" spans="1:10" x14ac:dyDescent="0.25">
      <c r="A83" s="32" t="s">
        <v>23</v>
      </c>
      <c r="B83" s="32"/>
      <c r="C83" s="3"/>
      <c r="D83" s="26"/>
      <c r="E83" s="26"/>
      <c r="F83" s="26"/>
      <c r="G83" s="26"/>
      <c r="H83" s="3"/>
      <c r="I83" s="3"/>
      <c r="J83" s="3"/>
    </row>
    <row r="84" spans="1:10" x14ac:dyDescent="0.25">
      <c r="A84" s="22"/>
      <c r="B84" s="7"/>
      <c r="C84" s="25" t="s">
        <v>20</v>
      </c>
      <c r="D84" s="7" t="s">
        <v>21</v>
      </c>
      <c r="E84" s="25" t="s">
        <v>24</v>
      </c>
      <c r="F84" s="25" t="s">
        <v>25</v>
      </c>
      <c r="G84" s="26"/>
      <c r="H84" s="3"/>
      <c r="I84" s="3"/>
      <c r="J84" s="3"/>
    </row>
    <row r="85" spans="1:10" x14ac:dyDescent="0.25">
      <c r="A85" s="22" t="s">
        <v>16</v>
      </c>
      <c r="B85" s="26">
        <f>B79</f>
        <v>30000</v>
      </c>
      <c r="C85" s="33">
        <f>C81</f>
        <v>30</v>
      </c>
      <c r="D85" s="27">
        <f>E81</f>
        <v>433500</v>
      </c>
      <c r="E85" s="34">
        <v>163.35</v>
      </c>
      <c r="F85" s="35">
        <f>E85*C85</f>
        <v>4900.5</v>
      </c>
      <c r="G85" s="26"/>
      <c r="H85" s="3"/>
      <c r="I85" s="3"/>
      <c r="J85" s="3"/>
    </row>
    <row r="86" spans="1:10" x14ac:dyDescent="0.25">
      <c r="A86" s="22" t="s">
        <v>18</v>
      </c>
      <c r="B86" s="29">
        <f>B80</f>
        <v>30000</v>
      </c>
      <c r="C86" s="6"/>
      <c r="D86" s="30">
        <f>F81</f>
        <v>545200</v>
      </c>
      <c r="E86" s="37">
        <v>4.57</v>
      </c>
      <c r="F86" s="38">
        <f>E86*(D86/1000)</f>
        <v>2491.5640000000003</v>
      </c>
      <c r="G86" s="26"/>
      <c r="H86" s="3"/>
      <c r="I86" s="3"/>
      <c r="J86" s="3"/>
    </row>
    <row r="87" spans="1:10" x14ac:dyDescent="0.25">
      <c r="A87" s="22"/>
      <c r="B87" s="26" t="s">
        <v>22</v>
      </c>
      <c r="C87" s="9">
        <f>SUM(C85:C86)</f>
        <v>30</v>
      </c>
      <c r="D87" s="31">
        <f>SUM(D85:D86)</f>
        <v>978700</v>
      </c>
      <c r="E87" s="3"/>
      <c r="F87" s="35">
        <f>SUM(F85:F86)</f>
        <v>7392.0640000000003</v>
      </c>
      <c r="G87" s="26"/>
      <c r="H87" s="3"/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.75" x14ac:dyDescent="0.25">
      <c r="A89" s="24" t="s">
        <v>30</v>
      </c>
      <c r="B89" s="3"/>
      <c r="C89" s="3"/>
      <c r="D89" s="3"/>
      <c r="E89" s="3"/>
      <c r="F89" s="31"/>
      <c r="G89" s="3"/>
      <c r="H89" s="3"/>
      <c r="I89" s="3"/>
      <c r="J89" s="3"/>
    </row>
    <row r="90" spans="1:10" x14ac:dyDescent="0.25">
      <c r="A90" s="3"/>
      <c r="B90" s="3"/>
      <c r="C90" s="3"/>
      <c r="D90" s="3"/>
      <c r="E90" s="8" t="s">
        <v>16</v>
      </c>
      <c r="F90" s="8" t="s">
        <v>18</v>
      </c>
      <c r="G90" s="3"/>
      <c r="H90" s="3"/>
      <c r="I90" s="3"/>
      <c r="J90" s="3"/>
    </row>
    <row r="91" spans="1:10" x14ac:dyDescent="0.25">
      <c r="A91" s="3"/>
      <c r="B91" s="7" t="s">
        <v>19</v>
      </c>
      <c r="C91" s="25" t="s">
        <v>20</v>
      </c>
      <c r="D91" s="25" t="s">
        <v>21</v>
      </c>
      <c r="E91" s="25">
        <f>B92</f>
        <v>100000</v>
      </c>
      <c r="F91" s="25">
        <f>B93</f>
        <v>100000</v>
      </c>
      <c r="G91" s="7" t="s">
        <v>22</v>
      </c>
      <c r="H91" s="3"/>
      <c r="I91" s="3"/>
      <c r="J91" s="3"/>
    </row>
    <row r="92" spans="1:10" x14ac:dyDescent="0.25">
      <c r="A92" s="22" t="s">
        <v>16</v>
      </c>
      <c r="B92" s="26">
        <v>100000</v>
      </c>
      <c r="C92" s="27">
        <v>25</v>
      </c>
      <c r="D92" s="27">
        <v>611900</v>
      </c>
      <c r="E92" s="27">
        <f>D92</f>
        <v>611900</v>
      </c>
      <c r="F92" s="27">
        <f>D92-E92</f>
        <v>0</v>
      </c>
      <c r="G92" s="27">
        <f>SUM(E92:F92)</f>
        <v>611900</v>
      </c>
      <c r="H92" s="3"/>
      <c r="I92" s="3"/>
      <c r="J92" s="3"/>
    </row>
    <row r="93" spans="1:10" x14ac:dyDescent="0.25">
      <c r="A93" s="22" t="s">
        <v>18</v>
      </c>
      <c r="B93" s="29">
        <v>100000</v>
      </c>
      <c r="C93" s="30">
        <v>23</v>
      </c>
      <c r="D93" s="30">
        <v>52607300</v>
      </c>
      <c r="E93" s="30">
        <f>$C93*E91</f>
        <v>2300000</v>
      </c>
      <c r="F93" s="30">
        <f>D93-E93</f>
        <v>50307300</v>
      </c>
      <c r="G93" s="30">
        <f>SUM(E93:F93)</f>
        <v>52607300</v>
      </c>
      <c r="H93" s="3"/>
      <c r="I93" s="3"/>
      <c r="J93" s="3"/>
    </row>
    <row r="94" spans="1:10" x14ac:dyDescent="0.25">
      <c r="A94" s="22"/>
      <c r="B94" s="26"/>
      <c r="C94" s="31">
        <f>SUM(C92:C93)</f>
        <v>48</v>
      </c>
      <c r="D94" s="31">
        <f>SUM(D92:D93)</f>
        <v>53219200</v>
      </c>
      <c r="E94" s="31">
        <f>SUM(E92:E93)</f>
        <v>2911900</v>
      </c>
      <c r="F94" s="31">
        <f>SUM(F92:F93)</f>
        <v>50307300</v>
      </c>
      <c r="G94" s="31">
        <f>SUM(G92:G93)</f>
        <v>53219200</v>
      </c>
      <c r="H94" s="3"/>
      <c r="I94" s="3"/>
      <c r="J94" s="3"/>
    </row>
    <row r="95" spans="1:10" x14ac:dyDescent="0.25">
      <c r="A95" s="22"/>
      <c r="B95" s="26"/>
      <c r="C95" s="3"/>
      <c r="D95" s="26"/>
      <c r="E95" s="26"/>
      <c r="F95" s="26"/>
      <c r="G95" s="26"/>
      <c r="H95" s="3"/>
      <c r="I95" s="3"/>
      <c r="J95" s="3"/>
    </row>
    <row r="96" spans="1:10" x14ac:dyDescent="0.25">
      <c r="A96" s="32" t="s">
        <v>23</v>
      </c>
      <c r="B96" s="32"/>
      <c r="C96" s="3"/>
      <c r="D96" s="26"/>
      <c r="E96" s="26"/>
      <c r="F96" s="26"/>
      <c r="G96" s="26"/>
      <c r="H96" s="3"/>
      <c r="I96" s="3"/>
      <c r="J96" s="3"/>
    </row>
    <row r="97" spans="1:10" x14ac:dyDescent="0.25">
      <c r="A97" s="22"/>
      <c r="B97" s="7"/>
      <c r="C97" s="25" t="s">
        <v>20</v>
      </c>
      <c r="D97" s="7" t="s">
        <v>21</v>
      </c>
      <c r="E97" s="25" t="s">
        <v>24</v>
      </c>
      <c r="F97" s="25" t="s">
        <v>25</v>
      </c>
      <c r="G97" s="26"/>
      <c r="H97" s="3"/>
      <c r="I97" s="3"/>
      <c r="J97" s="3"/>
    </row>
    <row r="98" spans="1:10" x14ac:dyDescent="0.25">
      <c r="A98" s="22" t="s">
        <v>16</v>
      </c>
      <c r="B98" s="26">
        <f>B92</f>
        <v>100000</v>
      </c>
      <c r="C98" s="33">
        <f>C94</f>
        <v>48</v>
      </c>
      <c r="D98" s="27">
        <f>E94</f>
        <v>2911900</v>
      </c>
      <c r="E98" s="34">
        <v>483.25</v>
      </c>
      <c r="F98" s="35">
        <f>E98*C98</f>
        <v>23196</v>
      </c>
      <c r="G98" s="26"/>
      <c r="H98" s="3"/>
      <c r="I98" s="3"/>
      <c r="J98" s="3"/>
    </row>
    <row r="99" spans="1:10" x14ac:dyDescent="0.25">
      <c r="A99" s="22" t="s">
        <v>18</v>
      </c>
      <c r="B99" s="29">
        <f>B93</f>
        <v>100000</v>
      </c>
      <c r="C99" s="6"/>
      <c r="D99" s="30">
        <f>F94</f>
        <v>50307300</v>
      </c>
      <c r="E99" s="37">
        <v>4.57</v>
      </c>
      <c r="F99" s="38">
        <f>E99*(D99/1000)</f>
        <v>229904.36100000003</v>
      </c>
      <c r="G99" s="26"/>
      <c r="H99" s="3"/>
      <c r="I99" s="3"/>
      <c r="J99" s="3"/>
    </row>
    <row r="100" spans="1:10" x14ac:dyDescent="0.25">
      <c r="A100" s="22"/>
      <c r="B100" s="26" t="s">
        <v>22</v>
      </c>
      <c r="C100" s="9">
        <f>SUM(C98:C99)</f>
        <v>48</v>
      </c>
      <c r="D100" s="31">
        <f>SUM(D98:D99)</f>
        <v>53219200</v>
      </c>
      <c r="E100" s="3"/>
      <c r="F100" s="35">
        <f>SUM(F98:F99)</f>
        <v>253100.36100000003</v>
      </c>
      <c r="G100" s="26"/>
      <c r="H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40" t="s">
        <v>31</v>
      </c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25" t="s">
        <v>32</v>
      </c>
      <c r="C103" s="25" t="s">
        <v>24</v>
      </c>
      <c r="D103" s="7" t="s">
        <v>22</v>
      </c>
      <c r="E103" s="3"/>
      <c r="F103" s="3"/>
      <c r="G103" s="3"/>
      <c r="H103" s="3"/>
      <c r="I103" s="3"/>
      <c r="J103" s="3"/>
    </row>
    <row r="104" spans="1:10" x14ac:dyDescent="0.25">
      <c r="A104" s="22" t="s">
        <v>33</v>
      </c>
      <c r="B104" s="9">
        <v>366938</v>
      </c>
      <c r="C104" s="36">
        <v>3.42</v>
      </c>
      <c r="D104" s="35">
        <f>B104*C104</f>
        <v>1254927.96</v>
      </c>
      <c r="E104" s="3"/>
      <c r="F104" s="3"/>
      <c r="G104" s="3"/>
      <c r="H104" s="3"/>
      <c r="I104" s="3"/>
      <c r="J104" s="3"/>
    </row>
    <row r="105" spans="1:10" x14ac:dyDescent="0.25">
      <c r="A105" s="22" t="s">
        <v>34</v>
      </c>
      <c r="B105" s="9">
        <v>484158</v>
      </c>
      <c r="C105" s="36">
        <v>3.42</v>
      </c>
      <c r="D105" s="9">
        <f>B105*C105</f>
        <v>1655820.3599999999</v>
      </c>
      <c r="E105" s="3"/>
      <c r="F105" s="3"/>
      <c r="G105" s="3"/>
      <c r="H105" s="3"/>
      <c r="I105" s="3"/>
      <c r="J105" s="3"/>
    </row>
    <row r="106" spans="1:10" ht="17.25" x14ac:dyDescent="0.4">
      <c r="A106" s="22" t="s">
        <v>35</v>
      </c>
      <c r="B106" s="12">
        <v>13819</v>
      </c>
      <c r="C106" s="36">
        <v>3.42</v>
      </c>
      <c r="D106" s="12">
        <f>B106*C106</f>
        <v>47260.979999999996</v>
      </c>
      <c r="E106" s="3"/>
      <c r="F106" s="3"/>
      <c r="G106" s="3"/>
      <c r="H106" s="3"/>
      <c r="I106" s="3"/>
      <c r="J106" s="3"/>
    </row>
    <row r="107" spans="1:10" x14ac:dyDescent="0.25">
      <c r="A107" s="3"/>
      <c r="B107" s="14">
        <f>SUM(B104:B106)</f>
        <v>864915</v>
      </c>
      <c r="C107" s="3"/>
      <c r="D107" s="35">
        <f>SUM(D104:D106)</f>
        <v>2958009.3</v>
      </c>
      <c r="E107" s="3"/>
      <c r="F107" s="3"/>
      <c r="G107" s="3"/>
      <c r="H107" s="3"/>
      <c r="I107" s="3"/>
      <c r="J107" s="3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87D03-795E-4FED-B9E8-44C6AC899768}">
  <dimension ref="A1:J113"/>
  <sheetViews>
    <sheetView workbookViewId="0">
      <selection activeCell="A4" sqref="A4"/>
    </sheetView>
  </sheetViews>
  <sheetFormatPr defaultRowHeight="15" x14ac:dyDescent="0.25"/>
  <cols>
    <col min="1" max="1" width="12.7109375" customWidth="1"/>
    <col min="2" max="2" width="10.42578125" customWidth="1"/>
    <col min="3" max="3" width="9.28515625" customWidth="1"/>
    <col min="4" max="5" width="13.85546875" customWidth="1"/>
    <col min="6" max="6" width="13.28515625" customWidth="1"/>
    <col min="7" max="7" width="13.85546875" customWidth="1"/>
    <col min="8" max="9" width="12.5703125" customWidth="1"/>
  </cols>
  <sheetData>
    <row r="1" spans="1:9" ht="18.75" x14ac:dyDescent="0.3">
      <c r="A1" s="1" t="s">
        <v>36</v>
      </c>
      <c r="B1" s="1"/>
      <c r="C1" s="1"/>
      <c r="D1" s="1"/>
      <c r="E1" s="1"/>
      <c r="F1" s="1"/>
      <c r="G1" s="1"/>
      <c r="H1" s="1"/>
      <c r="I1" s="1"/>
    </row>
    <row r="2" spans="1:9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8.1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3"/>
      <c r="B4" s="3"/>
      <c r="C4" s="4" t="s">
        <v>2</v>
      </c>
      <c r="D4" s="3"/>
      <c r="E4" s="3"/>
      <c r="F4" s="3"/>
      <c r="G4" s="3"/>
      <c r="H4" s="3"/>
      <c r="I4" s="3"/>
    </row>
    <row r="5" spans="1:9" x14ac:dyDescent="0.25">
      <c r="A5" s="3"/>
      <c r="B5" s="3"/>
      <c r="C5" s="5"/>
      <c r="D5" s="6"/>
      <c r="E5" s="7" t="s">
        <v>3</v>
      </c>
      <c r="F5" s="7" t="s">
        <v>4</v>
      </c>
      <c r="G5" s="7" t="s">
        <v>5</v>
      </c>
      <c r="H5" s="8"/>
      <c r="I5" s="3"/>
    </row>
    <row r="6" spans="1:9" x14ac:dyDescent="0.25">
      <c r="A6" s="3"/>
      <c r="B6" s="3"/>
      <c r="C6" s="3" t="s">
        <v>6</v>
      </c>
      <c r="D6" s="3"/>
      <c r="E6" s="33">
        <f>C23</f>
        <v>62570</v>
      </c>
      <c r="F6" s="41">
        <f>D23</f>
        <v>251347000</v>
      </c>
      <c r="G6" s="35">
        <f>F31</f>
        <v>2683202.1209999993</v>
      </c>
      <c r="H6" s="35"/>
      <c r="I6" s="3"/>
    </row>
    <row r="7" spans="1:9" x14ac:dyDescent="0.25">
      <c r="A7" s="3"/>
      <c r="B7" s="3"/>
      <c r="C7" s="3" t="s">
        <v>7</v>
      </c>
      <c r="D7" s="3"/>
      <c r="E7" s="33">
        <f>C40</f>
        <v>420</v>
      </c>
      <c r="F7" s="41">
        <f>D40</f>
        <v>6589900</v>
      </c>
      <c r="G7" s="33">
        <f>F48</f>
        <v>54929.048999999992</v>
      </c>
      <c r="H7" s="33"/>
      <c r="I7" s="3"/>
    </row>
    <row r="8" spans="1:9" x14ac:dyDescent="0.25">
      <c r="A8" s="3"/>
      <c r="B8" s="3"/>
      <c r="C8" s="3" t="s">
        <v>8</v>
      </c>
      <c r="D8" s="3"/>
      <c r="E8" s="33">
        <f>C56</f>
        <v>12</v>
      </c>
      <c r="F8" s="41">
        <f>D63</f>
        <v>1262800</v>
      </c>
      <c r="G8" s="33">
        <f>F63</f>
        <v>7843.9649999999983</v>
      </c>
      <c r="H8" s="33"/>
      <c r="I8" s="3"/>
    </row>
    <row r="9" spans="1:9" x14ac:dyDescent="0.25">
      <c r="A9" s="3"/>
      <c r="B9" s="3"/>
      <c r="C9" s="3" t="s">
        <v>9</v>
      </c>
      <c r="D9" s="3"/>
      <c r="E9" s="33">
        <f>C78</f>
        <v>564</v>
      </c>
      <c r="F9" s="41">
        <f>D78</f>
        <v>36951000</v>
      </c>
      <c r="G9" s="33">
        <f>F78</f>
        <v>250658.93699999998</v>
      </c>
      <c r="H9" s="33"/>
      <c r="I9" s="3"/>
    </row>
    <row r="10" spans="1:9" x14ac:dyDescent="0.25">
      <c r="A10" s="3"/>
      <c r="B10" s="3"/>
      <c r="C10" s="3" t="s">
        <v>10</v>
      </c>
      <c r="D10" s="3"/>
      <c r="E10" s="33">
        <f>C93</f>
        <v>30</v>
      </c>
      <c r="F10" s="41">
        <f>D93</f>
        <v>978700</v>
      </c>
      <c r="G10" s="33">
        <f>F93</f>
        <v>10507.741000000002</v>
      </c>
      <c r="H10" s="33"/>
      <c r="I10" s="3"/>
    </row>
    <row r="11" spans="1:9" ht="17.25" x14ac:dyDescent="0.4">
      <c r="A11" s="3"/>
      <c r="B11" s="3"/>
      <c r="C11" s="3" t="s">
        <v>11</v>
      </c>
      <c r="D11" s="3"/>
      <c r="E11" s="42">
        <f>C100</f>
        <v>48</v>
      </c>
      <c r="F11" s="43">
        <f>D100</f>
        <v>53219200</v>
      </c>
      <c r="G11" s="42">
        <f>F106</f>
        <v>271097.49599999998</v>
      </c>
      <c r="H11" s="33"/>
      <c r="I11" s="3"/>
    </row>
    <row r="12" spans="1:9" x14ac:dyDescent="0.25">
      <c r="A12" s="3"/>
      <c r="B12" s="3"/>
      <c r="C12" s="3" t="s">
        <v>12</v>
      </c>
      <c r="D12" s="3"/>
      <c r="E12" s="14">
        <f>SUM(E6:E11)</f>
        <v>63644</v>
      </c>
      <c r="F12" s="14">
        <f>SUM(F6:F11)</f>
        <v>350348600</v>
      </c>
      <c r="G12" s="15">
        <f>SUM(G6:G11)</f>
        <v>3278239.308999999</v>
      </c>
      <c r="H12" s="44"/>
      <c r="I12" s="3"/>
    </row>
    <row r="13" spans="1:9" ht="17.25" x14ac:dyDescent="0.4">
      <c r="A13" s="3"/>
      <c r="B13" s="3"/>
      <c r="C13" s="3" t="s">
        <v>13</v>
      </c>
      <c r="D13" s="3"/>
      <c r="E13" s="3"/>
      <c r="F13" s="41">
        <f>B113*1000</f>
        <v>864915000</v>
      </c>
      <c r="G13" s="42">
        <f>D113</f>
        <v>3061799.0999999996</v>
      </c>
      <c r="H13" s="42"/>
      <c r="I13" s="3"/>
    </row>
    <row r="14" spans="1:9" ht="20.100000000000001" customHeight="1" x14ac:dyDescent="0.25">
      <c r="A14" s="3"/>
      <c r="B14" s="3"/>
      <c r="C14" s="18" t="s">
        <v>14</v>
      </c>
      <c r="D14" s="19"/>
      <c r="E14" s="19"/>
      <c r="F14" s="19"/>
      <c r="G14" s="20">
        <f>G12+G13</f>
        <v>6340038.4089999981</v>
      </c>
      <c r="H14" s="15"/>
      <c r="I14" s="15"/>
    </row>
    <row r="15" spans="1:9" ht="8.1" customHeight="1" x14ac:dyDescent="0.4">
      <c r="A15" s="3"/>
      <c r="B15" s="3"/>
      <c r="C15" s="3"/>
      <c r="D15" s="3"/>
      <c r="E15" s="3"/>
      <c r="F15" s="22"/>
      <c r="G15" s="45"/>
      <c r="H15" s="3"/>
      <c r="I15" s="15"/>
    </row>
    <row r="16" spans="1:9" ht="15.75" x14ac:dyDescent="0.25">
      <c r="A16" s="24" t="s">
        <v>15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8" t="s">
        <v>16</v>
      </c>
      <c r="F17" s="8" t="s">
        <v>17</v>
      </c>
      <c r="G17" s="8" t="s">
        <v>17</v>
      </c>
      <c r="H17" s="8" t="s">
        <v>18</v>
      </c>
      <c r="I17" s="3"/>
    </row>
    <row r="18" spans="1:9" x14ac:dyDescent="0.25">
      <c r="A18" s="3"/>
      <c r="B18" s="7" t="s">
        <v>19</v>
      </c>
      <c r="C18" s="25" t="s">
        <v>20</v>
      </c>
      <c r="D18" s="25" t="s">
        <v>21</v>
      </c>
      <c r="E18" s="25">
        <f>B19</f>
        <v>2000</v>
      </c>
      <c r="F18" s="25">
        <f>B20</f>
        <v>8000</v>
      </c>
      <c r="G18" s="25">
        <f>B21</f>
        <v>65000</v>
      </c>
      <c r="H18" s="25">
        <f>B22</f>
        <v>75000</v>
      </c>
      <c r="I18" s="7" t="s">
        <v>22</v>
      </c>
    </row>
    <row r="19" spans="1:9" x14ac:dyDescent="0.25">
      <c r="A19" s="22" t="s">
        <v>16</v>
      </c>
      <c r="B19" s="26">
        <v>2000</v>
      </c>
      <c r="C19" s="27">
        <f>20454+2290</f>
        <v>22744</v>
      </c>
      <c r="D19" s="27">
        <f>20080400+1673800</f>
        <v>21754200</v>
      </c>
      <c r="E19" s="27">
        <f>D19</f>
        <v>21754200</v>
      </c>
      <c r="F19" s="27">
        <v>0</v>
      </c>
      <c r="G19" s="27"/>
      <c r="H19" s="27">
        <v>0</v>
      </c>
      <c r="I19" s="27">
        <f>SUM(E19:H19)</f>
        <v>21754200</v>
      </c>
    </row>
    <row r="20" spans="1:9" x14ac:dyDescent="0.25">
      <c r="A20" s="22" t="s">
        <v>17</v>
      </c>
      <c r="B20" s="26">
        <v>8000</v>
      </c>
      <c r="C20" s="27">
        <f>[1]Usage!B5+[1]Usage!B6+[1]Usage!B7-C19</f>
        <v>36519</v>
      </c>
      <c r="D20" s="27">
        <f>[1]Usage!C5+[1]Usage!C6+[1]Usage!C7-D19</f>
        <v>157978900</v>
      </c>
      <c r="E20" s="27">
        <f>C20*E$18</f>
        <v>73038000</v>
      </c>
      <c r="F20" s="27">
        <f>D20-E20</f>
        <v>84940900</v>
      </c>
      <c r="G20" s="27"/>
      <c r="H20" s="27">
        <v>0</v>
      </c>
      <c r="I20" s="27">
        <f>SUM(E20:H20)</f>
        <v>157978900</v>
      </c>
    </row>
    <row r="21" spans="1:9" x14ac:dyDescent="0.25">
      <c r="A21" s="22" t="s">
        <v>17</v>
      </c>
      <c r="B21" s="26">
        <v>65000</v>
      </c>
      <c r="C21" s="27">
        <f>[1]Usage!B22-[1]Usage!B21-C19-C20</f>
        <v>3217</v>
      </c>
      <c r="D21" s="27">
        <f>[1]Usage!C22-[1]Usage!C21-D19-D20</f>
        <v>55762000</v>
      </c>
      <c r="E21" s="27">
        <f>C21*E$18</f>
        <v>6434000</v>
      </c>
      <c r="F21" s="27">
        <f>$C21*F$18</f>
        <v>25736000</v>
      </c>
      <c r="G21" s="27">
        <f>D21-(E21+F21)</f>
        <v>23592000</v>
      </c>
      <c r="H21" s="27"/>
      <c r="I21" s="27">
        <f>SUM(E21:H21)</f>
        <v>55762000</v>
      </c>
    </row>
    <row r="22" spans="1:9" x14ac:dyDescent="0.25">
      <c r="A22" s="22" t="s">
        <v>18</v>
      </c>
      <c r="B22" s="29">
        <v>75000</v>
      </c>
      <c r="C22" s="30">
        <f>[1]Usage!B21</f>
        <v>90</v>
      </c>
      <c r="D22" s="30">
        <f>[1]Usage!C21</f>
        <v>15851900</v>
      </c>
      <c r="E22" s="30">
        <f>C22*E$18</f>
        <v>180000</v>
      </c>
      <c r="F22" s="30">
        <f>$C22*F$18</f>
        <v>720000</v>
      </c>
      <c r="G22" s="30">
        <f>$C22*G$18</f>
        <v>5850000</v>
      </c>
      <c r="H22" s="30">
        <f>D22-(F22+E22+G22)</f>
        <v>9101900</v>
      </c>
      <c r="I22" s="30">
        <f>SUM(E22:H22)</f>
        <v>15851900</v>
      </c>
    </row>
    <row r="23" spans="1:9" x14ac:dyDescent="0.25">
      <c r="A23" s="22"/>
      <c r="B23" s="26"/>
      <c r="C23" s="31">
        <f t="shared" ref="C23:I23" si="0">SUM(C19:C22)</f>
        <v>62570</v>
      </c>
      <c r="D23" s="31">
        <f t="shared" si="0"/>
        <v>251347000</v>
      </c>
      <c r="E23" s="31">
        <f t="shared" si="0"/>
        <v>101406200</v>
      </c>
      <c r="F23" s="31">
        <f t="shared" si="0"/>
        <v>111396900</v>
      </c>
      <c r="G23" s="31">
        <f t="shared" si="0"/>
        <v>29442000</v>
      </c>
      <c r="H23" s="31">
        <f t="shared" si="0"/>
        <v>9101900</v>
      </c>
      <c r="I23" s="31">
        <f t="shared" si="0"/>
        <v>251347000</v>
      </c>
    </row>
    <row r="24" spans="1:9" x14ac:dyDescent="0.25">
      <c r="A24" s="22"/>
      <c r="B24" s="26"/>
      <c r="C24" s="3"/>
      <c r="D24" s="26"/>
      <c r="E24" s="26"/>
      <c r="F24" s="26"/>
      <c r="G24" s="26"/>
      <c r="H24" s="26"/>
      <c r="I24" s="26"/>
    </row>
    <row r="25" spans="1:9" x14ac:dyDescent="0.25">
      <c r="A25" s="32" t="s">
        <v>23</v>
      </c>
      <c r="B25" s="32"/>
      <c r="C25" s="3"/>
      <c r="D25" s="26"/>
      <c r="E25" s="26"/>
      <c r="F25" s="26"/>
      <c r="G25" s="26"/>
      <c r="H25" s="26"/>
      <c r="I25" s="26"/>
    </row>
    <row r="26" spans="1:9" x14ac:dyDescent="0.25">
      <c r="A26" s="22"/>
      <c r="B26" s="7"/>
      <c r="C26" s="25" t="s">
        <v>20</v>
      </c>
      <c r="D26" s="7" t="s">
        <v>21</v>
      </c>
      <c r="E26" s="25" t="s">
        <v>24</v>
      </c>
      <c r="F26" s="25" t="s">
        <v>25</v>
      </c>
      <c r="G26" s="26"/>
      <c r="H26" s="26"/>
      <c r="I26" s="26"/>
    </row>
    <row r="27" spans="1:9" x14ac:dyDescent="0.25">
      <c r="A27" s="22" t="s">
        <v>16</v>
      </c>
      <c r="B27" s="26">
        <f>B19</f>
        <v>2000</v>
      </c>
      <c r="C27" s="33">
        <f>C23</f>
        <v>62570</v>
      </c>
      <c r="D27" s="27">
        <f>E23</f>
        <v>101406200</v>
      </c>
      <c r="E27" s="50">
        <v>24.259999999999998</v>
      </c>
      <c r="F27" s="35">
        <f>E27*C27</f>
        <v>1517948.2</v>
      </c>
      <c r="G27" s="26"/>
      <c r="H27" s="3"/>
      <c r="I27" s="3"/>
    </row>
    <row r="28" spans="1:9" x14ac:dyDescent="0.25">
      <c r="A28" s="22" t="s">
        <v>17</v>
      </c>
      <c r="B28" s="26">
        <f>B20</f>
        <v>8000</v>
      </c>
      <c r="C28" s="3"/>
      <c r="D28" s="27">
        <f>F23</f>
        <v>111396900</v>
      </c>
      <c r="E28" s="17">
        <v>8.3699999999999992</v>
      </c>
      <c r="F28" s="33">
        <f>E28*(D28/1000)</f>
        <v>932392.05299999984</v>
      </c>
      <c r="G28" s="26"/>
      <c r="H28" s="3"/>
      <c r="I28" s="3"/>
    </row>
    <row r="29" spans="1:9" x14ac:dyDescent="0.25">
      <c r="A29" s="22" t="s">
        <v>17</v>
      </c>
      <c r="B29" s="26">
        <f>B21</f>
        <v>65000</v>
      </c>
      <c r="C29" s="3"/>
      <c r="D29" s="27">
        <f>G23</f>
        <v>29442000</v>
      </c>
      <c r="E29" s="17">
        <v>6.4499999999999993</v>
      </c>
      <c r="F29" s="33">
        <f>E29*(D29/1000)</f>
        <v>189900.89999999997</v>
      </c>
      <c r="G29" s="26"/>
      <c r="H29" s="3"/>
      <c r="I29" s="3"/>
    </row>
    <row r="30" spans="1:9" x14ac:dyDescent="0.25">
      <c r="A30" s="22" t="s">
        <v>18</v>
      </c>
      <c r="B30" s="29">
        <f>B22</f>
        <v>75000</v>
      </c>
      <c r="C30" s="6"/>
      <c r="D30" s="30">
        <f>H23</f>
        <v>9101900</v>
      </c>
      <c r="E30" s="51">
        <v>4.72</v>
      </c>
      <c r="F30" s="46">
        <f>E30*(D30/1000)</f>
        <v>42960.967999999993</v>
      </c>
      <c r="G30" s="26"/>
      <c r="H30" s="3"/>
      <c r="I30" s="3"/>
    </row>
    <row r="31" spans="1:9" x14ac:dyDescent="0.25">
      <c r="A31" s="22"/>
      <c r="B31" s="26" t="s">
        <v>22</v>
      </c>
      <c r="C31" s="33">
        <f>SUM(C27:C30)</f>
        <v>62570</v>
      </c>
      <c r="D31" s="31">
        <f>SUM(D27:D30)</f>
        <v>251347000</v>
      </c>
      <c r="E31" s="3"/>
      <c r="F31" s="35">
        <f>SUM(F27:F30)</f>
        <v>2683202.1209999993</v>
      </c>
      <c r="G31" s="26"/>
      <c r="H31" s="26"/>
      <c r="I31" s="26"/>
    </row>
    <row r="32" spans="1:9" x14ac:dyDescent="0.25">
      <c r="A32" s="22"/>
      <c r="B32" s="26"/>
      <c r="C32" s="33"/>
      <c r="D32" s="31"/>
      <c r="E32" s="3"/>
      <c r="F32" s="35"/>
      <c r="G32" s="26"/>
      <c r="H32" s="26"/>
      <c r="I32" s="26"/>
    </row>
    <row r="33" spans="1:9" ht="15.75" x14ac:dyDescent="0.25">
      <c r="A33" s="24" t="s">
        <v>26</v>
      </c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8" t="s">
        <v>16</v>
      </c>
      <c r="F34" s="8" t="s">
        <v>17</v>
      </c>
      <c r="G34" s="8" t="s">
        <v>17</v>
      </c>
      <c r="H34" s="8" t="s">
        <v>18</v>
      </c>
      <c r="I34" s="3"/>
    </row>
    <row r="35" spans="1:9" x14ac:dyDescent="0.25">
      <c r="A35" s="3"/>
      <c r="B35" s="7" t="s">
        <v>19</v>
      </c>
      <c r="C35" s="25" t="s">
        <v>20</v>
      </c>
      <c r="D35" s="25" t="s">
        <v>21</v>
      </c>
      <c r="E35" s="25">
        <f>B36</f>
        <v>5000</v>
      </c>
      <c r="F35" s="25">
        <f>B37</f>
        <v>5000</v>
      </c>
      <c r="G35" s="25">
        <f>B38</f>
        <v>65000</v>
      </c>
      <c r="H35" s="25">
        <f>B39</f>
        <v>75000</v>
      </c>
      <c r="I35" s="7" t="s">
        <v>22</v>
      </c>
    </row>
    <row r="36" spans="1:9" x14ac:dyDescent="0.25">
      <c r="A36" s="22" t="s">
        <v>16</v>
      </c>
      <c r="B36" s="26">
        <v>5000</v>
      </c>
      <c r="C36" s="27">
        <f>58+121</f>
        <v>179</v>
      </c>
      <c r="D36" s="27">
        <f>115800+160800</f>
        <v>276600</v>
      </c>
      <c r="E36" s="27">
        <f>D36</f>
        <v>276600</v>
      </c>
      <c r="F36" s="27">
        <v>0</v>
      </c>
      <c r="G36" s="27">
        <v>0</v>
      </c>
      <c r="H36" s="27">
        <v>0</v>
      </c>
      <c r="I36" s="27">
        <f>SUM(E36:H36)</f>
        <v>276600</v>
      </c>
    </row>
    <row r="37" spans="1:9" x14ac:dyDescent="0.25">
      <c r="A37" s="22" t="s">
        <v>17</v>
      </c>
      <c r="B37" s="26">
        <v>5000</v>
      </c>
      <c r="C37" s="27">
        <f>[1]Usage!D7</f>
        <v>85</v>
      </c>
      <c r="D37" s="27">
        <f>[1]Usage!E7</f>
        <v>608300</v>
      </c>
      <c r="E37" s="27">
        <f>$C37*E$35</f>
        <v>425000</v>
      </c>
      <c r="F37" s="27">
        <f>D37-E37</f>
        <v>183300</v>
      </c>
      <c r="G37" s="27">
        <v>0</v>
      </c>
      <c r="H37" s="27">
        <v>0</v>
      </c>
      <c r="I37" s="27">
        <f>SUM(E37:H37)</f>
        <v>608300</v>
      </c>
    </row>
    <row r="38" spans="1:9" x14ac:dyDescent="0.25">
      <c r="A38" s="22" t="s">
        <v>17</v>
      </c>
      <c r="B38" s="26">
        <v>65000</v>
      </c>
      <c r="C38" s="27">
        <f>[1]Usage!D22-C36-C37-[1]Usage!D21</f>
        <v>142</v>
      </c>
      <c r="D38" s="27">
        <f>[1]Usage!E22-D36-D37-[1]Usage!E21</f>
        <v>3953600</v>
      </c>
      <c r="E38" s="27">
        <f>$C38*E$35</f>
        <v>710000</v>
      </c>
      <c r="F38" s="27">
        <f>$C38*F$35</f>
        <v>710000</v>
      </c>
      <c r="G38" s="27">
        <f>D38-E38-F38</f>
        <v>2533600</v>
      </c>
      <c r="H38" s="27">
        <v>0</v>
      </c>
      <c r="I38" s="27">
        <f>SUM(E38:H38)</f>
        <v>3953600</v>
      </c>
    </row>
    <row r="39" spans="1:9" x14ac:dyDescent="0.25">
      <c r="A39" s="22" t="s">
        <v>18</v>
      </c>
      <c r="B39" s="29">
        <v>75000</v>
      </c>
      <c r="C39" s="30">
        <f>[1]Usage!D21</f>
        <v>14</v>
      </c>
      <c r="D39" s="30">
        <f>[1]Usage!E21</f>
        <v>1751400</v>
      </c>
      <c r="E39" s="30">
        <f>$C39*E$35</f>
        <v>70000</v>
      </c>
      <c r="F39" s="30">
        <f>$C39*F$35</f>
        <v>70000</v>
      </c>
      <c r="G39" s="30">
        <f>$C39*G$35</f>
        <v>910000</v>
      </c>
      <c r="H39" s="30">
        <f>D39-(G39+F39+E39)</f>
        <v>701400</v>
      </c>
      <c r="I39" s="30">
        <f>SUM(E39:H39)</f>
        <v>1751400</v>
      </c>
    </row>
    <row r="40" spans="1:9" x14ac:dyDescent="0.25">
      <c r="A40" s="22"/>
      <c r="B40" s="26"/>
      <c r="C40" s="31">
        <f t="shared" ref="C40:I40" si="1">SUM(C36:C39)</f>
        <v>420</v>
      </c>
      <c r="D40" s="31">
        <f t="shared" si="1"/>
        <v>6589900</v>
      </c>
      <c r="E40" s="31">
        <f t="shared" si="1"/>
        <v>1481600</v>
      </c>
      <c r="F40" s="31">
        <f t="shared" si="1"/>
        <v>963300</v>
      </c>
      <c r="G40" s="31">
        <f t="shared" si="1"/>
        <v>3443600</v>
      </c>
      <c r="H40" s="31">
        <f t="shared" si="1"/>
        <v>701400</v>
      </c>
      <c r="I40" s="31">
        <f t="shared" si="1"/>
        <v>6589900</v>
      </c>
    </row>
    <row r="41" spans="1:9" x14ac:dyDescent="0.25">
      <c r="A41" s="22"/>
      <c r="B41" s="26"/>
      <c r="C41" s="3"/>
      <c r="D41" s="26"/>
      <c r="E41" s="26"/>
      <c r="F41" s="26"/>
      <c r="G41" s="26"/>
      <c r="H41" s="26"/>
      <c r="I41" s="26"/>
    </row>
    <row r="42" spans="1:9" x14ac:dyDescent="0.25">
      <c r="A42" s="32" t="s">
        <v>23</v>
      </c>
      <c r="B42" s="32"/>
      <c r="C42" s="3"/>
      <c r="D42" s="26"/>
      <c r="E42" s="26"/>
      <c r="F42" s="26"/>
      <c r="G42" s="26"/>
      <c r="H42" s="26"/>
      <c r="I42" s="26"/>
    </row>
    <row r="43" spans="1:9" x14ac:dyDescent="0.25">
      <c r="A43" s="22"/>
      <c r="B43" s="7"/>
      <c r="C43" s="25" t="s">
        <v>20</v>
      </c>
      <c r="D43" s="7" t="s">
        <v>21</v>
      </c>
      <c r="E43" s="25" t="s">
        <v>24</v>
      </c>
      <c r="F43" s="25" t="s">
        <v>25</v>
      </c>
      <c r="G43" s="26"/>
      <c r="H43" s="26"/>
      <c r="I43" s="26"/>
    </row>
    <row r="44" spans="1:9" x14ac:dyDescent="0.25">
      <c r="A44" s="22" t="s">
        <v>16</v>
      </c>
      <c r="B44" s="26">
        <f>B36</f>
        <v>5000</v>
      </c>
      <c r="C44" s="33">
        <f>C40</f>
        <v>420</v>
      </c>
      <c r="D44" s="27">
        <f>E40</f>
        <v>1481600</v>
      </c>
      <c r="E44" s="50">
        <v>50.819999999999993</v>
      </c>
      <c r="F44" s="35">
        <f>E44*C44</f>
        <v>21344.399999999998</v>
      </c>
      <c r="G44" s="26"/>
      <c r="H44" s="3"/>
      <c r="I44" s="3"/>
    </row>
    <row r="45" spans="1:9" x14ac:dyDescent="0.25">
      <c r="A45" s="22" t="s">
        <v>17</v>
      </c>
      <c r="B45" s="26">
        <f>B37</f>
        <v>5000</v>
      </c>
      <c r="C45" s="3"/>
      <c r="D45" s="27">
        <f>F40</f>
        <v>963300</v>
      </c>
      <c r="E45" s="17">
        <v>8.3699999999999992</v>
      </c>
      <c r="F45" s="33">
        <f>E45*(D45/1000)</f>
        <v>8062.820999999999</v>
      </c>
      <c r="G45" s="26"/>
      <c r="H45" s="3"/>
      <c r="I45" s="3"/>
    </row>
    <row r="46" spans="1:9" x14ac:dyDescent="0.25">
      <c r="A46" s="22" t="s">
        <v>17</v>
      </c>
      <c r="B46" s="26">
        <f>B38</f>
        <v>65000</v>
      </c>
      <c r="C46" s="3"/>
      <c r="D46" s="27">
        <f>G40</f>
        <v>3443600</v>
      </c>
      <c r="E46" s="17">
        <v>6.4499999999999993</v>
      </c>
      <c r="F46" s="33">
        <f>E46*(D46/1000)</f>
        <v>22211.219999999998</v>
      </c>
      <c r="G46" s="26"/>
      <c r="H46" s="3"/>
      <c r="I46" s="3"/>
    </row>
    <row r="47" spans="1:9" x14ac:dyDescent="0.25">
      <c r="A47" s="22" t="s">
        <v>18</v>
      </c>
      <c r="B47" s="29">
        <f>B39</f>
        <v>75000</v>
      </c>
      <c r="C47" s="6"/>
      <c r="D47" s="30">
        <f>H40</f>
        <v>701400</v>
      </c>
      <c r="E47" s="51">
        <v>4.72</v>
      </c>
      <c r="F47" s="46">
        <f>E47*(D47/1000)</f>
        <v>3310.6079999999997</v>
      </c>
      <c r="G47" s="26"/>
      <c r="H47" s="3"/>
      <c r="I47" s="3"/>
    </row>
    <row r="48" spans="1:9" x14ac:dyDescent="0.25">
      <c r="A48" s="22"/>
      <c r="B48" s="26" t="s">
        <v>22</v>
      </c>
      <c r="C48" s="33">
        <f>SUM(C44:C47)</f>
        <v>420</v>
      </c>
      <c r="D48" s="31">
        <f>SUM(D44:D47)</f>
        <v>6589900</v>
      </c>
      <c r="E48" s="3"/>
      <c r="F48" s="35">
        <f>SUM(F44:F47)</f>
        <v>54929.048999999992</v>
      </c>
      <c r="G48" s="26"/>
      <c r="H48" s="26"/>
      <c r="I48" s="26"/>
    </row>
    <row r="49" spans="1:9" x14ac:dyDescent="0.25">
      <c r="A49" s="22"/>
      <c r="B49" s="26"/>
      <c r="C49" s="33"/>
      <c r="D49" s="31"/>
      <c r="E49" s="3"/>
      <c r="F49" s="35"/>
      <c r="G49" s="26"/>
      <c r="H49" s="26"/>
      <c r="I49" s="26"/>
    </row>
    <row r="50" spans="1:9" ht="15.75" x14ac:dyDescent="0.25">
      <c r="A50" s="24" t="s">
        <v>27</v>
      </c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8" t="s">
        <v>16</v>
      </c>
      <c r="F51" s="8" t="s">
        <v>17</v>
      </c>
      <c r="G51" s="8" t="s">
        <v>18</v>
      </c>
      <c r="H51" s="3"/>
      <c r="I51" s="26"/>
    </row>
    <row r="52" spans="1:9" x14ac:dyDescent="0.25">
      <c r="A52" s="3"/>
      <c r="B52" s="7" t="s">
        <v>19</v>
      </c>
      <c r="C52" s="25" t="s">
        <v>20</v>
      </c>
      <c r="D52" s="25" t="s">
        <v>21</v>
      </c>
      <c r="E52" s="25">
        <f>B53</f>
        <v>10000</v>
      </c>
      <c r="F52" s="25">
        <f>B54</f>
        <v>65000</v>
      </c>
      <c r="G52" s="25">
        <f>B55</f>
        <v>75000</v>
      </c>
      <c r="H52" s="7" t="s">
        <v>22</v>
      </c>
      <c r="I52" s="26"/>
    </row>
    <row r="53" spans="1:9" x14ac:dyDescent="0.25">
      <c r="A53" s="22" t="s">
        <v>16</v>
      </c>
      <c r="B53" s="26">
        <v>10000</v>
      </c>
      <c r="C53" s="27">
        <v>0</v>
      </c>
      <c r="D53" s="27">
        <v>0</v>
      </c>
      <c r="E53" s="27">
        <f>D53</f>
        <v>0</v>
      </c>
      <c r="F53" s="27"/>
      <c r="G53" s="27">
        <v>0</v>
      </c>
      <c r="H53" s="27">
        <f>SUM(E53:G53)</f>
        <v>0</v>
      </c>
      <c r="I53" s="26"/>
    </row>
    <row r="54" spans="1:9" x14ac:dyDescent="0.25">
      <c r="A54" s="22" t="s">
        <v>17</v>
      </c>
      <c r="B54" s="26">
        <v>65000</v>
      </c>
      <c r="C54" s="27">
        <f>SUM([1]Usage!F18:F20)</f>
        <v>3</v>
      </c>
      <c r="D54" s="27">
        <f>SUM([1]Usage!G18:G20)</f>
        <v>208300</v>
      </c>
      <c r="E54" s="27">
        <f>C54*E52</f>
        <v>30000</v>
      </c>
      <c r="F54" s="27">
        <f>D54-E54</f>
        <v>178300</v>
      </c>
      <c r="G54" s="27">
        <v>0</v>
      </c>
      <c r="H54" s="27">
        <f>SUM(E54:G54)</f>
        <v>208300</v>
      </c>
      <c r="I54" s="26"/>
    </row>
    <row r="55" spans="1:9" x14ac:dyDescent="0.25">
      <c r="A55" s="22" t="s">
        <v>18</v>
      </c>
      <c r="B55" s="29">
        <v>75000</v>
      </c>
      <c r="C55" s="30">
        <f>[1]Usage!F21</f>
        <v>9</v>
      </c>
      <c r="D55" s="30">
        <f>[1]Usage!G21</f>
        <v>1054500</v>
      </c>
      <c r="E55" s="30">
        <f>$C55*E$52</f>
        <v>90000</v>
      </c>
      <c r="F55" s="30">
        <f>$C55*F$52</f>
        <v>585000</v>
      </c>
      <c r="G55" s="30">
        <f>D55-E55-F55</f>
        <v>379500</v>
      </c>
      <c r="H55" s="30">
        <f>SUM(E55:G55)</f>
        <v>1054500</v>
      </c>
      <c r="I55" s="26"/>
    </row>
    <row r="56" spans="1:9" x14ac:dyDescent="0.25">
      <c r="A56" s="22"/>
      <c r="B56" s="26"/>
      <c r="C56" s="31">
        <f t="shared" ref="C56:H56" si="2">SUM(C53:C55)</f>
        <v>12</v>
      </c>
      <c r="D56" s="31">
        <f t="shared" si="2"/>
        <v>1262800</v>
      </c>
      <c r="E56" s="31">
        <f t="shared" si="2"/>
        <v>120000</v>
      </c>
      <c r="F56" s="31">
        <f t="shared" si="2"/>
        <v>763300</v>
      </c>
      <c r="G56" s="31">
        <f t="shared" si="2"/>
        <v>379500</v>
      </c>
      <c r="H56" s="31">
        <f t="shared" si="2"/>
        <v>1262800</v>
      </c>
      <c r="I56" s="26"/>
    </row>
    <row r="57" spans="1:9" x14ac:dyDescent="0.25">
      <c r="A57" s="22"/>
      <c r="B57" s="26"/>
      <c r="C57" s="3"/>
      <c r="D57" s="26"/>
      <c r="E57" s="26"/>
      <c r="F57" s="26"/>
      <c r="G57" s="26"/>
      <c r="H57" s="26"/>
      <c r="I57" s="26"/>
    </row>
    <row r="58" spans="1:9" x14ac:dyDescent="0.25">
      <c r="A58" s="32" t="s">
        <v>23</v>
      </c>
      <c r="B58" s="32"/>
      <c r="C58" s="3"/>
      <c r="D58" s="26"/>
      <c r="E58" s="26"/>
      <c r="F58" s="26"/>
      <c r="G58" s="26"/>
      <c r="H58" s="26"/>
      <c r="I58" s="26"/>
    </row>
    <row r="59" spans="1:9" x14ac:dyDescent="0.25">
      <c r="A59" s="22"/>
      <c r="B59" s="7"/>
      <c r="C59" s="25" t="s">
        <v>20</v>
      </c>
      <c r="D59" s="7" t="s">
        <v>21</v>
      </c>
      <c r="E59" s="25" t="s">
        <v>24</v>
      </c>
      <c r="F59" s="25" t="s">
        <v>25</v>
      </c>
      <c r="G59" s="26"/>
      <c r="H59" s="26"/>
      <c r="I59" s="26"/>
    </row>
    <row r="60" spans="1:9" x14ac:dyDescent="0.25">
      <c r="A60" s="22" t="s">
        <v>16</v>
      </c>
      <c r="B60" s="26">
        <f>B53</f>
        <v>10000</v>
      </c>
      <c r="C60" s="33">
        <f>C56</f>
        <v>12</v>
      </c>
      <c r="D60" s="27">
        <f>E56</f>
        <v>120000</v>
      </c>
      <c r="E60" s="50">
        <v>94.11999999999999</v>
      </c>
      <c r="F60" s="35">
        <f>E60*C60</f>
        <v>1129.4399999999998</v>
      </c>
      <c r="G60" s="26"/>
      <c r="H60" s="3"/>
      <c r="I60" s="3">
        <v>94.11999999999999</v>
      </c>
    </row>
    <row r="61" spans="1:9" x14ac:dyDescent="0.25">
      <c r="A61" s="22" t="s">
        <v>17</v>
      </c>
      <c r="B61" s="26">
        <f>B54</f>
        <v>65000</v>
      </c>
      <c r="C61" s="33"/>
      <c r="D61" s="27">
        <f>F56</f>
        <v>763300</v>
      </c>
      <c r="E61" s="17">
        <v>6.4499999999999993</v>
      </c>
      <c r="F61" s="33">
        <f>E61*(D61/1000)</f>
        <v>4923.2849999999989</v>
      </c>
      <c r="G61" s="26"/>
      <c r="H61" s="3"/>
      <c r="I61" s="3">
        <v>6.4499999999999993</v>
      </c>
    </row>
    <row r="62" spans="1:9" x14ac:dyDescent="0.25">
      <c r="A62" s="22" t="s">
        <v>18</v>
      </c>
      <c r="B62" s="29">
        <f>B55</f>
        <v>75000</v>
      </c>
      <c r="C62" s="6"/>
      <c r="D62" s="30">
        <f>G56</f>
        <v>379500</v>
      </c>
      <c r="E62" s="51">
        <v>4.72</v>
      </c>
      <c r="F62" s="46">
        <f>E62*(D62/1000)</f>
        <v>1791.24</v>
      </c>
      <c r="G62" s="26"/>
      <c r="H62" s="3"/>
      <c r="I62" s="3">
        <v>4.72</v>
      </c>
    </row>
    <row r="63" spans="1:9" x14ac:dyDescent="0.25">
      <c r="A63" s="22"/>
      <c r="B63" s="26" t="s">
        <v>22</v>
      </c>
      <c r="C63" s="33">
        <f>SUM(C60:C62)</f>
        <v>12</v>
      </c>
      <c r="D63" s="31">
        <f>SUM(D60:D62)</f>
        <v>1262800</v>
      </c>
      <c r="E63" s="3"/>
      <c r="F63" s="35">
        <f>SUM(F60:F62)</f>
        <v>7843.9649999999983</v>
      </c>
      <c r="G63" s="26"/>
      <c r="H63" s="26"/>
      <c r="I63" s="26"/>
    </row>
    <row r="64" spans="1:9" x14ac:dyDescent="0.25">
      <c r="A64" s="22"/>
      <c r="B64" s="26"/>
      <c r="C64" s="39"/>
      <c r="D64" s="31"/>
      <c r="E64" s="3"/>
      <c r="F64" s="34"/>
      <c r="G64" s="26"/>
      <c r="H64" s="26"/>
      <c r="I64" s="26"/>
    </row>
    <row r="65" spans="1:10" ht="15.75" x14ac:dyDescent="0.25">
      <c r="A65" s="24" t="s">
        <v>28</v>
      </c>
      <c r="B65" s="3"/>
      <c r="C65" s="3"/>
      <c r="D65" s="3"/>
      <c r="E65" s="3"/>
      <c r="F65" s="3"/>
      <c r="G65" s="3"/>
      <c r="H65" s="3"/>
      <c r="I65" s="3"/>
    </row>
    <row r="66" spans="1:10" x14ac:dyDescent="0.25">
      <c r="A66" s="3"/>
      <c r="B66" s="3"/>
      <c r="C66" s="3"/>
      <c r="D66" s="3"/>
      <c r="E66" s="8" t="s">
        <v>16</v>
      </c>
      <c r="F66" s="8" t="s">
        <v>17</v>
      </c>
      <c r="G66" s="8" t="s">
        <v>18</v>
      </c>
      <c r="H66" s="3"/>
      <c r="I66" s="3"/>
    </row>
    <row r="67" spans="1:10" x14ac:dyDescent="0.25">
      <c r="A67" s="3"/>
      <c r="B67" s="7" t="s">
        <v>19</v>
      </c>
      <c r="C67" s="25" t="s">
        <v>20</v>
      </c>
      <c r="D67" s="25" t="s">
        <v>21</v>
      </c>
      <c r="E67" s="25">
        <f>B68</f>
        <v>20000</v>
      </c>
      <c r="F67" s="25">
        <f>B69</f>
        <v>55000</v>
      </c>
      <c r="G67" s="25">
        <f>B70</f>
        <v>75000</v>
      </c>
      <c r="H67" s="7" t="s">
        <v>22</v>
      </c>
      <c r="I67" s="3"/>
    </row>
    <row r="68" spans="1:10" x14ac:dyDescent="0.25">
      <c r="A68" s="22" t="s">
        <v>16</v>
      </c>
      <c r="B68" s="26">
        <v>20000</v>
      </c>
      <c r="C68" s="27">
        <f>SUM([1]Usage!H5:H9)</f>
        <v>302</v>
      </c>
      <c r="D68" s="27">
        <f>SUM([1]Usage!I5:I9)</f>
        <v>1824400</v>
      </c>
      <c r="E68" s="27">
        <f>D68</f>
        <v>1824400</v>
      </c>
      <c r="F68" s="27"/>
      <c r="G68" s="27">
        <f>D68-E68</f>
        <v>0</v>
      </c>
      <c r="H68" s="27">
        <f>SUM(E68:G68)</f>
        <v>1824400</v>
      </c>
      <c r="I68" s="3"/>
    </row>
    <row r="69" spans="1:10" x14ac:dyDescent="0.25">
      <c r="A69" s="22" t="s">
        <v>17</v>
      </c>
      <c r="B69" s="26">
        <v>55000</v>
      </c>
      <c r="C69" s="27">
        <f>SUM([1]Usage!H10:H20)</f>
        <v>118</v>
      </c>
      <c r="D69" s="27">
        <f>SUM([1]Usage!I10:I20)</f>
        <v>4776500</v>
      </c>
      <c r="E69" s="28">
        <f>$C69*E$67</f>
        <v>2360000</v>
      </c>
      <c r="F69" s="27">
        <f>D69-E69</f>
        <v>2416500</v>
      </c>
      <c r="G69" s="27"/>
      <c r="H69" s="27">
        <f>SUM(E69:G69)</f>
        <v>4776500</v>
      </c>
      <c r="I69" s="3"/>
    </row>
    <row r="70" spans="1:10" x14ac:dyDescent="0.25">
      <c r="A70" s="22" t="s">
        <v>18</v>
      </c>
      <c r="B70" s="29">
        <v>75000</v>
      </c>
      <c r="C70" s="30">
        <f>[1]Usage!H21</f>
        <v>144</v>
      </c>
      <c r="D70" s="30">
        <f>[1]Usage!I21</f>
        <v>30350100</v>
      </c>
      <c r="E70" s="30">
        <f>$C70*E$67</f>
        <v>2880000</v>
      </c>
      <c r="F70" s="30">
        <f>$C70*F$67</f>
        <v>7920000</v>
      </c>
      <c r="G70" s="30">
        <f>D70-E70-F70</f>
        <v>19550100</v>
      </c>
      <c r="H70" s="30">
        <f>SUM(E70:G70)</f>
        <v>30350100</v>
      </c>
      <c r="I70" s="3"/>
    </row>
    <row r="71" spans="1:10" x14ac:dyDescent="0.25">
      <c r="A71" s="22"/>
      <c r="B71" s="26"/>
      <c r="C71" s="31">
        <f t="shared" ref="C71:H71" si="3">SUM(C68:C70)</f>
        <v>564</v>
      </c>
      <c r="D71" s="31">
        <f t="shared" si="3"/>
        <v>36951000</v>
      </c>
      <c r="E71" s="31">
        <f t="shared" si="3"/>
        <v>7064400</v>
      </c>
      <c r="F71" s="31">
        <f t="shared" si="3"/>
        <v>10336500</v>
      </c>
      <c r="G71" s="31">
        <f t="shared" si="3"/>
        <v>19550100</v>
      </c>
      <c r="H71" s="31">
        <f t="shared" si="3"/>
        <v>36951000</v>
      </c>
      <c r="I71" s="3"/>
    </row>
    <row r="72" spans="1:10" x14ac:dyDescent="0.25">
      <c r="A72" s="22"/>
      <c r="B72" s="26"/>
      <c r="C72" s="3"/>
      <c r="D72" s="26"/>
      <c r="E72" s="26"/>
      <c r="F72" s="26"/>
      <c r="G72" s="26"/>
      <c r="H72" s="26"/>
      <c r="I72" s="3"/>
    </row>
    <row r="73" spans="1:10" x14ac:dyDescent="0.25">
      <c r="A73" s="32" t="s">
        <v>23</v>
      </c>
      <c r="B73" s="32"/>
      <c r="C73" s="3"/>
      <c r="D73" s="26"/>
      <c r="E73" s="26"/>
      <c r="F73" s="26"/>
      <c r="G73" s="26"/>
      <c r="H73" s="26"/>
      <c r="I73" s="3"/>
    </row>
    <row r="74" spans="1:10" x14ac:dyDescent="0.25">
      <c r="A74" s="22"/>
      <c r="B74" s="7"/>
      <c r="C74" s="25" t="s">
        <v>20</v>
      </c>
      <c r="D74" s="7" t="s">
        <v>21</v>
      </c>
      <c r="E74" s="25" t="s">
        <v>24</v>
      </c>
      <c r="F74" s="25" t="s">
        <v>25</v>
      </c>
      <c r="G74" s="26"/>
      <c r="H74" s="26"/>
      <c r="I74" s="3"/>
    </row>
    <row r="75" spans="1:10" x14ac:dyDescent="0.25">
      <c r="A75" s="22" t="s">
        <v>16</v>
      </c>
      <c r="B75" s="26">
        <f>B68</f>
        <v>20000</v>
      </c>
      <c r="C75" s="33">
        <f>C71</f>
        <v>564</v>
      </c>
      <c r="D75" s="27">
        <f>E71</f>
        <v>7064400</v>
      </c>
      <c r="E75" s="48">
        <v>162.60999999999999</v>
      </c>
      <c r="F75" s="35">
        <f>E75*C75</f>
        <v>91712.04</v>
      </c>
      <c r="G75" s="26"/>
      <c r="H75" s="3"/>
      <c r="I75" s="3"/>
      <c r="J75">
        <v>162.60999999999999</v>
      </c>
    </row>
    <row r="76" spans="1:10" x14ac:dyDescent="0.25">
      <c r="A76" s="22" t="s">
        <v>17</v>
      </c>
      <c r="B76" s="26">
        <f>B69</f>
        <v>55000</v>
      </c>
      <c r="C76" s="33"/>
      <c r="D76" s="27">
        <f>F71</f>
        <v>10336500</v>
      </c>
      <c r="E76" s="47">
        <v>6.4499999999999993</v>
      </c>
      <c r="F76" s="33">
        <f>E76*(D76/1000)</f>
        <v>66670.424999999988</v>
      </c>
      <c r="G76" s="26"/>
      <c r="H76" s="3"/>
      <c r="I76" s="3"/>
      <c r="J76">
        <v>6.4499999999999993</v>
      </c>
    </row>
    <row r="77" spans="1:10" x14ac:dyDescent="0.25">
      <c r="A77" s="22" t="s">
        <v>18</v>
      </c>
      <c r="B77" s="29">
        <f>B70</f>
        <v>75000</v>
      </c>
      <c r="C77" s="6"/>
      <c r="D77" s="30">
        <f>G71</f>
        <v>19550100</v>
      </c>
      <c r="E77" s="49">
        <v>4.72</v>
      </c>
      <c r="F77" s="46">
        <f>E77*(D77/1000)</f>
        <v>92276.471999999994</v>
      </c>
      <c r="G77" s="26"/>
      <c r="H77" s="3"/>
      <c r="I77" s="3"/>
      <c r="J77">
        <v>4.72</v>
      </c>
    </row>
    <row r="78" spans="1:10" x14ac:dyDescent="0.25">
      <c r="A78" s="22"/>
      <c r="B78" s="26" t="s">
        <v>22</v>
      </c>
      <c r="C78" s="33">
        <f>SUM(C75:C77)</f>
        <v>564</v>
      </c>
      <c r="D78" s="31">
        <f>SUM(D75:D77)</f>
        <v>36951000</v>
      </c>
      <c r="E78" s="3"/>
      <c r="F78" s="35">
        <f>SUM(F75:F77)</f>
        <v>250658.93699999998</v>
      </c>
      <c r="G78" s="26"/>
      <c r="H78" s="26"/>
      <c r="I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10" ht="15.75" x14ac:dyDescent="0.25">
      <c r="A80" s="24" t="s">
        <v>29</v>
      </c>
      <c r="B80" s="3"/>
      <c r="C80" s="3"/>
      <c r="D80" s="3"/>
      <c r="E80" s="3"/>
      <c r="F80" s="3"/>
      <c r="G80" s="3"/>
      <c r="H80" s="3"/>
      <c r="I80" s="3"/>
    </row>
    <row r="81" spans="1:10" x14ac:dyDescent="0.25">
      <c r="A81" s="3"/>
      <c r="B81" s="3"/>
      <c r="C81" s="3"/>
      <c r="D81" s="3"/>
      <c r="E81" s="8" t="s">
        <v>16</v>
      </c>
      <c r="F81" s="8" t="s">
        <v>17</v>
      </c>
      <c r="G81" s="8" t="s">
        <v>18</v>
      </c>
      <c r="H81" s="3"/>
      <c r="I81" s="3"/>
    </row>
    <row r="82" spans="1:10" x14ac:dyDescent="0.25">
      <c r="A82" s="3"/>
      <c r="B82" s="7" t="s">
        <v>19</v>
      </c>
      <c r="C82" s="25" t="s">
        <v>20</v>
      </c>
      <c r="D82" s="25" t="s">
        <v>21</v>
      </c>
      <c r="E82" s="25">
        <f>B83</f>
        <v>30000</v>
      </c>
      <c r="F82" s="25">
        <f>B84</f>
        <v>45000</v>
      </c>
      <c r="G82" s="25">
        <f>B85</f>
        <v>75000</v>
      </c>
      <c r="H82" s="7" t="s">
        <v>22</v>
      </c>
      <c r="I82" s="3"/>
    </row>
    <row r="83" spans="1:10" x14ac:dyDescent="0.25">
      <c r="A83" s="22" t="s">
        <v>16</v>
      </c>
      <c r="B83" s="26">
        <v>30000</v>
      </c>
      <c r="C83" s="27">
        <f>SUM([1]Usage!J5:J11)</f>
        <v>21</v>
      </c>
      <c r="D83" s="27">
        <f>SUM([1]Usage!K5:K11)</f>
        <v>163500</v>
      </c>
      <c r="E83" s="27">
        <f>D83</f>
        <v>163500</v>
      </c>
      <c r="F83" s="27"/>
      <c r="G83" s="27">
        <f>D83-E83</f>
        <v>0</v>
      </c>
      <c r="H83" s="27">
        <f>SUM(E83:G83)</f>
        <v>163500</v>
      </c>
      <c r="I83" s="3"/>
    </row>
    <row r="84" spans="1:10" x14ac:dyDescent="0.25">
      <c r="A84" s="22" t="s">
        <v>17</v>
      </c>
      <c r="B84" s="26">
        <v>45000</v>
      </c>
      <c r="C84" s="27">
        <f>SUM([1]Usage!J12:J20)</f>
        <v>8</v>
      </c>
      <c r="D84" s="27">
        <f>SUM([1]Usage!K12:K20)</f>
        <v>333900</v>
      </c>
      <c r="E84" s="28">
        <f>$C84*E$82</f>
        <v>240000</v>
      </c>
      <c r="F84" s="27">
        <f>D84-E84</f>
        <v>93900</v>
      </c>
      <c r="G84" s="27"/>
      <c r="H84" s="27">
        <f>SUM(E84:G84)</f>
        <v>333900</v>
      </c>
      <c r="I84" s="3"/>
    </row>
    <row r="85" spans="1:10" x14ac:dyDescent="0.25">
      <c r="A85" s="22" t="s">
        <v>18</v>
      </c>
      <c r="B85" s="29">
        <v>75000</v>
      </c>
      <c r="C85" s="30">
        <f>[1]Usage!J21</f>
        <v>1</v>
      </c>
      <c r="D85" s="30">
        <f>[1]Usage!K21</f>
        <v>481300</v>
      </c>
      <c r="E85" s="30">
        <f>$C85*E$82</f>
        <v>30000</v>
      </c>
      <c r="F85" s="30">
        <f>$C85*F$82</f>
        <v>45000</v>
      </c>
      <c r="G85" s="30">
        <f>D85-E85-F85</f>
        <v>406300</v>
      </c>
      <c r="H85" s="30">
        <f>SUM(E85:G85)</f>
        <v>481300</v>
      </c>
      <c r="I85" s="3"/>
    </row>
    <row r="86" spans="1:10" x14ac:dyDescent="0.25">
      <c r="A86" s="22"/>
      <c r="B86" s="26"/>
      <c r="C86" s="31">
        <f t="shared" ref="C86:H86" si="4">SUM(C83:C85)</f>
        <v>30</v>
      </c>
      <c r="D86" s="31">
        <f t="shared" si="4"/>
        <v>978700</v>
      </c>
      <c r="E86" s="31">
        <f t="shared" si="4"/>
        <v>433500</v>
      </c>
      <c r="F86" s="31">
        <f t="shared" si="4"/>
        <v>138900</v>
      </c>
      <c r="G86" s="31">
        <f t="shared" si="4"/>
        <v>406300</v>
      </c>
      <c r="H86" s="31">
        <f t="shared" si="4"/>
        <v>978700</v>
      </c>
      <c r="I86" s="3"/>
    </row>
    <row r="87" spans="1:10" x14ac:dyDescent="0.25">
      <c r="A87" s="22"/>
      <c r="B87" s="26"/>
      <c r="C87" s="3"/>
      <c r="D87" s="26"/>
      <c r="E87" s="26"/>
      <c r="F87" s="26"/>
      <c r="G87" s="26"/>
      <c r="H87" s="26"/>
      <c r="I87" s="3"/>
    </row>
    <row r="88" spans="1:10" x14ac:dyDescent="0.25">
      <c r="A88" s="32" t="s">
        <v>23</v>
      </c>
      <c r="B88" s="32"/>
      <c r="C88" s="3"/>
      <c r="D88" s="26"/>
      <c r="E88" s="26"/>
      <c r="F88" s="26"/>
      <c r="G88" s="26"/>
      <c r="H88" s="26"/>
      <c r="I88" s="3"/>
    </row>
    <row r="89" spans="1:10" x14ac:dyDescent="0.25">
      <c r="A89" s="22"/>
      <c r="B89" s="7"/>
      <c r="C89" s="25" t="s">
        <v>20</v>
      </c>
      <c r="D89" s="7" t="s">
        <v>21</v>
      </c>
      <c r="E89" s="25" t="s">
        <v>24</v>
      </c>
      <c r="F89" s="25" t="s">
        <v>25</v>
      </c>
      <c r="G89" s="26"/>
      <c r="H89" s="26"/>
      <c r="I89" s="3"/>
    </row>
    <row r="90" spans="1:10" x14ac:dyDescent="0.25">
      <c r="A90" s="22" t="s">
        <v>16</v>
      </c>
      <c r="B90" s="26">
        <f>B83</f>
        <v>30000</v>
      </c>
      <c r="C90" s="33">
        <f>C86</f>
        <v>30</v>
      </c>
      <c r="D90" s="27">
        <f>E86</f>
        <v>433500</v>
      </c>
      <c r="E90" s="48">
        <v>256.47000000000003</v>
      </c>
      <c r="F90" s="35">
        <f>E90*C90</f>
        <v>7694.1</v>
      </c>
      <c r="G90" s="26"/>
      <c r="H90" s="3"/>
      <c r="I90" s="3"/>
      <c r="J90">
        <v>256.47000000000003</v>
      </c>
    </row>
    <row r="91" spans="1:10" x14ac:dyDescent="0.25">
      <c r="A91" s="22" t="s">
        <v>17</v>
      </c>
      <c r="B91" s="26">
        <f>B84</f>
        <v>45000</v>
      </c>
      <c r="C91" s="33"/>
      <c r="D91" s="27">
        <f>F86</f>
        <v>138900</v>
      </c>
      <c r="E91" s="47">
        <v>6.4499999999999993</v>
      </c>
      <c r="F91" s="33">
        <f>E91*(D91/1000)</f>
        <v>895.90499999999997</v>
      </c>
      <c r="G91" s="26"/>
      <c r="H91" s="3"/>
      <c r="I91" s="3"/>
      <c r="J91">
        <v>6.4499999999999993</v>
      </c>
    </row>
    <row r="92" spans="1:10" x14ac:dyDescent="0.25">
      <c r="A92" s="22" t="s">
        <v>18</v>
      </c>
      <c r="B92" s="29">
        <f>B85</f>
        <v>75000</v>
      </c>
      <c r="C92" s="6"/>
      <c r="D92" s="30">
        <f>G86</f>
        <v>406300</v>
      </c>
      <c r="E92" s="49">
        <v>4.72</v>
      </c>
      <c r="F92" s="46">
        <f>E92*(D92/1000)</f>
        <v>1917.7359999999999</v>
      </c>
      <c r="G92" s="26"/>
      <c r="H92" s="3"/>
      <c r="I92" s="3"/>
      <c r="J92">
        <v>4.72</v>
      </c>
    </row>
    <row r="93" spans="1:10" x14ac:dyDescent="0.25">
      <c r="A93" s="22"/>
      <c r="B93" s="26" t="s">
        <v>22</v>
      </c>
      <c r="C93" s="33">
        <f>SUM(C90:C92)</f>
        <v>30</v>
      </c>
      <c r="D93" s="31">
        <f>SUM(D90:D92)</f>
        <v>978700</v>
      </c>
      <c r="E93" s="3"/>
      <c r="F93" s="35">
        <f>SUM(F90:F92)</f>
        <v>10507.741000000002</v>
      </c>
      <c r="G93" s="26"/>
      <c r="H93" s="26"/>
      <c r="I93" s="3"/>
    </row>
    <row r="94" spans="1:10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10" ht="15.75" x14ac:dyDescent="0.25">
      <c r="A95" s="24" t="s">
        <v>30</v>
      </c>
      <c r="B95" s="3"/>
      <c r="C95" s="3"/>
      <c r="D95" s="3"/>
      <c r="E95" s="3"/>
      <c r="F95" s="31"/>
      <c r="G95" s="3"/>
      <c r="H95" s="3"/>
      <c r="I95" s="3"/>
    </row>
    <row r="96" spans="1:10" x14ac:dyDescent="0.25">
      <c r="A96" s="3"/>
      <c r="B96" s="3"/>
      <c r="C96" s="3"/>
      <c r="D96" s="3"/>
      <c r="E96" s="8" t="s">
        <v>16</v>
      </c>
      <c r="F96" s="8" t="s">
        <v>18</v>
      </c>
      <c r="G96" s="3"/>
      <c r="H96" s="3"/>
      <c r="I96" s="3"/>
    </row>
    <row r="97" spans="1:10" x14ac:dyDescent="0.25">
      <c r="A97" s="3"/>
      <c r="B97" s="7" t="s">
        <v>19</v>
      </c>
      <c r="C97" s="25" t="s">
        <v>20</v>
      </c>
      <c r="D97" s="25" t="s">
        <v>21</v>
      </c>
      <c r="E97" s="25">
        <f>B98</f>
        <v>100000</v>
      </c>
      <c r="F97" s="25">
        <f>B99</f>
        <v>100000</v>
      </c>
      <c r="G97" s="7" t="s">
        <v>22</v>
      </c>
      <c r="H97" s="3"/>
      <c r="I97" s="3"/>
    </row>
    <row r="98" spans="1:10" x14ac:dyDescent="0.25">
      <c r="A98" s="22" t="s">
        <v>16</v>
      </c>
      <c r="B98" s="26">
        <v>100000</v>
      </c>
      <c r="C98" s="27">
        <v>25</v>
      </c>
      <c r="D98" s="27">
        <v>611900</v>
      </c>
      <c r="E98" s="27">
        <f>D98</f>
        <v>611900</v>
      </c>
      <c r="F98" s="27">
        <f>D98-E98</f>
        <v>0</v>
      </c>
      <c r="G98" s="27">
        <f>SUM(E98:F98)</f>
        <v>611900</v>
      </c>
      <c r="H98" s="3"/>
      <c r="I98" s="3"/>
    </row>
    <row r="99" spans="1:10" x14ac:dyDescent="0.25">
      <c r="A99" s="22" t="s">
        <v>18</v>
      </c>
      <c r="B99" s="29">
        <v>100000</v>
      </c>
      <c r="C99" s="30">
        <v>23</v>
      </c>
      <c r="D99" s="30">
        <v>52607300</v>
      </c>
      <c r="E99" s="30">
        <f>$C99*E97</f>
        <v>2300000</v>
      </c>
      <c r="F99" s="30">
        <f>D99-E99</f>
        <v>50307300</v>
      </c>
      <c r="G99" s="30">
        <f>SUM(E99:F99)</f>
        <v>52607300</v>
      </c>
      <c r="H99" s="3"/>
      <c r="I99" s="3"/>
    </row>
    <row r="100" spans="1:10" x14ac:dyDescent="0.25">
      <c r="A100" s="22"/>
      <c r="B100" s="26"/>
      <c r="C100" s="31">
        <f>SUM(C98:C99)</f>
        <v>48</v>
      </c>
      <c r="D100" s="31">
        <f>SUM(D98:D99)</f>
        <v>53219200</v>
      </c>
      <c r="E100" s="31">
        <f>SUM(E98:E99)</f>
        <v>2911900</v>
      </c>
      <c r="F100" s="31">
        <f>SUM(F98:F99)</f>
        <v>50307300</v>
      </c>
      <c r="G100" s="31">
        <f>SUM(G98:G99)</f>
        <v>53219200</v>
      </c>
      <c r="H100" s="3"/>
      <c r="I100" s="3"/>
    </row>
    <row r="101" spans="1:10" x14ac:dyDescent="0.25">
      <c r="A101" s="22"/>
      <c r="B101" s="26"/>
      <c r="C101" s="3"/>
      <c r="D101" s="26"/>
      <c r="E101" s="26"/>
      <c r="F101" s="26"/>
      <c r="G101" s="26"/>
      <c r="H101" s="3"/>
      <c r="I101" s="3"/>
    </row>
    <row r="102" spans="1:10" x14ac:dyDescent="0.25">
      <c r="A102" s="32" t="s">
        <v>23</v>
      </c>
      <c r="B102" s="32"/>
      <c r="C102" s="3"/>
      <c r="D102" s="26"/>
      <c r="E102" s="26"/>
      <c r="F102" s="26"/>
      <c r="G102" s="26"/>
      <c r="H102" s="3"/>
      <c r="I102" s="3"/>
    </row>
    <row r="103" spans="1:10" x14ac:dyDescent="0.25">
      <c r="A103" s="22"/>
      <c r="B103" s="7"/>
      <c r="C103" s="25" t="s">
        <v>20</v>
      </c>
      <c r="D103" s="7" t="s">
        <v>21</v>
      </c>
      <c r="E103" s="25" t="s">
        <v>24</v>
      </c>
      <c r="F103" s="25" t="s">
        <v>25</v>
      </c>
      <c r="G103" s="26"/>
      <c r="H103" s="3"/>
      <c r="I103" s="3"/>
    </row>
    <row r="104" spans="1:10" x14ac:dyDescent="0.25">
      <c r="A104" s="22" t="s">
        <v>16</v>
      </c>
      <c r="B104" s="26">
        <f>B98</f>
        <v>100000</v>
      </c>
      <c r="C104" s="33">
        <f>C100</f>
        <v>48</v>
      </c>
      <c r="D104" s="27">
        <f>E100</f>
        <v>2911900</v>
      </c>
      <c r="E104" s="48">
        <v>700.9799999999999</v>
      </c>
      <c r="F104" s="35">
        <f>E104*C104</f>
        <v>33647.039999999994</v>
      </c>
      <c r="G104" s="26"/>
      <c r="H104" s="3"/>
      <c r="I104" s="3"/>
      <c r="J104">
        <v>700.9799999999999</v>
      </c>
    </row>
    <row r="105" spans="1:10" x14ac:dyDescent="0.25">
      <c r="A105" s="22" t="s">
        <v>18</v>
      </c>
      <c r="B105" s="29">
        <f>B99</f>
        <v>100000</v>
      </c>
      <c r="C105" s="6"/>
      <c r="D105" s="30">
        <f>F100</f>
        <v>50307300</v>
      </c>
      <c r="E105" s="49">
        <v>4.72</v>
      </c>
      <c r="F105" s="46">
        <f>E105*(D105/1000)</f>
        <v>237450.45600000001</v>
      </c>
      <c r="G105" s="26"/>
      <c r="H105" s="3"/>
      <c r="I105" s="3"/>
      <c r="J105">
        <v>4.72</v>
      </c>
    </row>
    <row r="106" spans="1:10" x14ac:dyDescent="0.25">
      <c r="A106" s="22"/>
      <c r="B106" s="26" t="s">
        <v>22</v>
      </c>
      <c r="C106" s="33">
        <f>SUM(C104:C105)</f>
        <v>48</v>
      </c>
      <c r="D106" s="31">
        <f>SUM(D104:D105)</f>
        <v>53219200</v>
      </c>
      <c r="E106" s="3"/>
      <c r="F106" s="35">
        <f>SUM(F104:F105)</f>
        <v>271097.49599999998</v>
      </c>
      <c r="G106" s="26"/>
      <c r="H106" s="3"/>
      <c r="I106" s="3"/>
    </row>
    <row r="107" spans="1:10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10" x14ac:dyDescent="0.25">
      <c r="A108" s="40" t="s">
        <v>31</v>
      </c>
      <c r="B108" s="3"/>
      <c r="C108" s="3"/>
      <c r="D108" s="3"/>
      <c r="E108" s="3"/>
      <c r="F108" s="3"/>
      <c r="G108" s="3"/>
      <c r="H108" s="3"/>
      <c r="I108" s="3"/>
    </row>
    <row r="109" spans="1:10" x14ac:dyDescent="0.25">
      <c r="A109" s="3"/>
      <c r="B109" s="25" t="s">
        <v>32</v>
      </c>
      <c r="C109" s="25" t="s">
        <v>24</v>
      </c>
      <c r="D109" s="7" t="s">
        <v>22</v>
      </c>
      <c r="E109" s="3"/>
      <c r="F109" s="3"/>
      <c r="G109" s="3"/>
      <c r="H109" s="3"/>
      <c r="I109" s="3"/>
    </row>
    <row r="110" spans="1:10" x14ac:dyDescent="0.25">
      <c r="A110" s="22" t="s">
        <v>33</v>
      </c>
      <c r="B110" s="33">
        <v>366938</v>
      </c>
      <c r="C110" s="48">
        <v>3.54</v>
      </c>
      <c r="D110" s="35">
        <f>B110*C110</f>
        <v>1298960.52</v>
      </c>
      <c r="E110" s="3"/>
      <c r="F110" s="3"/>
      <c r="G110" s="3"/>
      <c r="H110" s="3"/>
      <c r="I110" s="3"/>
      <c r="J110">
        <v>3.54</v>
      </c>
    </row>
    <row r="111" spans="1:10" x14ac:dyDescent="0.25">
      <c r="A111" s="22" t="s">
        <v>34</v>
      </c>
      <c r="B111" s="33">
        <v>484158</v>
      </c>
      <c r="C111" s="47">
        <v>3.54</v>
      </c>
      <c r="D111" s="33">
        <f>B111*C111</f>
        <v>1713919.32</v>
      </c>
      <c r="E111" s="3"/>
      <c r="F111" s="3"/>
      <c r="G111" s="3"/>
      <c r="H111" s="3"/>
      <c r="I111" s="3"/>
      <c r="J111">
        <v>3.54</v>
      </c>
    </row>
    <row r="112" spans="1:10" ht="17.25" x14ac:dyDescent="0.4">
      <c r="A112" s="22" t="s">
        <v>35</v>
      </c>
      <c r="B112" s="42">
        <v>13819</v>
      </c>
      <c r="C112" s="47">
        <v>3.54</v>
      </c>
      <c r="D112" s="42">
        <f>B112*C112</f>
        <v>48919.26</v>
      </c>
      <c r="E112" s="3"/>
      <c r="F112" s="3"/>
      <c r="G112" s="3"/>
      <c r="H112" s="3"/>
      <c r="I112" s="3"/>
      <c r="J112">
        <v>3.54</v>
      </c>
    </row>
    <row r="113" spans="1:9" x14ac:dyDescent="0.25">
      <c r="A113" s="3"/>
      <c r="B113" s="14">
        <f>SUM(B110:B112)</f>
        <v>864915</v>
      </c>
      <c r="C113" s="3"/>
      <c r="D113" s="35">
        <f>SUM(D110:D112)</f>
        <v>3061799.0999999996</v>
      </c>
      <c r="E113" s="3"/>
      <c r="F113" s="3"/>
      <c r="G113" s="3"/>
      <c r="H113" s="3"/>
      <c r="I113" s="3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ExBA</vt:lpstr>
      <vt:lpstr>PropBA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2022-06-06T18:31:42Z</dcterms:created>
  <dcterms:modified xsi:type="dcterms:W3CDTF">2022-06-06T19:18:46Z</dcterms:modified>
</cp:coreProperties>
</file>