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li\Google Drive\Daviess County 2022\"/>
    </mc:Choice>
  </mc:AlternateContent>
  <xr:revisionPtr revIDLastSave="0" documentId="13_ncr:1_{73103248-5F99-4C5A-AB23-BAECD3CE66E9}" xr6:coauthVersionLast="47" xr6:coauthVersionMax="47" xr10:uidLastSave="{00000000-0000-0000-0000-000000000000}"/>
  <bookViews>
    <workbookView xWindow="-120" yWindow="-120" windowWidth="29040" windowHeight="15840" tabRatio="655" xr2:uid="{81BC2775-36FB-4C36-9409-D1FA02229A9F}"/>
    <workbookView xWindow="-15" yWindow="0" windowWidth="9180" windowHeight="15630" firstSheet="13" activeTab="15" xr2:uid="{EE169BA1-FCFA-4B8F-831C-7A30CF78D4F9}"/>
  </bookViews>
  <sheets>
    <sheet name="SAO" sheetId="6" r:id="rId1"/>
    <sheet name="Adj" sheetId="31" r:id="rId2"/>
    <sheet name="Resale" sheetId="42" r:id="rId3"/>
    <sheet name="Depr" sheetId="32" r:id="rId4"/>
    <sheet name="Sys" sheetId="24" r:id="rId5"/>
    <sheet name="Fac" sheetId="25" r:id="rId6"/>
    <sheet name="Al_DepW" sheetId="33" r:id="rId7"/>
    <sheet name="Al_Plt" sheetId="39" r:id="rId8"/>
    <sheet name="mtrx" sheetId="43" r:id="rId9"/>
    <sheet name="Whol" sheetId="22" r:id="rId10"/>
    <sheet name="AlocOM_R" sheetId="26" r:id="rId11"/>
    <sheet name="AlocSum" sheetId="27" r:id="rId12"/>
    <sheet name="CalcRet" sheetId="28" r:id="rId13"/>
    <sheet name="ExBA" sheetId="10" r:id="rId14"/>
    <sheet name="PrBA" sheetId="35" r:id="rId15"/>
    <sheet name="Rates" sheetId="2" r:id="rId16"/>
  </sheets>
  <definedNames>
    <definedName name="_xlnm.Print_Area" localSheetId="6">Al_DepW!$B$1:$H$27</definedName>
    <definedName name="_xlnm.Print_Area" localSheetId="7">Al_Plt!$B$1:$I$33</definedName>
    <definedName name="_xlnm.Print_Area" localSheetId="10">AlocOM_R!$A$2:$H$36</definedName>
    <definedName name="_xlnm.Print_Area" localSheetId="11">AlocSum!$B$2:$H$23</definedName>
    <definedName name="_xlnm.Print_Area" localSheetId="12">CalcRet!$B$2:$H$62</definedName>
    <definedName name="_xlnm.Print_Area" localSheetId="3">Depr!$B$2:$K$56</definedName>
    <definedName name="_xlnm.Print_Area" localSheetId="13">ExBA!$A$1:$G$103</definedName>
    <definedName name="_xlnm.Print_Area" localSheetId="5">Fac!$B$1:$J$39</definedName>
    <definedName name="_xlnm.Print_Area" localSheetId="8">mtrx!$B$1:$H$52</definedName>
    <definedName name="_xlnm.Print_Area" localSheetId="14">PrBA!$A$1:$G$56</definedName>
    <definedName name="_xlnm.Print_Area" localSheetId="15">Rates!$B$2:$K$47</definedName>
    <definedName name="_xlnm.Print_Area" localSheetId="0">SAO!$B$2:$J$56</definedName>
    <definedName name="_xlnm.Print_Area" localSheetId="4">Sys!$B$1:$I$40</definedName>
    <definedName name="_xlnm.Print_Area" localSheetId="9">Whol!$B$2:$I$77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42" l="1"/>
  <c r="J11" i="42"/>
  <c r="J12" i="42" s="1"/>
  <c r="J15" i="42" s="1"/>
  <c r="D4" i="43"/>
  <c r="F4" i="43" s="1"/>
  <c r="G4" i="43"/>
  <c r="H34" i="43" l="1"/>
  <c r="G34" i="43"/>
  <c r="D20" i="35"/>
  <c r="D19" i="35"/>
  <c r="D67" i="10"/>
  <c r="D66" i="10"/>
  <c r="D22" i="10"/>
  <c r="F30" i="2" l="1"/>
  <c r="F29" i="2"/>
  <c r="F28" i="2"/>
  <c r="F27" i="2"/>
  <c r="F25" i="2"/>
  <c r="F24" i="2"/>
  <c r="F18" i="2"/>
  <c r="F17" i="2"/>
  <c r="C56" i="35" l="1"/>
  <c r="E45" i="35"/>
  <c r="C20" i="35"/>
  <c r="C26" i="35" s="1"/>
  <c r="C19" i="35"/>
  <c r="C25" i="35" s="1"/>
  <c r="D21" i="10"/>
  <c r="C21" i="10"/>
  <c r="C48" i="10"/>
  <c r="C49" i="10"/>
  <c r="C50" i="10"/>
  <c r="C51" i="10"/>
  <c r="E50" i="35"/>
  <c r="E49" i="35"/>
  <c r="E48" i="35"/>
  <c r="E47" i="35"/>
  <c r="C51" i="35"/>
  <c r="C40" i="35"/>
  <c r="B26" i="35"/>
  <c r="B25" i="35"/>
  <c r="D21" i="35"/>
  <c r="E19" i="35"/>
  <c r="G19" i="35" s="1"/>
  <c r="F18" i="35"/>
  <c r="E18" i="35"/>
  <c r="E20" i="35" s="1"/>
  <c r="D34" i="43"/>
  <c r="F34" i="43" s="1"/>
  <c r="C27" i="35" l="1"/>
  <c r="D6" i="35" s="1"/>
  <c r="F20" i="35"/>
  <c r="F21" i="35" s="1"/>
  <c r="D26" i="35" s="1"/>
  <c r="C21" i="35"/>
  <c r="E46" i="35"/>
  <c r="E51" i="35" s="1"/>
  <c r="E21" i="35"/>
  <c r="D25" i="35" s="1"/>
  <c r="K9" i="10"/>
  <c r="D61" i="28"/>
  <c r="F60" i="28"/>
  <c r="F59" i="28"/>
  <c r="F58" i="28"/>
  <c r="F57" i="28"/>
  <c r="F56" i="28"/>
  <c r="F55" i="28"/>
  <c r="F54" i="28"/>
  <c r="F53" i="28"/>
  <c r="F12" i="35" l="1"/>
  <c r="E45" i="2" s="1"/>
  <c r="D16" i="27"/>
  <c r="G16" i="27" s="1"/>
  <c r="G20" i="35"/>
  <c r="G21" i="35" s="1"/>
  <c r="D27" i="35"/>
  <c r="E6" i="35" s="1"/>
  <c r="H54" i="28"/>
  <c r="H55" i="28"/>
  <c r="H56" i="28"/>
  <c r="H53" i="28"/>
  <c r="H57" i="28"/>
  <c r="F61" i="28"/>
  <c r="D34" i="28" s="1"/>
  <c r="H61" i="28" l="1"/>
  <c r="D20" i="27" l="1"/>
  <c r="Y15" i="31" l="1"/>
  <c r="Y16" i="31" s="1"/>
  <c r="F36" i="43" s="1"/>
  <c r="E29" i="22" s="1"/>
  <c r="W16" i="31"/>
  <c r="G36" i="43" s="1"/>
  <c r="V34" i="31"/>
  <c r="G15" i="6" s="1"/>
  <c r="G74" i="22"/>
  <c r="I42" i="43"/>
  <c r="I40" i="43"/>
  <c r="I35" i="43"/>
  <c r="G26" i="6" l="1"/>
  <c r="E30" i="22"/>
  <c r="H49" i="43"/>
  <c r="E55" i="22" s="1"/>
  <c r="G49" i="43"/>
  <c r="E54" i="22" s="1"/>
  <c r="F49" i="43"/>
  <c r="E53" i="22" s="1"/>
  <c r="E49" i="43"/>
  <c r="D49" i="43"/>
  <c r="H48" i="43"/>
  <c r="G48" i="43"/>
  <c r="E51" i="22" s="1"/>
  <c r="F48" i="43"/>
  <c r="E48" i="43"/>
  <c r="D48" i="43"/>
  <c r="H47" i="43"/>
  <c r="E50" i="22" s="1"/>
  <c r="G47" i="43"/>
  <c r="F47" i="43"/>
  <c r="E47" i="43"/>
  <c r="D47" i="43"/>
  <c r="H46" i="43"/>
  <c r="G46" i="43"/>
  <c r="F46" i="43"/>
  <c r="E46" i="43"/>
  <c r="D46" i="43"/>
  <c r="I46" i="43" s="1"/>
  <c r="H45" i="43"/>
  <c r="E49" i="22" s="1"/>
  <c r="G45" i="43"/>
  <c r="E48" i="22" s="1"/>
  <c r="F45" i="43"/>
  <c r="E47" i="22" s="1"/>
  <c r="H44" i="43"/>
  <c r="E45" i="22" s="1"/>
  <c r="G44" i="43"/>
  <c r="E44" i="22" s="1"/>
  <c r="G44" i="22" s="1"/>
  <c r="H44" i="22" s="1"/>
  <c r="F20" i="26" s="1"/>
  <c r="F44" i="43"/>
  <c r="E43" i="22" s="1"/>
  <c r="E44" i="43"/>
  <c r="D44" i="43"/>
  <c r="I44" i="43" s="1"/>
  <c r="H43" i="43"/>
  <c r="E41" i="22" s="1"/>
  <c r="G43" i="43"/>
  <c r="E40" i="22" s="1"/>
  <c r="F43" i="43"/>
  <c r="E39" i="22" s="1"/>
  <c r="E43" i="43"/>
  <c r="D43" i="43"/>
  <c r="H41" i="43"/>
  <c r="E37" i="22" s="1"/>
  <c r="G41" i="43"/>
  <c r="F41" i="43"/>
  <c r="E36" i="22" s="1"/>
  <c r="E41" i="43"/>
  <c r="D41" i="43"/>
  <c r="I41" i="43" s="1"/>
  <c r="H36" i="43"/>
  <c r="E31" i="22" s="1"/>
  <c r="E36" i="43"/>
  <c r="D36" i="43"/>
  <c r="E28" i="22" s="1"/>
  <c r="E26" i="22"/>
  <c r="E25" i="22"/>
  <c r="G25" i="22" s="1"/>
  <c r="H25" i="22" s="1"/>
  <c r="F14" i="26" s="1"/>
  <c r="E24" i="22"/>
  <c r="E34" i="43"/>
  <c r="I34" i="43" s="1"/>
  <c r="E23" i="22"/>
  <c r="C45" i="43"/>
  <c r="C44" i="43"/>
  <c r="C39" i="43"/>
  <c r="C37" i="43"/>
  <c r="H37" i="43" s="1"/>
  <c r="I37" i="43" s="1"/>
  <c r="F14" i="43"/>
  <c r="F39" i="43" s="1"/>
  <c r="E34" i="22" s="1"/>
  <c r="H13" i="43"/>
  <c r="H12" i="43"/>
  <c r="D8" i="43"/>
  <c r="E5" i="43"/>
  <c r="E39" i="43"/>
  <c r="I39" i="43" s="1"/>
  <c r="D5" i="43"/>
  <c r="J4" i="43"/>
  <c r="I43" i="43" l="1"/>
  <c r="I47" i="43"/>
  <c r="I36" i="43"/>
  <c r="I48" i="43"/>
  <c r="I49" i="43"/>
  <c r="H5" i="43"/>
  <c r="F5" i="43"/>
  <c r="G5" i="43"/>
  <c r="J5" i="43" l="1"/>
  <c r="H18" i="39"/>
  <c r="G18" i="39"/>
  <c r="F18" i="39"/>
  <c r="E18" i="39"/>
  <c r="D18" i="39"/>
  <c r="G17" i="39"/>
  <c r="H16" i="39"/>
  <c r="G16" i="39"/>
  <c r="H15" i="39"/>
  <c r="H14" i="39"/>
  <c r="E13" i="39"/>
  <c r="F12" i="39"/>
  <c r="E11" i="39"/>
  <c r="D11" i="39"/>
  <c r="F10" i="39"/>
  <c r="E10" i="39"/>
  <c r="G10" i="39"/>
  <c r="C11" i="39"/>
  <c r="C26" i="39"/>
  <c r="C10" i="39"/>
  <c r="C18" i="39" l="1"/>
  <c r="H20" i="24"/>
  <c r="H19" i="24"/>
  <c r="H18" i="24"/>
  <c r="H17" i="24"/>
  <c r="H16" i="24"/>
  <c r="H15" i="24"/>
  <c r="H14" i="24"/>
  <c r="G20" i="24"/>
  <c r="G19" i="24"/>
  <c r="G18" i="24"/>
  <c r="G17" i="24"/>
  <c r="G16" i="24"/>
  <c r="G15" i="24"/>
  <c r="G14" i="24"/>
  <c r="O21" i="24"/>
  <c r="O20" i="24"/>
  <c r="O19" i="24"/>
  <c r="O18" i="24"/>
  <c r="O17" i="24"/>
  <c r="O16" i="24"/>
  <c r="O15" i="24"/>
  <c r="O14" i="24"/>
  <c r="N21" i="24"/>
  <c r="N19" i="24"/>
  <c r="N17" i="24"/>
  <c r="N16" i="24"/>
  <c r="N15" i="24"/>
  <c r="N14" i="24"/>
  <c r="E15" i="42"/>
  <c r="D8" i="42"/>
  <c r="D14" i="42"/>
  <c r="F33" i="24"/>
  <c r="D17" i="24"/>
  <c r="D16" i="24"/>
  <c r="D15" i="24"/>
  <c r="E12" i="24"/>
  <c r="F12" i="24" s="1"/>
  <c r="E22" i="24"/>
  <c r="E21" i="24"/>
  <c r="F21" i="24" s="1"/>
  <c r="E20" i="24"/>
  <c r="F20" i="24" s="1"/>
  <c r="E19" i="24"/>
  <c r="E18" i="24"/>
  <c r="E17" i="24"/>
  <c r="E16" i="24"/>
  <c r="E15" i="24"/>
  <c r="E14" i="24"/>
  <c r="E13" i="24"/>
  <c r="F22" i="24"/>
  <c r="D21" i="24"/>
  <c r="D19" i="24"/>
  <c r="D18" i="24"/>
  <c r="D14" i="24"/>
  <c r="D13" i="24"/>
  <c r="I27" i="32"/>
  <c r="J27" i="32" s="1"/>
  <c r="G20" i="32"/>
  <c r="E20" i="32"/>
  <c r="G19" i="32"/>
  <c r="G18" i="32" s="1"/>
  <c r="E19" i="32"/>
  <c r="E14" i="32"/>
  <c r="E13" i="32" s="1"/>
  <c r="E15" i="32"/>
  <c r="D24" i="24" l="1"/>
  <c r="E18" i="32"/>
  <c r="E97" i="10"/>
  <c r="E96" i="10"/>
  <c r="E92" i="10"/>
  <c r="E52" i="10"/>
  <c r="E47" i="10"/>
  <c r="Q30" i="31" l="1"/>
  <c r="C43" i="31"/>
  <c r="E44" i="31"/>
  <c r="E42" i="31"/>
  <c r="E41" i="31"/>
  <c r="E43" i="31" s="1"/>
  <c r="E45" i="31" s="1"/>
  <c r="G24" i="6" s="1"/>
  <c r="E40" i="31"/>
  <c r="C95" i="10" l="1"/>
  <c r="C94" i="10"/>
  <c r="C93" i="10"/>
  <c r="E51" i="10"/>
  <c r="E50" i="10"/>
  <c r="E49" i="10"/>
  <c r="E48" i="10"/>
  <c r="F9" i="6"/>
  <c r="M11" i="6" s="1"/>
  <c r="E86" i="10"/>
  <c r="C87" i="10"/>
  <c r="E41" i="10"/>
  <c r="C42" i="10"/>
  <c r="C66" i="10"/>
  <c r="E93" i="10" l="1"/>
  <c r="E94" i="10"/>
  <c r="E95" i="10"/>
  <c r="E98" i="10" s="1"/>
  <c r="C98" i="10"/>
  <c r="C53" i="10"/>
  <c r="E53" i="10"/>
  <c r="I51" i="32"/>
  <c r="I48" i="32"/>
  <c r="I45" i="32"/>
  <c r="J45" i="32" s="1"/>
  <c r="I44" i="32"/>
  <c r="C20" i="33" s="1"/>
  <c r="G44" i="32"/>
  <c r="I41" i="32"/>
  <c r="I37" i="32"/>
  <c r="I38" i="32"/>
  <c r="J38" i="32" s="1"/>
  <c r="I34" i="32"/>
  <c r="J34" i="32" s="1"/>
  <c r="I33" i="32"/>
  <c r="I30" i="32"/>
  <c r="I26" i="32"/>
  <c r="I23" i="32"/>
  <c r="I20" i="32"/>
  <c r="I19" i="32"/>
  <c r="J19" i="32" s="1"/>
  <c r="I18" i="32"/>
  <c r="C11" i="33" s="1"/>
  <c r="F11" i="33" s="1"/>
  <c r="F17" i="33" s="1"/>
  <c r="G15" i="32"/>
  <c r="I14" i="32"/>
  <c r="J14" i="32" s="1"/>
  <c r="I13" i="32"/>
  <c r="F12" i="10" l="1"/>
  <c r="J26" i="32"/>
  <c r="C13" i="33"/>
  <c r="H13" i="33" s="1"/>
  <c r="C10" i="33"/>
  <c r="J48" i="32"/>
  <c r="C21" i="33"/>
  <c r="J33" i="32"/>
  <c r="C15" i="33"/>
  <c r="J41" i="32"/>
  <c r="C19" i="33"/>
  <c r="J37" i="32"/>
  <c r="C16" i="33"/>
  <c r="G16" i="33" s="1"/>
  <c r="J51" i="32"/>
  <c r="C22" i="33"/>
  <c r="J30" i="32"/>
  <c r="C14" i="33"/>
  <c r="H14" i="33" s="1"/>
  <c r="J23" i="32"/>
  <c r="C12" i="33"/>
  <c r="E12" i="33" s="1"/>
  <c r="J44" i="32"/>
  <c r="I15" i="32"/>
  <c r="J15" i="32" s="1"/>
  <c r="G13" i="32"/>
  <c r="G53" i="32" s="1"/>
  <c r="J18" i="32"/>
  <c r="I53" i="32"/>
  <c r="J13" i="32"/>
  <c r="I10" i="6" l="1"/>
  <c r="G10" i="6" s="1"/>
  <c r="D45" i="2"/>
  <c r="G45" i="2" s="1"/>
  <c r="G15" i="33"/>
  <c r="G17" i="33" s="1"/>
  <c r="J53" i="32"/>
  <c r="G36" i="6" s="1"/>
  <c r="C23" i="33"/>
  <c r="D10" i="33"/>
  <c r="D17" i="33" s="1"/>
  <c r="C17" i="33"/>
  <c r="S14" i="31"/>
  <c r="U28" i="31"/>
  <c r="T26" i="31"/>
  <c r="S16" i="31"/>
  <c r="S18" i="31" s="1"/>
  <c r="G27" i="6" s="1"/>
  <c r="C38" i="43" s="1"/>
  <c r="H38" i="43" s="1"/>
  <c r="E10" i="33" l="1"/>
  <c r="E17" i="33" s="1"/>
  <c r="H15" i="33"/>
  <c r="H17" i="33" s="1"/>
  <c r="E32" i="22"/>
  <c r="I38" i="43"/>
  <c r="E29" i="31"/>
  <c r="F29" i="31" s="1"/>
  <c r="C28" i="31"/>
  <c r="C27" i="31"/>
  <c r="E27" i="31" s="1"/>
  <c r="C26" i="31"/>
  <c r="E28" i="31" l="1"/>
  <c r="F28" i="31" s="1"/>
  <c r="E26" i="31"/>
  <c r="F26" i="31" s="1"/>
  <c r="F27" i="31"/>
  <c r="Q32" i="31"/>
  <c r="Q26" i="31" l="1"/>
  <c r="O21" i="31"/>
  <c r="O20" i="31"/>
  <c r="O19" i="31"/>
  <c r="O18" i="31"/>
  <c r="O17" i="31"/>
  <c r="O16" i="31"/>
  <c r="O15" i="31"/>
  <c r="O14" i="31"/>
  <c r="Q14" i="31" s="1"/>
  <c r="O13" i="31"/>
  <c r="O12" i="31"/>
  <c r="O11" i="31"/>
  <c r="O10" i="31"/>
  <c r="N20" i="31"/>
  <c r="N19" i="31"/>
  <c r="N18" i="31"/>
  <c r="N17" i="31"/>
  <c r="N16" i="31"/>
  <c r="N15" i="31"/>
  <c r="N14" i="31"/>
  <c r="N13" i="31"/>
  <c r="N12" i="31"/>
  <c r="N11" i="31"/>
  <c r="N10" i="31"/>
  <c r="Q38" i="31"/>
  <c r="I28" i="31"/>
  <c r="D17" i="31"/>
  <c r="E17" i="31" s="1"/>
  <c r="E19" i="31" s="1"/>
  <c r="N21" i="31"/>
  <c r="D13" i="31"/>
  <c r="O9" i="31"/>
  <c r="Q9" i="31" s="1"/>
  <c r="M8" i="31"/>
  <c r="Q21" i="31" l="1"/>
  <c r="Q13" i="31"/>
  <c r="Q15" i="31"/>
  <c r="Q11" i="31"/>
  <c r="Q16" i="31"/>
  <c r="Q12" i="31"/>
  <c r="Q17" i="31"/>
  <c r="Q18" i="31"/>
  <c r="Q19" i="31"/>
  <c r="Q20" i="31"/>
  <c r="Q10" i="31"/>
  <c r="G30" i="31"/>
  <c r="C18" i="31"/>
  <c r="O8" i="31"/>
  <c r="Q8" i="31" s="1"/>
  <c r="F30" i="31"/>
  <c r="F31" i="31" s="1"/>
  <c r="F33" i="31" s="1"/>
  <c r="G23" i="6" s="1"/>
  <c r="Q22" i="31" l="1"/>
  <c r="Q25" i="31" s="1"/>
  <c r="Q35" i="31" l="1"/>
  <c r="Q29" i="31"/>
  <c r="Q37" i="31"/>
  <c r="Q39" i="31" s="1"/>
  <c r="G22" i="6" s="1"/>
  <c r="I23" i="6" s="1"/>
  <c r="Q27" i="31"/>
  <c r="Q31" i="31"/>
  <c r="Q33" i="31" s="1"/>
  <c r="G37" i="6" s="1"/>
  <c r="G20" i="6" l="1"/>
  <c r="I20" i="6" s="1"/>
  <c r="C30" i="43" s="1"/>
  <c r="C103" i="10"/>
  <c r="E103" i="10" s="1"/>
  <c r="E85" i="10"/>
  <c r="E84" i="10"/>
  <c r="E83" i="10"/>
  <c r="E82" i="10"/>
  <c r="E81" i="10"/>
  <c r="E80" i="10"/>
  <c r="E79" i="10"/>
  <c r="B73" i="10"/>
  <c r="C72" i="10"/>
  <c r="B72" i="10"/>
  <c r="D68" i="10"/>
  <c r="C73" i="10"/>
  <c r="E66" i="10"/>
  <c r="F65" i="10"/>
  <c r="E65" i="10"/>
  <c r="D30" i="43" l="1"/>
  <c r="F30" i="43"/>
  <c r="G30" i="43"/>
  <c r="H30" i="43"/>
  <c r="E30" i="43"/>
  <c r="E87" i="10"/>
  <c r="C74" i="10"/>
  <c r="G66" i="10"/>
  <c r="E67" i="10"/>
  <c r="F67" i="10" s="1"/>
  <c r="F68" i="10" s="1"/>
  <c r="D73" i="10" s="1"/>
  <c r="F73" i="10" s="1"/>
  <c r="C68" i="10"/>
  <c r="E13" i="22" l="1"/>
  <c r="E12" i="22"/>
  <c r="E14" i="22"/>
  <c r="E11" i="22"/>
  <c r="I30" i="43"/>
  <c r="G67" i="10"/>
  <c r="G68" i="10" s="1"/>
  <c r="E68" i="10"/>
  <c r="D72" i="10" s="1"/>
  <c r="D74" i="10" l="1"/>
  <c r="F72" i="10"/>
  <c r="F74" i="10" s="1"/>
  <c r="C58" i="10" l="1"/>
  <c r="E58" i="10" s="1"/>
  <c r="F14" i="10" l="1"/>
  <c r="E40" i="10"/>
  <c r="E39" i="10"/>
  <c r="E38" i="10"/>
  <c r="E37" i="10"/>
  <c r="E36" i="10"/>
  <c r="E35" i="10"/>
  <c r="E34" i="10"/>
  <c r="B28" i="10"/>
  <c r="C27" i="10"/>
  <c r="B27" i="10"/>
  <c r="D23" i="10"/>
  <c r="E6" i="10" s="1"/>
  <c r="C28" i="10"/>
  <c r="E21" i="10"/>
  <c r="G21" i="10" s="1"/>
  <c r="F20" i="10"/>
  <c r="E20" i="10"/>
  <c r="I11" i="6" l="1"/>
  <c r="G11" i="6" s="1"/>
  <c r="D46" i="2"/>
  <c r="C29" i="10"/>
  <c r="E42" i="10"/>
  <c r="F7" i="10" s="1"/>
  <c r="C23" i="10"/>
  <c r="E22" i="10"/>
  <c r="E23" i="10" s="1"/>
  <c r="D27" i="10" s="1"/>
  <c r="E11" i="28" s="1"/>
  <c r="E23" i="28" s="1"/>
  <c r="D6" i="10"/>
  <c r="F22" i="10" l="1"/>
  <c r="F23" i="10" s="1"/>
  <c r="D28" i="10" s="1"/>
  <c r="D29" i="10" s="1"/>
  <c r="F27" i="10"/>
  <c r="G22" i="10"/>
  <c r="G23" i="10" s="1"/>
  <c r="F28" i="10" l="1"/>
  <c r="F29" i="10" s="1"/>
  <c r="F11" i="28"/>
  <c r="F23" i="28" s="1"/>
  <c r="I33" i="6"/>
  <c r="C49" i="43" s="1"/>
  <c r="I32" i="6"/>
  <c r="C48" i="43" s="1"/>
  <c r="I31" i="6"/>
  <c r="C47" i="43" s="1"/>
  <c r="I29" i="6"/>
  <c r="C43" i="43" s="1"/>
  <c r="I28" i="6"/>
  <c r="C41" i="43" s="1"/>
  <c r="I26" i="6"/>
  <c r="C36" i="43" s="1"/>
  <c r="I25" i="6"/>
  <c r="C34" i="43" s="1"/>
  <c r="I24" i="6"/>
  <c r="C33" i="43" s="1"/>
  <c r="D33" i="43" s="1"/>
  <c r="I15" i="6"/>
  <c r="D19" i="27" s="1"/>
  <c r="I14" i="6"/>
  <c r="D18" i="27" s="1"/>
  <c r="F6" i="10" l="1"/>
  <c r="F8" i="10" s="1"/>
  <c r="I33" i="43"/>
  <c r="E21" i="22"/>
  <c r="F30" i="6"/>
  <c r="I30" i="6" s="1"/>
  <c r="F27" i="6"/>
  <c r="I27" i="6" s="1"/>
  <c r="F16" i="6"/>
  <c r="U29" i="31"/>
  <c r="V29" i="31" s="1"/>
  <c r="U25" i="31" l="1"/>
  <c r="U24" i="31"/>
  <c r="V24" i="31" s="1"/>
  <c r="V25" i="31" l="1"/>
  <c r="V26" i="31"/>
  <c r="G13" i="6" l="1"/>
  <c r="I13" i="6" s="1"/>
  <c r="C29" i="39"/>
  <c r="D17" i="27" l="1"/>
  <c r="D26" i="27" s="1"/>
  <c r="I49" i="6"/>
  <c r="E19" i="39"/>
  <c r="E27" i="39" s="1"/>
  <c r="E29" i="39" s="1"/>
  <c r="E30" i="39" s="1"/>
  <c r="J11" i="28"/>
  <c r="D19" i="39"/>
  <c r="F19" i="39"/>
  <c r="F27" i="39" s="1"/>
  <c r="F29" i="39" s="1"/>
  <c r="F30" i="39" s="1"/>
  <c r="G19" i="39"/>
  <c r="G27" i="39" s="1"/>
  <c r="G29" i="39" s="1"/>
  <c r="G30" i="39" s="1"/>
  <c r="H19" i="39"/>
  <c r="H27" i="39" s="1"/>
  <c r="H29" i="39" s="1"/>
  <c r="H30" i="39" s="1"/>
  <c r="K18" i="39" l="1"/>
  <c r="K19" i="39"/>
  <c r="D27" i="39"/>
  <c r="D29" i="39" l="1"/>
  <c r="K27" i="39"/>
  <c r="D30" i="39" l="1"/>
  <c r="K30" i="39" s="1"/>
  <c r="K29" i="39"/>
  <c r="G51" i="22" l="1"/>
  <c r="H51" i="22" s="1"/>
  <c r="F23" i="26" l="1"/>
  <c r="C23" i="26" s="1"/>
  <c r="J51" i="22"/>
  <c r="G54" i="22" l="1"/>
  <c r="G48" i="22"/>
  <c r="H54" i="22" l="1"/>
  <c r="H48" i="22"/>
  <c r="J29" i="33"/>
  <c r="I11" i="25" l="1"/>
  <c r="E32" i="25" l="1"/>
  <c r="G36" i="25"/>
  <c r="G28" i="25"/>
  <c r="K38" i="24"/>
  <c r="I12" i="25" l="1"/>
  <c r="G38" i="25" l="1"/>
  <c r="I37" i="25" s="1"/>
  <c r="E34" i="25"/>
  <c r="G30" i="25"/>
  <c r="E24" i="24"/>
  <c r="F19" i="24"/>
  <c r="F18" i="24"/>
  <c r="F17" i="24"/>
  <c r="F16" i="24"/>
  <c r="F15" i="24"/>
  <c r="F14" i="24"/>
  <c r="F13" i="24"/>
  <c r="F24" i="24" l="1"/>
  <c r="I10" i="25" s="1"/>
  <c r="G24" i="24"/>
  <c r="H24" i="24"/>
  <c r="I9" i="25" s="1"/>
  <c r="F68" i="22"/>
  <c r="F62" i="22"/>
  <c r="I37" i="6" l="1"/>
  <c r="C32" i="43" s="1"/>
  <c r="D32" i="43" l="1"/>
  <c r="H32" i="43"/>
  <c r="F32" i="43"/>
  <c r="G32" i="43"/>
  <c r="E32" i="43"/>
  <c r="F34" i="6"/>
  <c r="F38" i="6" s="1"/>
  <c r="E19" i="22" l="1"/>
  <c r="E18" i="22"/>
  <c r="G50" i="43"/>
  <c r="E17" i="22"/>
  <c r="F50" i="43"/>
  <c r="E16" i="22"/>
  <c r="I32" i="43"/>
  <c r="I21" i="6"/>
  <c r="C31" i="43" s="1"/>
  <c r="E20" i="22" l="1"/>
  <c r="H31" i="43"/>
  <c r="C50" i="43"/>
  <c r="F40" i="6"/>
  <c r="G18" i="27"/>
  <c r="I31" i="43" l="1"/>
  <c r="H50" i="43"/>
  <c r="G17" i="27"/>
  <c r="G13" i="22" l="1"/>
  <c r="H13" i="22" s="1"/>
  <c r="F10" i="26" s="1"/>
  <c r="G18" i="25"/>
  <c r="G30" i="22"/>
  <c r="H30" i="22" s="1"/>
  <c r="F15" i="26" s="1"/>
  <c r="F21" i="26"/>
  <c r="F24" i="26"/>
  <c r="G18" i="22" l="1"/>
  <c r="H18" i="22" s="1"/>
  <c r="F11" i="26" s="1"/>
  <c r="I34" i="6" l="1"/>
  <c r="E57" i="22" l="1"/>
  <c r="D11" i="28" l="1"/>
  <c r="F15" i="28"/>
  <c r="E15" i="28"/>
  <c r="E12" i="28" l="1"/>
  <c r="D15" i="28"/>
  <c r="F12" i="28"/>
  <c r="J12" i="28" l="1"/>
  <c r="F16" i="28"/>
  <c r="D12" i="28"/>
  <c r="E16" i="28"/>
  <c r="D16" i="28" l="1"/>
  <c r="F39" i="24" l="1"/>
  <c r="G39" i="24" s="1"/>
  <c r="I8" i="25" s="1"/>
  <c r="G20" i="25"/>
  <c r="I19" i="25" s="1"/>
  <c r="I36" i="6"/>
  <c r="I38" i="6" l="1"/>
  <c r="I44" i="6" s="1"/>
  <c r="I46" i="6" s="1"/>
  <c r="C51" i="43"/>
  <c r="C52" i="43" s="1"/>
  <c r="I48" i="6"/>
  <c r="I51" i="6" s="1"/>
  <c r="C32" i="39"/>
  <c r="E32" i="39" s="1"/>
  <c r="E67" i="22" s="1"/>
  <c r="C26" i="33"/>
  <c r="F18" i="33"/>
  <c r="F24" i="33" s="1"/>
  <c r="F26" i="33" s="1"/>
  <c r="E62" i="22" s="1"/>
  <c r="G62" i="22" s="1"/>
  <c r="H62" i="22" s="1"/>
  <c r="G18" i="33"/>
  <c r="G24" i="33" s="1"/>
  <c r="G26" i="33" s="1"/>
  <c r="E63" i="22" s="1"/>
  <c r="D18" i="33"/>
  <c r="D24" i="33" s="1"/>
  <c r="E18" i="33"/>
  <c r="E24" i="33" s="1"/>
  <c r="E26" i="33" s="1"/>
  <c r="E61" i="22" s="1"/>
  <c r="J17" i="33"/>
  <c r="H18" i="33"/>
  <c r="H24" i="33" s="1"/>
  <c r="H26" i="33" s="1"/>
  <c r="E64" i="22" s="1"/>
  <c r="I15" i="25"/>
  <c r="E30" i="25" s="1"/>
  <c r="G16" i="25"/>
  <c r="E22" i="25"/>
  <c r="I33" i="25"/>
  <c r="G33" i="25"/>
  <c r="G22" i="25"/>
  <c r="F45" i="22" l="1"/>
  <c r="G45" i="22" s="1"/>
  <c r="H45" i="22" s="1"/>
  <c r="G20" i="26" s="1"/>
  <c r="F37" i="22"/>
  <c r="G37" i="22" s="1"/>
  <c r="H37" i="22" s="1"/>
  <c r="G18" i="26" s="1"/>
  <c r="D26" i="33"/>
  <c r="E60" i="22" s="1"/>
  <c r="J24" i="33"/>
  <c r="H32" i="39"/>
  <c r="E70" i="22" s="1"/>
  <c r="G70" i="22" s="1"/>
  <c r="H70" i="22" s="1"/>
  <c r="F32" i="39"/>
  <c r="E68" i="22" s="1"/>
  <c r="G68" i="22" s="1"/>
  <c r="H68" i="22" s="1"/>
  <c r="G32" i="39"/>
  <c r="E69" i="22" s="1"/>
  <c r="D32" i="39"/>
  <c r="E66" i="22" s="1"/>
  <c r="I22" i="25"/>
  <c r="G26" i="25" s="1"/>
  <c r="I25" i="25" s="1"/>
  <c r="G64" i="22"/>
  <c r="H64" i="22" s="1"/>
  <c r="F25" i="26" s="1"/>
  <c r="K64" i="22"/>
  <c r="J26" i="33"/>
  <c r="F26" i="22"/>
  <c r="G26" i="22" s="1"/>
  <c r="H26" i="22" s="1"/>
  <c r="G14" i="26" s="1"/>
  <c r="G40" i="22"/>
  <c r="H40" i="22" s="1"/>
  <c r="F19" i="26" s="1"/>
  <c r="F55" i="22"/>
  <c r="G55" i="22" s="1"/>
  <c r="H55" i="22" s="1"/>
  <c r="G24" i="26" s="1"/>
  <c r="F12" i="22"/>
  <c r="G12" i="22" s="1"/>
  <c r="H12" i="22" s="1"/>
  <c r="F29" i="22"/>
  <c r="G29" i="22" s="1"/>
  <c r="H29" i="22" s="1"/>
  <c r="F41" i="22"/>
  <c r="G41" i="22" s="1"/>
  <c r="H41" i="22" s="1"/>
  <c r="G19" i="26" s="1"/>
  <c r="F67" i="22"/>
  <c r="G67" i="22" s="1"/>
  <c r="H67" i="22" s="1"/>
  <c r="F31" i="22"/>
  <c r="G31" i="22" s="1"/>
  <c r="H31" i="22" s="1"/>
  <c r="G15" i="26" s="1"/>
  <c r="F17" i="22"/>
  <c r="G17" i="22" s="1"/>
  <c r="H17" i="22" s="1"/>
  <c r="F34" i="22"/>
  <c r="G34" i="22" s="1"/>
  <c r="H34" i="22" s="1"/>
  <c r="F49" i="22"/>
  <c r="G49" i="22" s="1"/>
  <c r="H49" i="22" s="1"/>
  <c r="G21" i="26" s="1"/>
  <c r="F61" i="22"/>
  <c r="G61" i="22" s="1"/>
  <c r="H61" i="22" s="1"/>
  <c r="E25" i="26" s="1"/>
  <c r="F69" i="22"/>
  <c r="F50" i="22"/>
  <c r="G50" i="22" s="1"/>
  <c r="H50" i="22" s="1"/>
  <c r="F24" i="22"/>
  <c r="G24" i="22" s="1"/>
  <c r="H24" i="22" s="1"/>
  <c r="F63" i="22"/>
  <c r="G63" i="22" s="1"/>
  <c r="H63" i="22" s="1"/>
  <c r="G25" i="26" s="1"/>
  <c r="F47" i="22"/>
  <c r="G47" i="22" s="1"/>
  <c r="H47" i="22" s="1"/>
  <c r="E21" i="26" s="1"/>
  <c r="E72" i="22" l="1"/>
  <c r="G22" i="26"/>
  <c r="C22" i="26" s="1"/>
  <c r="J50" i="22"/>
  <c r="D17" i="26"/>
  <c r="J34" i="22"/>
  <c r="F27" i="26"/>
  <c r="K70" i="22"/>
  <c r="G69" i="22"/>
  <c r="H69" i="22" s="1"/>
  <c r="I29" i="25"/>
  <c r="F14" i="22" s="1"/>
  <c r="G14" i="22" s="1"/>
  <c r="H14" i="22" s="1"/>
  <c r="G10" i="26" s="1"/>
  <c r="E28" i="25"/>
  <c r="C17" i="26"/>
  <c r="F39" i="22" l="1"/>
  <c r="G39" i="22" s="1"/>
  <c r="H39" i="22" s="1"/>
  <c r="E19" i="26" s="1"/>
  <c r="F28" i="22"/>
  <c r="G28" i="22" s="1"/>
  <c r="H28" i="22" s="1"/>
  <c r="F66" i="22"/>
  <c r="G66" i="22" s="1"/>
  <c r="H66" i="22" s="1"/>
  <c r="J70" i="22" s="1"/>
  <c r="D13" i="27" s="1"/>
  <c r="F16" i="22"/>
  <c r="G16" i="22" s="1"/>
  <c r="H16" i="22" s="1"/>
  <c r="D11" i="26" s="1"/>
  <c r="F53" i="22"/>
  <c r="G53" i="22" s="1"/>
  <c r="H53" i="22" s="1"/>
  <c r="E24" i="26" s="1"/>
  <c r="F43" i="22"/>
  <c r="G43" i="22" s="1"/>
  <c r="H43" i="22" s="1"/>
  <c r="F36" i="22"/>
  <c r="G36" i="22" s="1"/>
  <c r="H36" i="22" s="1"/>
  <c r="F32" i="22"/>
  <c r="G32" i="22" s="1"/>
  <c r="H32" i="22" s="1"/>
  <c r="F21" i="22"/>
  <c r="G21" i="22" s="1"/>
  <c r="H21" i="22" s="1"/>
  <c r="F11" i="22"/>
  <c r="G11" i="22" s="1"/>
  <c r="F60" i="22"/>
  <c r="G60" i="22" s="1"/>
  <c r="H60" i="22" s="1"/>
  <c r="D25" i="26" s="1"/>
  <c r="C25" i="26" s="1"/>
  <c r="F23" i="22"/>
  <c r="G23" i="22" s="1"/>
  <c r="H23" i="22" s="1"/>
  <c r="E14" i="26" s="1"/>
  <c r="F20" i="22"/>
  <c r="G20" i="22" s="1"/>
  <c r="H20" i="22" s="1"/>
  <c r="G12" i="26" s="1"/>
  <c r="C12" i="26" s="1"/>
  <c r="F19" i="22"/>
  <c r="G19" i="22" s="1"/>
  <c r="H19" i="22" s="1"/>
  <c r="G11" i="26" s="1"/>
  <c r="J31" i="22"/>
  <c r="D15" i="26"/>
  <c r="J49" i="22"/>
  <c r="J41" i="22"/>
  <c r="G57" i="22" l="1"/>
  <c r="G72" i="22" s="1"/>
  <c r="G76" i="22" s="1"/>
  <c r="D56" i="35" s="1"/>
  <c r="E56" i="35" s="1"/>
  <c r="F14" i="35" s="1"/>
  <c r="E46" i="2" s="1"/>
  <c r="J45" i="22"/>
  <c r="E20" i="26"/>
  <c r="C20" i="26" s="1"/>
  <c r="J26" i="22"/>
  <c r="J20" i="22"/>
  <c r="J19" i="22"/>
  <c r="G16" i="26"/>
  <c r="C16" i="26" s="1"/>
  <c r="J32" i="22"/>
  <c r="J37" i="22"/>
  <c r="D18" i="26"/>
  <c r="C18" i="26" s="1"/>
  <c r="D13" i="26"/>
  <c r="C13" i="26" s="1"/>
  <c r="J21" i="22"/>
  <c r="J64" i="22"/>
  <c r="H11" i="22"/>
  <c r="H57" i="22" s="1"/>
  <c r="J55" i="22"/>
  <c r="H79" i="22"/>
  <c r="C24" i="26"/>
  <c r="C14" i="26"/>
  <c r="E15" i="26"/>
  <c r="C15" i="26" s="1"/>
  <c r="E11" i="26"/>
  <c r="C11" i="26" s="1"/>
  <c r="C19" i="26"/>
  <c r="C21" i="26"/>
  <c r="G46" i="2" l="1"/>
  <c r="E37" i="2"/>
  <c r="G80" i="22"/>
  <c r="J76" i="22"/>
  <c r="H80" i="22"/>
  <c r="D10" i="26"/>
  <c r="J14" i="22"/>
  <c r="J57" i="22" s="1"/>
  <c r="K67" i="22" s="1"/>
  <c r="G27" i="26"/>
  <c r="C28" i="26" s="1"/>
  <c r="G37" i="2"/>
  <c r="I37" i="2"/>
  <c r="J37" i="2" s="1"/>
  <c r="D27" i="26"/>
  <c r="E10" i="26"/>
  <c r="E27" i="26" s="1"/>
  <c r="K57" i="22"/>
  <c r="H72" i="22"/>
  <c r="J72" i="22" l="1"/>
  <c r="L72" i="22"/>
  <c r="D25" i="27"/>
  <c r="D27" i="27" s="1"/>
  <c r="C10" i="26"/>
  <c r="C27" i="26" s="1"/>
  <c r="C29" i="26" s="1"/>
  <c r="F31" i="26" s="1"/>
  <c r="F33" i="26" l="1"/>
  <c r="G12" i="27"/>
  <c r="F35" i="26"/>
  <c r="G11" i="27" s="1"/>
  <c r="D31" i="26"/>
  <c r="D33" i="26" s="1"/>
  <c r="E31" i="26"/>
  <c r="E33" i="26" s="1"/>
  <c r="E35" i="26" s="1"/>
  <c r="F11" i="27" s="1"/>
  <c r="C31" i="26" l="1"/>
  <c r="D35" i="26"/>
  <c r="C33" i="26"/>
  <c r="C35" i="26" s="1"/>
  <c r="I35" i="26" l="1"/>
  <c r="E11" i="27"/>
  <c r="D11" i="27" l="1"/>
  <c r="J11" i="27"/>
  <c r="F12" i="27" l="1"/>
  <c r="E12" i="27"/>
  <c r="E19" i="27" l="1"/>
  <c r="E20" i="27"/>
  <c r="F13" i="27"/>
  <c r="F14" i="27" s="1"/>
  <c r="F20" i="27"/>
  <c r="F19" i="27"/>
  <c r="G13" i="27"/>
  <c r="G14" i="27" s="1"/>
  <c r="G20" i="27"/>
  <c r="G19" i="27"/>
  <c r="I12" i="27"/>
  <c r="E7" i="43"/>
  <c r="D7" i="43"/>
  <c r="I7" i="43" s="1"/>
  <c r="E20" i="43"/>
  <c r="F25" i="43"/>
  <c r="H25" i="43"/>
  <c r="C25" i="43"/>
  <c r="D20" i="43"/>
  <c r="G25" i="43"/>
  <c r="J20" i="27" l="1"/>
  <c r="J19" i="27"/>
  <c r="G22" i="27"/>
  <c r="D25" i="43"/>
  <c r="D45" i="43"/>
  <c r="F22" i="27"/>
  <c r="D20" i="28" s="1"/>
  <c r="E25" i="43"/>
  <c r="E45" i="43"/>
  <c r="E50" i="43" s="1"/>
  <c r="D14" i="27"/>
  <c r="D22" i="27" s="1"/>
  <c r="E13" i="27"/>
  <c r="J13" i="27" s="1"/>
  <c r="I25" i="43" l="1"/>
  <c r="D33" i="28"/>
  <c r="E20" i="28"/>
  <c r="F20" i="28"/>
  <c r="I45" i="43"/>
  <c r="F54" i="43"/>
  <c r="D50" i="43"/>
  <c r="E14" i="27"/>
  <c r="J14" i="27" s="1"/>
  <c r="D35" i="28" l="1"/>
  <c r="D45" i="28" s="1"/>
  <c r="F45" i="28" s="1"/>
  <c r="J59" i="28" s="1"/>
  <c r="K59" i="28" s="1"/>
  <c r="I14" i="27"/>
  <c r="E22" i="27"/>
  <c r="I22" i="27" s="1"/>
  <c r="J50" i="43"/>
  <c r="E54" i="43"/>
  <c r="I54" i="43"/>
  <c r="I50" i="43"/>
  <c r="D39" i="28" l="1"/>
  <c r="F39" i="28" s="1"/>
  <c r="J53" i="28" s="1"/>
  <c r="K53" i="28" s="1"/>
  <c r="D41" i="28"/>
  <c r="F41" i="28" s="1"/>
  <c r="J55" i="28" s="1"/>
  <c r="K55" i="28" s="1"/>
  <c r="D42" i="28"/>
  <c r="F42" i="28" s="1"/>
  <c r="J56" i="28" s="1"/>
  <c r="K56" i="28" s="1"/>
  <c r="D40" i="28"/>
  <c r="F40" i="28" s="1"/>
  <c r="J54" i="28" s="1"/>
  <c r="K54" i="28" s="1"/>
  <c r="D43" i="28"/>
  <c r="F43" i="28" s="1"/>
  <c r="J57" i="28" s="1"/>
  <c r="K57" i="28" s="1"/>
  <c r="D46" i="28"/>
  <c r="F46" i="28" s="1"/>
  <c r="J60" i="28" s="1"/>
  <c r="K60" i="28" s="1"/>
  <c r="D38" i="35"/>
  <c r="E38" i="35" s="1"/>
  <c r="E30" i="2"/>
  <c r="D44" i="28"/>
  <c r="F44" i="28" s="1"/>
  <c r="J58" i="28" s="1"/>
  <c r="K58" i="28" s="1"/>
  <c r="D35" i="35"/>
  <c r="E35" i="35" s="1"/>
  <c r="E27" i="2"/>
  <c r="D32" i="35"/>
  <c r="E32" i="35" s="1"/>
  <c r="D19" i="28"/>
  <c r="D21" i="28" s="1"/>
  <c r="I30" i="2" l="1"/>
  <c r="J30" i="2" s="1"/>
  <c r="E25" i="2"/>
  <c r="D33" i="35"/>
  <c r="E33" i="35" s="1"/>
  <c r="E26" i="2"/>
  <c r="D34" i="35"/>
  <c r="E34" i="35" s="1"/>
  <c r="E24" i="2"/>
  <c r="D39" i="35"/>
  <c r="E39" i="35" s="1"/>
  <c r="E31" i="2"/>
  <c r="E28" i="2"/>
  <c r="G30" i="2"/>
  <c r="D36" i="35"/>
  <c r="E36" i="35" s="1"/>
  <c r="E29" i="2"/>
  <c r="D37" i="35"/>
  <c r="E37" i="35" s="1"/>
  <c r="E40" i="35" s="1"/>
  <c r="F7" i="35" s="1"/>
  <c r="K61" i="28"/>
  <c r="G24" i="2"/>
  <c r="G27" i="2"/>
  <c r="I27" i="2"/>
  <c r="F19" i="28"/>
  <c r="F21" i="28" s="1"/>
  <c r="F25" i="28" s="1"/>
  <c r="F27" i="28" s="1"/>
  <c r="E19" i="28"/>
  <c r="E21" i="28" s="1"/>
  <c r="E25" i="28" s="1"/>
  <c r="E27" i="28" s="1"/>
  <c r="F9" i="10"/>
  <c r="F10" i="10"/>
  <c r="G25" i="2" l="1"/>
  <c r="I25" i="2"/>
  <c r="I29" i="2"/>
  <c r="J29" i="2" s="1"/>
  <c r="G31" i="2"/>
  <c r="G28" i="2"/>
  <c r="G26" i="2"/>
  <c r="I24" i="2"/>
  <c r="J24" i="2" s="1"/>
  <c r="I26" i="2"/>
  <c r="J26" i="2" s="1"/>
  <c r="G29" i="2"/>
  <c r="I28" i="2"/>
  <c r="J28" i="2" s="1"/>
  <c r="I31" i="2"/>
  <c r="J31" i="2" s="1"/>
  <c r="E25" i="35"/>
  <c r="F25" i="35" s="1"/>
  <c r="E17" i="2"/>
  <c r="E18" i="2"/>
  <c r="I9" i="6"/>
  <c r="G9" i="6" s="1"/>
  <c r="M9" i="6" s="1"/>
  <c r="D44" i="2"/>
  <c r="D47" i="2" s="1"/>
  <c r="K14" i="10"/>
  <c r="J27" i="2"/>
  <c r="J25" i="2"/>
  <c r="I52" i="6"/>
  <c r="I53" i="6" s="1"/>
  <c r="I55" i="6" s="1"/>
  <c r="F9" i="35" s="1"/>
  <c r="I16" i="6"/>
  <c r="I40" i="6" s="1"/>
  <c r="G18" i="2" l="1"/>
  <c r="I18" i="2"/>
  <c r="J18" i="2" s="1"/>
  <c r="E26" i="35"/>
  <c r="F26" i="35" s="1"/>
  <c r="F27" i="35" s="1"/>
  <c r="F6" i="35" s="1"/>
  <c r="F8" i="35" s="1"/>
  <c r="F10" i="35" s="1"/>
  <c r="G17" i="2"/>
  <c r="I17" i="2"/>
  <c r="M49" i="35"/>
  <c r="M46" i="35"/>
  <c r="M45" i="35"/>
  <c r="M50" i="35"/>
  <c r="M48" i="35"/>
  <c r="M47" i="35"/>
  <c r="J17" i="2" l="1"/>
  <c r="E44" i="2"/>
  <c r="E47" i="2" l="1"/>
  <c r="G47" i="2" s="1"/>
  <c r="G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Y15" authorId="0" shapeId="0" xr:uid="{D823AB92-719C-42CD-9CA1-94BEBDF9AD2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Cost will incr. by 11% every 3 years</t>
        </r>
      </text>
    </comment>
    <comment ref="Q25" authorId="0" shapeId="0" xr:uid="{54185079-FF8A-4B1F-B2ED-172CF0DA54D7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Additional mid 2022, 6% across the board incr</t>
        </r>
      </text>
    </comment>
    <comment ref="Q30" authorId="0" shapeId="0" xr:uid="{A4760519-988E-41F5-8FAA-3EECFFDC130C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Includes 1% local payroll tax</t>
        </r>
      </text>
    </comment>
    <comment ref="Q36" authorId="0" shapeId="0" xr:uid="{0FA6FC5B-AF40-4C5B-AFF6-018202B4743D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based on % paid on 2021 salaries &amp; wages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D34" authorId="0" shapeId="0" xr:uid="{AED42AD2-3876-4492-9142-865EF4083CB3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Pwr cost at Wing Ave &amp; Parrish Ave pump stas.
Initial supply points from OMU</t>
        </r>
      </text>
    </comment>
    <comment ref="F34" authorId="0" shapeId="0" xr:uid="{4D55D4F5-3D33-4DB2-9468-5DFDAD4A032F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Added cust alloc to T&amp;D, then deducted supply allocation, later added amt ded from Admin</t>
        </r>
      </text>
    </comment>
    <comment ref="H34" authorId="0" shapeId="0" xr:uid="{C6578966-52CF-4833-81F3-B1D03D127A18}">
      <text>
        <r>
          <rPr>
            <b/>
            <sz val="9"/>
            <color indexed="81"/>
            <rFont val="Tahoma"/>
            <charset val="1"/>
          </rPr>
          <t>Alan Vilines:</t>
        </r>
        <r>
          <rPr>
            <sz val="9"/>
            <color indexed="81"/>
            <rFont val="Tahoma"/>
            <charset val="1"/>
          </rPr>
          <t xml:space="preserve">
Office pwr cost = 6,094
assume 20% admin &amp; 80% customer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C21" authorId="0" shapeId="0" xr:uid="{42564535-A605-4184-88A6-E63F9DE8B0A8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deduction to match numbers in Meter Charges spreadsheet
</t>
        </r>
      </text>
    </comment>
    <comment ref="C66" authorId="0" shapeId="0" xr:uid="{C27D663D-9895-41A0-A7C5-2CBE385E452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deduction to match total number shown in Meter Charges spreadsheet
</t>
        </r>
      </text>
    </comment>
  </commentList>
</comments>
</file>

<file path=xl/sharedStrings.xml><?xml version="1.0" encoding="utf-8"?>
<sst xmlns="http://schemas.openxmlformats.org/spreadsheetml/2006/main" count="882" uniqueCount="502">
  <si>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</si>
  <si>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</si>
  <si>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</si>
  <si>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</si>
  <si>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</si>
  <si>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Power</t>
  </si>
  <si>
    <t>Materials and Supplies</t>
  </si>
  <si>
    <t>Contractual Services</t>
  </si>
  <si>
    <t>Miscellaneous Expenses</t>
  </si>
  <si>
    <t>Transportation Expenses</t>
  </si>
  <si>
    <t>Meter Size</t>
  </si>
  <si>
    <t>Proposed</t>
  </si>
  <si>
    <t>Percent</t>
  </si>
  <si>
    <t>Interest Income</t>
  </si>
  <si>
    <t>First</t>
  </si>
  <si>
    <t>Over</t>
  </si>
  <si>
    <t>Total</t>
  </si>
  <si>
    <t>Totals</t>
  </si>
  <si>
    <t>Gallons</t>
  </si>
  <si>
    <t>Operating Revenues</t>
  </si>
  <si>
    <t>Sales for Resale</t>
  </si>
  <si>
    <t>Other Water Revenues:</t>
  </si>
  <si>
    <t>Misc. Service Revenues</t>
  </si>
  <si>
    <t>Total Operating Revenues</t>
  </si>
  <si>
    <t>Operating Expenses</t>
  </si>
  <si>
    <t>Depreciation Expense</t>
  </si>
  <si>
    <t>Net Utility Operating Income</t>
  </si>
  <si>
    <t>REVENUE REQUIREMENTS</t>
  </si>
  <si>
    <t>Plus:</t>
  </si>
  <si>
    <t>Less:</t>
  </si>
  <si>
    <t>Other Operating Revenue</t>
  </si>
  <si>
    <t>Customer</t>
  </si>
  <si>
    <t>Table F</t>
  </si>
  <si>
    <t>Values</t>
  </si>
  <si>
    <t>Commodity</t>
  </si>
  <si>
    <t>Demand</t>
  </si>
  <si>
    <t>Chemicals</t>
  </si>
  <si>
    <t>WHOLESALE RATE COMPUTATION</t>
  </si>
  <si>
    <t>Allocation</t>
  </si>
  <si>
    <t>Wholesale</t>
  </si>
  <si>
    <t>Factor</t>
  </si>
  <si>
    <t>Retail</t>
  </si>
  <si>
    <t>Salaries &amp; Wages</t>
  </si>
  <si>
    <t>Customer Accts.</t>
  </si>
  <si>
    <t>Trans./Distribution</t>
  </si>
  <si>
    <t>Admin &amp; General</t>
  </si>
  <si>
    <t>Employee Benefits + Taxes</t>
  </si>
  <si>
    <t>Materials &amp; Supplies</t>
  </si>
  <si>
    <t>Transportation Expense</t>
  </si>
  <si>
    <t>Misc. Expense</t>
  </si>
  <si>
    <t>Trans. / Distribution</t>
  </si>
  <si>
    <t>Wholesale Gallons Sold (x 1,000)</t>
  </si>
  <si>
    <t>Wholesale Rate per 1,000 Gallons</t>
  </si>
  <si>
    <t>Salaries - Officers (A &amp; G)</t>
  </si>
  <si>
    <t>Contr. Services - Acct. &amp; Legal</t>
  </si>
  <si>
    <t>Trans. &amp;</t>
  </si>
  <si>
    <t>General</t>
  </si>
  <si>
    <t>Distribution</t>
  </si>
  <si>
    <t>&amp; Admin.</t>
  </si>
  <si>
    <t>SYSTEM INFORMATION</t>
  </si>
  <si>
    <t>Schedule of All Mains and Jointly Used Mains</t>
  </si>
  <si>
    <t>Total System</t>
  </si>
  <si>
    <t>Joint Use</t>
  </si>
  <si>
    <t>Main</t>
  </si>
  <si>
    <t>Length</t>
  </si>
  <si>
    <t>Miles of</t>
  </si>
  <si>
    <t>Inch -</t>
  </si>
  <si>
    <t>Size</t>
  </si>
  <si>
    <t>(feet)</t>
  </si>
  <si>
    <t>Mains</t>
  </si>
  <si>
    <t>Miles</t>
  </si>
  <si>
    <t>Water Purchased, Sold and Used</t>
  </si>
  <si>
    <t>x 1,000</t>
  </si>
  <si>
    <t xml:space="preserve">   Retail Sales</t>
  </si>
  <si>
    <t xml:space="preserve">   Wholesale Sales</t>
  </si>
  <si>
    <t>Total Water Sold</t>
  </si>
  <si>
    <t>System Flushing</t>
  </si>
  <si>
    <t>Line Losses</t>
  </si>
  <si>
    <t>Fire Dept. &amp; Other</t>
  </si>
  <si>
    <t>WHOLESALE ALLOCATION FACTORS</t>
  </si>
  <si>
    <t>FACTOR</t>
  </si>
  <si>
    <t>Line Loss Percentage</t>
  </si>
  <si>
    <t>Joint Use Inch-miles</t>
  </si>
  <si>
    <t>Total Inch-Miles</t>
  </si>
  <si>
    <t>Water Sold - Wholesale</t>
  </si>
  <si>
    <t>Water Sold - Total</t>
  </si>
  <si>
    <t xml:space="preserve">                 ---------------------</t>
  </si>
  <si>
    <t>=</t>
  </si>
  <si>
    <t>-</t>
  </si>
  <si>
    <t>Joint Use Pipeline Ratio</t>
  </si>
  <si>
    <t>x</t>
  </si>
  <si>
    <t>-----------------</t>
  </si>
  <si>
    <t>Use Factor</t>
  </si>
  <si>
    <t>Admin. &amp;</t>
  </si>
  <si>
    <t xml:space="preserve">     Less Admin. &amp; General</t>
  </si>
  <si>
    <t>Percentages w/o A &amp; G</t>
  </si>
  <si>
    <t>Total w/o A &amp; G</t>
  </si>
  <si>
    <t>Allocation of Admin. &amp; General</t>
  </si>
  <si>
    <t>Total O &amp; M Expense Allocations</t>
  </si>
  <si>
    <t>ALLOCATION OF OPERATION &amp; MAINTENANCE EXPENSE - RETAIL</t>
  </si>
  <si>
    <t>Operation &amp; Maintenance Expenses</t>
  </si>
  <si>
    <t xml:space="preserve">     Forfeited Discounts</t>
  </si>
  <si>
    <t>Revenue Required from Retail Rates</t>
  </si>
  <si>
    <t>Actual Commodity Sales</t>
  </si>
  <si>
    <t>Commodity Percentages</t>
  </si>
  <si>
    <t>Demand Weighting Factor</t>
  </si>
  <si>
    <t>Demand Weighted Sales</t>
  </si>
  <si>
    <t>Demand Percentages</t>
  </si>
  <si>
    <t>Commodity Costs</t>
  </si>
  <si>
    <t>Demand Costs</t>
  </si>
  <si>
    <t>Existing</t>
  </si>
  <si>
    <t>1 inch</t>
  </si>
  <si>
    <t>2 inch</t>
  </si>
  <si>
    <t>CALCULATION OF WATER RATES - RETAIL</t>
  </si>
  <si>
    <t>Table A</t>
  </si>
  <si>
    <t>SUMMARY OF ALLOCATIONS - RETAIL</t>
  </si>
  <si>
    <t>Total Expenses - Retail</t>
  </si>
  <si>
    <t>Table G</t>
  </si>
  <si>
    <t>(adjusted per Billing Analysis to result in required revenue)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</si>
  <si>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</si>
  <si>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</si>
  <si>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</si>
  <si>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</si>
  <si>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</si>
  <si>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</si>
  <si>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</si>
  <si>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</si>
  <si>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Pro Forma Operating Expenses</t>
  </si>
  <si>
    <t>TOTALS</t>
  </si>
  <si>
    <t>Water Loss Adjustment:</t>
  </si>
  <si>
    <t>Produced &amp; Purchased</t>
  </si>
  <si>
    <t>Sold</t>
  </si>
  <si>
    <t>Uses:</t>
  </si>
  <si>
    <t xml:space="preserve">  Flushing</t>
  </si>
  <si>
    <t xml:space="preserve">  WTP</t>
  </si>
  <si>
    <t xml:space="preserve">  Fire</t>
  </si>
  <si>
    <t xml:space="preserve">  Other</t>
  </si>
  <si>
    <t>Line Brks.</t>
  </si>
  <si>
    <t>Line Leaks</t>
  </si>
  <si>
    <t xml:space="preserve">  water loss percentage</t>
  </si>
  <si>
    <t>check</t>
  </si>
  <si>
    <t xml:space="preserve">  allowable in rates</t>
  </si>
  <si>
    <t>Capitalized Expense Adjustments:</t>
  </si>
  <si>
    <t>Adjustment</t>
  </si>
  <si>
    <t>Forfeited Discounts</t>
  </si>
  <si>
    <t>Total Metered Retail Sales</t>
  </si>
  <si>
    <t>DEPRECIATION EXPENSE ADJUSTMENTS</t>
  </si>
  <si>
    <t>Depreciation</t>
  </si>
  <si>
    <t>Assets</t>
  </si>
  <si>
    <t>Date in</t>
  </si>
  <si>
    <t>Original</t>
  </si>
  <si>
    <t>Expense</t>
  </si>
  <si>
    <t>No.</t>
  </si>
  <si>
    <t>Description</t>
  </si>
  <si>
    <t>Service</t>
  </si>
  <si>
    <t>Life</t>
  </si>
  <si>
    <t>Depr. Exp.</t>
  </si>
  <si>
    <t>FIRST</t>
  </si>
  <si>
    <t>ALL OVER</t>
  </si>
  <si>
    <t>USAGE</t>
  </si>
  <si>
    <t>BILLS</t>
  </si>
  <si>
    <t>GALLONS</t>
  </si>
  <si>
    <t>TOTAL</t>
  </si>
  <si>
    <t xml:space="preserve">     REVENUE BY RATE INCREMENT</t>
  </si>
  <si>
    <t>RATE</t>
  </si>
  <si>
    <t>REVENUE</t>
  </si>
  <si>
    <t xml:space="preserve"> = Total water used</t>
  </si>
  <si>
    <t>Joint Share of Line Loss</t>
  </si>
  <si>
    <t xml:space="preserve">     Reported     </t>
  </si>
  <si>
    <t>Salaries - Officers</t>
  </si>
  <si>
    <t>Contr. Services - Water Testing</t>
  </si>
  <si>
    <t>Total Revenue Required</t>
  </si>
  <si>
    <t>Insurance - Worker's Comp.</t>
  </si>
  <si>
    <t>Miscellaneous Expense</t>
  </si>
  <si>
    <t>Storage</t>
  </si>
  <si>
    <t>Treatment</t>
  </si>
  <si>
    <t>Tanks</t>
  </si>
  <si>
    <t>ALLOCATION OF DEPRECIATION EXPENSE</t>
  </si>
  <si>
    <t xml:space="preserve">     TOTALS</t>
  </si>
  <si>
    <t>Tanks &amp; Reservoirs</t>
  </si>
  <si>
    <t>Revenue</t>
  </si>
  <si>
    <t>Total Sales</t>
  </si>
  <si>
    <t>Insurance - Workers Comp</t>
  </si>
  <si>
    <t>Insurance - Gen. Liability</t>
  </si>
  <si>
    <t xml:space="preserve">     Total Costs</t>
  </si>
  <si>
    <t>4 inch</t>
  </si>
  <si>
    <t>Table C</t>
  </si>
  <si>
    <t>Table E</t>
  </si>
  <si>
    <t>Table H</t>
  </si>
  <si>
    <t>Expenses</t>
  </si>
  <si>
    <t>Table I</t>
  </si>
  <si>
    <t>Advertising</t>
  </si>
  <si>
    <t>Bad Debt</t>
  </si>
  <si>
    <t>Entire Group</t>
  </si>
  <si>
    <t>various</t>
  </si>
  <si>
    <t>varies</t>
  </si>
  <si>
    <t>---------------------</t>
  </si>
  <si>
    <t>Structures &amp; Improvements</t>
  </si>
  <si>
    <t>Hydrants</t>
  </si>
  <si>
    <t xml:space="preserve">     SUBTOTALS</t>
  </si>
  <si>
    <t xml:space="preserve">     SUBTOTAL PERCENTAGES</t>
  </si>
  <si>
    <t xml:space="preserve">     SUBTOTAL</t>
  </si>
  <si>
    <t xml:space="preserve">     PERCENTAGE ALLOCATIONS</t>
  </si>
  <si>
    <t>ALL SALES</t>
  </si>
  <si>
    <t>A</t>
  </si>
  <si>
    <t>Wages</t>
  </si>
  <si>
    <t>Reg. Wages</t>
  </si>
  <si>
    <t xml:space="preserve"> wage increases</t>
  </si>
  <si>
    <t xml:space="preserve"> empl. health ins.</t>
  </si>
  <si>
    <t xml:space="preserve"> depr.</t>
  </si>
  <si>
    <t>Water</t>
  </si>
  <si>
    <t>Plant Value Percentages</t>
  </si>
  <si>
    <t>Fire Protection</t>
  </si>
  <si>
    <t>Other Water Revenues</t>
  </si>
  <si>
    <t>Purchased Water</t>
  </si>
  <si>
    <t>Rental of Bldg/Real Property</t>
  </si>
  <si>
    <t>Divided by:  Operating Ratio</t>
  </si>
  <si>
    <t>J</t>
  </si>
  <si>
    <t xml:space="preserve">  Subtotal</t>
  </si>
  <si>
    <t>Interest Expense</t>
  </si>
  <si>
    <t>Total Revenue Requirement</t>
  </si>
  <si>
    <t>Revenue Required From Sales of Water</t>
  </si>
  <si>
    <t>Revenue from Sales with Present Rates</t>
  </si>
  <si>
    <t>Required Revenue Increase</t>
  </si>
  <si>
    <t>Percent Increase</t>
  </si>
  <si>
    <t>Component</t>
  </si>
  <si>
    <t>Usage</t>
  </si>
  <si>
    <t>Customer Ch.</t>
  </si>
  <si>
    <t>REVENUE FROM USAGE - ALL METERS</t>
  </si>
  <si>
    <t>REVENUE FROM CUSTOMER CHARGES</t>
  </si>
  <si>
    <t>METER SIZE</t>
  </si>
  <si>
    <t>CHARGE</t>
  </si>
  <si>
    <t>5/8"x 3/4"</t>
  </si>
  <si>
    <t>1"</t>
  </si>
  <si>
    <t>1-1/2"</t>
  </si>
  <si>
    <t>2"</t>
  </si>
  <si>
    <t>3"</t>
  </si>
  <si>
    <t>4"</t>
  </si>
  <si>
    <t>6"</t>
  </si>
  <si>
    <t>REVENUE FROM WHOLESALE SALES</t>
  </si>
  <si>
    <t>SOUTHEAST DIVISION</t>
  </si>
  <si>
    <t>WEST DIVISION</t>
  </si>
  <si>
    <t>Daviess County Water District</t>
  </si>
  <si>
    <t>K-GALS</t>
  </si>
  <si>
    <t xml:space="preserve"> with 2021 rates</t>
  </si>
  <si>
    <t>Salaries &amp; Wages and Associated Adjustments</t>
  </si>
  <si>
    <t>Pro Forma</t>
  </si>
  <si>
    <t xml:space="preserve">Pro Forma </t>
  </si>
  <si>
    <t>Confirmed that expenses for new</t>
  </si>
  <si>
    <t>Employee</t>
  </si>
  <si>
    <t>Reg. Hrs</t>
  </si>
  <si>
    <t>O. T. Hours</t>
  </si>
  <si>
    <t>Wage Rate</t>
  </si>
  <si>
    <t>O. T. Wages</t>
  </si>
  <si>
    <t>meters are  deducted from</t>
  </si>
  <si>
    <t>operations at EOY</t>
  </si>
  <si>
    <t>Other</t>
  </si>
  <si>
    <t xml:space="preserve">  adjustment not req'd.</t>
  </si>
  <si>
    <t>Health Insurance Adjustment</t>
  </si>
  <si>
    <t>Less: Test Year Salaries &amp; Wages Exp</t>
  </si>
  <si>
    <t>Pro Forma Salaries &amp; Wages Adj'mt</t>
  </si>
  <si>
    <t>Dist. Contrib</t>
  </si>
  <si>
    <t>BLS avg.</t>
  </si>
  <si>
    <t>Premium</t>
  </si>
  <si>
    <t xml:space="preserve"> </t>
  </si>
  <si>
    <t>Total Pen &amp; Benefits</t>
  </si>
  <si>
    <t>Empl. rate</t>
  </si>
  <si>
    <t>Adj'mt.</t>
  </si>
  <si>
    <t>Pro Forma Salaries and Wages Expense</t>
  </si>
  <si>
    <t>Health (emp)</t>
  </si>
  <si>
    <t>Health (fam)</t>
  </si>
  <si>
    <t>Pro Forma Payroll Taxes</t>
  </si>
  <si>
    <t>Dental</t>
  </si>
  <si>
    <t>Less: Test Year Payroll Taxes</t>
  </si>
  <si>
    <t>Allowable monthly prem.</t>
  </si>
  <si>
    <t>Payroll Tax Adjustment</t>
  </si>
  <si>
    <t>Allowable annual prem.</t>
  </si>
  <si>
    <t>Less prem. pd. in test yr.</t>
  </si>
  <si>
    <t>Health Ins. Adjustment</t>
  </si>
  <si>
    <t>Times: Percent Pension Contribution</t>
  </si>
  <si>
    <t>Total Pro Forma Pension Contribution</t>
  </si>
  <si>
    <t>Less: Test Year Pension Contribution</t>
  </si>
  <si>
    <t>Pension &amp; Benefits Adjustment</t>
  </si>
  <si>
    <t>Wigginton</t>
  </si>
  <si>
    <t>Krampe</t>
  </si>
  <si>
    <t>Baker</t>
  </si>
  <si>
    <t>Carlock</t>
  </si>
  <si>
    <t>Broadley</t>
  </si>
  <si>
    <t>Hardy</t>
  </si>
  <si>
    <t>Cecil</t>
  </si>
  <si>
    <t>Hagan</t>
  </si>
  <si>
    <t>Higdon</t>
  </si>
  <si>
    <t>Horseman</t>
  </si>
  <si>
    <t>Johnson</t>
  </si>
  <si>
    <t>Lane</t>
  </si>
  <si>
    <t>Young</t>
  </si>
  <si>
    <t>salary</t>
  </si>
  <si>
    <t>D. T. Hours</t>
  </si>
  <si>
    <t>Anderson</t>
  </si>
  <si>
    <t>Additional</t>
  </si>
  <si>
    <t>Pay</t>
  </si>
  <si>
    <t>Employee Pensions &amp; Benefits (from Trial Bal.):</t>
  </si>
  <si>
    <t>Retirement</t>
  </si>
  <si>
    <t xml:space="preserve"> Pensions - wage increases</t>
  </si>
  <si>
    <t>Health (e/sp)</t>
  </si>
  <si>
    <t>Emp. Med, dental, &amp; life ins.</t>
  </si>
  <si>
    <t>KRWA</t>
  </si>
  <si>
    <t>Legal</t>
  </si>
  <si>
    <t>Forfieted Discounts</t>
  </si>
  <si>
    <t>SE</t>
  </si>
  <si>
    <t>West</t>
  </si>
  <si>
    <t>2021 PWA</t>
  </si>
  <si>
    <t>Rate Incr.</t>
  </si>
  <si>
    <t>Water Supply Multiplier</t>
  </si>
  <si>
    <t>Wholesale Supply Multiplier</t>
  </si>
  <si>
    <t>Water Supply Allocation Factor</t>
  </si>
  <si>
    <t>Transmission Factor</t>
  </si>
  <si>
    <t xml:space="preserve">   304 - Pumps and Equipment</t>
  </si>
  <si>
    <t>Pumping Stations</t>
  </si>
  <si>
    <t>Pump Equipment</t>
  </si>
  <si>
    <t>SCADA Equipment</t>
  </si>
  <si>
    <t xml:space="preserve">   330 - Reservoirs &amp; Tanks</t>
  </si>
  <si>
    <t>Tanks &amp; Improvements</t>
  </si>
  <si>
    <t xml:space="preserve">   331 - Line Additions</t>
  </si>
  <si>
    <t>Various Line Additions</t>
  </si>
  <si>
    <t xml:space="preserve">   334 - Meters</t>
  </si>
  <si>
    <t xml:space="preserve">   335 - Hydrants</t>
  </si>
  <si>
    <t xml:space="preserve">   339 - Other Plant &amp; Misc. Equip.</t>
  </si>
  <si>
    <t>Office Equipment</t>
  </si>
  <si>
    <t xml:space="preserve">   340 - Office Furniture &amp; Equip.</t>
  </si>
  <si>
    <t>Office Furniture</t>
  </si>
  <si>
    <t>Computers, Software, etc.</t>
  </si>
  <si>
    <t xml:space="preserve">   341 - Vehicles</t>
  </si>
  <si>
    <t>Pickup Trucks</t>
  </si>
  <si>
    <t xml:space="preserve">   343 - Tools, Shop &amp; Garage Equip.</t>
  </si>
  <si>
    <t>Misc. Equipment</t>
  </si>
  <si>
    <t xml:space="preserve">   345 - Power Operated Equip.</t>
  </si>
  <si>
    <t xml:space="preserve">   346 - Communication Equip.</t>
  </si>
  <si>
    <t>SUMMARY - BOTH DIVISIONS</t>
  </si>
  <si>
    <t>8"</t>
  </si>
  <si>
    <t>REVENUE FROM PRIVATE FIRE PROTECTION SERVICES</t>
  </si>
  <si>
    <t>10"</t>
  </si>
  <si>
    <t>12"</t>
  </si>
  <si>
    <t>Private Fire Protection</t>
  </si>
  <si>
    <t>Wholesale Sales</t>
  </si>
  <si>
    <t>LEK Leak Adj</t>
  </si>
  <si>
    <t>MSR Misread</t>
  </si>
  <si>
    <t>MBA Mtr Bottom</t>
  </si>
  <si>
    <t>Purchased Water Adjustment</t>
  </si>
  <si>
    <t>Gals Purch.</t>
  </si>
  <si>
    <t>Rate</t>
  </si>
  <si>
    <t>East Daviess</t>
  </si>
  <si>
    <t>OMU - SE</t>
  </si>
  <si>
    <t>OMU - West</t>
  </si>
  <si>
    <t>BILLING ANALYSIS WITH 2021 USAGE &amp; EXISTING RATES</t>
  </si>
  <si>
    <t>Full yr at 2021 and ED 2022</t>
  </si>
  <si>
    <t>Masonville Painting</t>
  </si>
  <si>
    <t>Pleasant Grove Painting</t>
  </si>
  <si>
    <t>2019</t>
  </si>
  <si>
    <t>2021</t>
  </si>
  <si>
    <t>Touch Reads</t>
  </si>
  <si>
    <t>Meters &amp; Installations</t>
  </si>
  <si>
    <t>Meter Test Benches</t>
  </si>
  <si>
    <t>PSC case</t>
  </si>
  <si>
    <t>B</t>
  </si>
  <si>
    <t>C</t>
  </si>
  <si>
    <t>D</t>
  </si>
  <si>
    <t>E</t>
  </si>
  <si>
    <t>F</t>
  </si>
  <si>
    <t>G</t>
  </si>
  <si>
    <t>H</t>
  </si>
  <si>
    <t>I</t>
  </si>
  <si>
    <t>Table B</t>
  </si>
  <si>
    <t>Water Purchased</t>
  </si>
  <si>
    <t>Southeast</t>
  </si>
  <si>
    <t>OMU</t>
  </si>
  <si>
    <t>Whitesville</t>
  </si>
  <si>
    <t>McLean Co.</t>
  </si>
  <si>
    <t>Beech Grove</t>
  </si>
  <si>
    <t>inches</t>
  </si>
  <si>
    <t>feet</t>
  </si>
  <si>
    <t xml:space="preserve">                    -----------------------</t>
  </si>
  <si>
    <t xml:space="preserve">  Pumps and Equipment</t>
  </si>
  <si>
    <t xml:space="preserve">  Reservoirs and Tanks</t>
  </si>
  <si>
    <t xml:space="preserve">  Line Additions</t>
  </si>
  <si>
    <t xml:space="preserve">  Meters</t>
  </si>
  <si>
    <t xml:space="preserve">  Hydrants</t>
  </si>
  <si>
    <t xml:space="preserve">  Other Plant and Misc. Equipment</t>
  </si>
  <si>
    <t xml:space="preserve">  Office Furniture and Equipment</t>
  </si>
  <si>
    <t xml:space="preserve">  Vehicles</t>
  </si>
  <si>
    <t xml:space="preserve">  Tools, Shop, and Garage Equipment</t>
  </si>
  <si>
    <t xml:space="preserve">  Power Operated Equipment</t>
  </si>
  <si>
    <t xml:space="preserve">  Communication Equipment</t>
  </si>
  <si>
    <t>Supply</t>
  </si>
  <si>
    <t>*  Includes only costs of assets that contributed to depreciation expense in the test year.</t>
  </si>
  <si>
    <t>Cost *</t>
  </si>
  <si>
    <t xml:space="preserve">    Land and Land Rights</t>
  </si>
  <si>
    <t>ALLOCATION OF PLANT VALUE AND OPERATING MARGIN</t>
  </si>
  <si>
    <t>Allocation of Operating Margin</t>
  </si>
  <si>
    <t>Water Supply</t>
  </si>
  <si>
    <t>AS REPORTED:</t>
  </si>
  <si>
    <t>Trans &amp; Dist</t>
  </si>
  <si>
    <t>Admin</t>
  </si>
  <si>
    <t>Sal &amp; Wages - Empl</t>
  </si>
  <si>
    <t xml:space="preserve">     Allocation %'s</t>
  </si>
  <si>
    <t>Sal &amp; Wages - Comm</t>
  </si>
  <si>
    <t>Empl. Pen &amp; Bene</t>
  </si>
  <si>
    <t>Purch Water</t>
  </si>
  <si>
    <t>Purch Power</t>
  </si>
  <si>
    <t>Mat'ls &amp; Supplies</t>
  </si>
  <si>
    <t>Contr Serv - Acct.</t>
  </si>
  <si>
    <t>Contr Serv - Legal</t>
  </si>
  <si>
    <t>Contr Serv - Testing</t>
  </si>
  <si>
    <t>Contr Serv - Other</t>
  </si>
  <si>
    <t>Rentals - Bldg</t>
  </si>
  <si>
    <t>Rentals - Equip</t>
  </si>
  <si>
    <t>Transportation</t>
  </si>
  <si>
    <t>Ins - Gen Liab</t>
  </si>
  <si>
    <t>Ins - Workers Comp</t>
  </si>
  <si>
    <t>Ins -  Other</t>
  </si>
  <si>
    <t>Miscellaneous</t>
  </si>
  <si>
    <t>PRO FORMA</t>
  </si>
  <si>
    <t>Empl. Pen &amp; Ben + Taxes</t>
  </si>
  <si>
    <t>depreciation</t>
  </si>
  <si>
    <t>Insurance - Gen Liab</t>
  </si>
  <si>
    <t>Operating Margin</t>
  </si>
  <si>
    <t>Other Water Revenue</t>
  </si>
  <si>
    <t>AT&amp;T Rental</t>
  </si>
  <si>
    <t>% Incr</t>
  </si>
  <si>
    <t>Annual</t>
  </si>
  <si>
    <t>Rate Study/Application</t>
  </si>
  <si>
    <t>AMI Vendor</t>
  </si>
  <si>
    <t>Contractual Services Adjustments</t>
  </si>
  <si>
    <t>Tank Mnt.</t>
  </si>
  <si>
    <t>Salaries &amp; Wages w/ early 2022 Rates</t>
  </si>
  <si>
    <t>Pro Forma Salaries &amp; Wages Exp w/ Mid 2022 Incr</t>
  </si>
  <si>
    <t xml:space="preserve">  AT&amp; T</t>
  </si>
  <si>
    <t>Materials &amp; Supplies Adjustments</t>
  </si>
  <si>
    <t>Rentals - Bldg.</t>
  </si>
  <si>
    <t xml:space="preserve">     Miscellaneous Service Revenues</t>
  </si>
  <si>
    <t xml:space="preserve">   Other Water Revenues</t>
  </si>
  <si>
    <t xml:space="preserve">   Interest Income</t>
  </si>
  <si>
    <t>20,000</t>
  </si>
  <si>
    <t>No. of Gallons Sold</t>
  </si>
  <si>
    <t>CALCULATED USAGE RATES</t>
  </si>
  <si>
    <t>PROPOSED USAGE RATES</t>
  </si>
  <si>
    <t>CALCULATION OF CUSTOMER CHARGES:</t>
  </si>
  <si>
    <t>Expenses to be Allocated</t>
  </si>
  <si>
    <t>Unit Cost of Service</t>
  </si>
  <si>
    <t>Ratio</t>
  </si>
  <si>
    <t>Charge</t>
  </si>
  <si>
    <t>5/8 x 3/4"</t>
  </si>
  <si>
    <t>Total Misc Revenue</t>
  </si>
  <si>
    <t>Total Retail Allocation</t>
  </si>
  <si>
    <t>Total Req'd from Retail Rates</t>
  </si>
  <si>
    <t xml:space="preserve">     Allocation Percentages</t>
  </si>
  <si>
    <t>Number of Services and Equivalents:</t>
  </si>
  <si>
    <t>No. of</t>
  </si>
  <si>
    <t>Equivalents</t>
  </si>
  <si>
    <t>AMI &amp; Tank mnt vendors</t>
  </si>
  <si>
    <t>Retail Bills</t>
  </si>
  <si>
    <t xml:space="preserve"> SIZE</t>
  </si>
  <si>
    <t>SIZE</t>
  </si>
  <si>
    <t>BILLING ANALYSIS WITH 2021 USAGE &amp; PROPOSED RATES</t>
  </si>
  <si>
    <t>Less Billing Adjustments</t>
  </si>
  <si>
    <t>REVENUE FROM USAGE - ALL RETAIL METERS</t>
  </si>
  <si>
    <t>CURRENT AND PROPOSED RATES</t>
  </si>
  <si>
    <t xml:space="preserve">  RETAIL RATES  </t>
  </si>
  <si>
    <t>Monthly Rates for Water Usage in Addition to Customer Charge</t>
  </si>
  <si>
    <t>No. of Gallons per Month</t>
  </si>
  <si>
    <t>Current</t>
  </si>
  <si>
    <t>Difference</t>
  </si>
  <si>
    <t>First 20,000 Gallons</t>
  </si>
  <si>
    <t>Over 20,000 Gallons</t>
  </si>
  <si>
    <t>Customer Charge for Each Size Meter</t>
  </si>
  <si>
    <t xml:space="preserve">5/8 x 3/4 inch </t>
  </si>
  <si>
    <t>1-1/2 inch</t>
  </si>
  <si>
    <t>3 inch</t>
  </si>
  <si>
    <t>6 inch</t>
  </si>
  <si>
    <t>8 inch</t>
  </si>
  <si>
    <t>For all Water Purchased</t>
  </si>
  <si>
    <t xml:space="preserve">  WHOLESALE RATES  </t>
  </si>
  <si>
    <t xml:space="preserve">Retail </t>
  </si>
  <si>
    <t>SOURCES OF SALES REVENUE</t>
  </si>
  <si>
    <t>0 - 20,0000</t>
  </si>
  <si>
    <t>over 20,000</t>
  </si>
  <si>
    <t xml:space="preserve">    Fire Protection Revenue</t>
  </si>
  <si>
    <t xml:space="preserve"> 2021 &amp; 2022 increases</t>
  </si>
  <si>
    <t xml:space="preserve"> Ex BA with 2021 rates</t>
  </si>
  <si>
    <t xml:space="preserve"> add late fees</t>
  </si>
  <si>
    <t>yr. amortization</t>
  </si>
  <si>
    <t>Table D</t>
  </si>
  <si>
    <t>TABLE J</t>
  </si>
  <si>
    <t xml:space="preserve"> wage incr + local tax incr</t>
  </si>
  <si>
    <t>No. of Equivalents</t>
  </si>
  <si>
    <t>Unit Cost</t>
  </si>
  <si>
    <t>of Service</t>
  </si>
  <si>
    <t>Increase</t>
  </si>
  <si>
    <t>INCLUDES LATE FEES</t>
  </si>
  <si>
    <t>CALCULATION OF USAGE CHARGES:</t>
  </si>
  <si>
    <t>K</t>
  </si>
  <si>
    <t>Times: FICA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</si>
</sst>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0.0%"/>
    <numFmt numFmtId="168" formatCode="#,##0.0000"/>
    <numFmt numFmtId="169" formatCode="[$$-409]#,##0.00"/>
    <numFmt numFmtId="170" formatCode="_(* #,##0.0_);_(* \(#,##0.0\);_(* &quot;-&quot;??_);_(@_)"/>
    <numFmt numFmtId="171" formatCode="#,##0.0"/>
    <numFmt numFmtId="172" formatCode="_(* #,##0.0000_);_(* \(#,##0.0000\);_(* &quot;-&quot;??_);_(@_)"/>
    <numFmt numFmtId="173" formatCode="0.0000"/>
    <numFmt numFmtId="174" formatCode="0.000%"/>
    <numFmt numFmtId="175" formatCode="mm/dd/yy;@"/>
    <numFmt numFmtId="176" formatCode="_([$$-409]* #,##0_);_([$$-409]* \(#,##0\);_([$$-409]* &quot;-&quot;??_);_(@_)"/>
  </numFmts>
  <fonts count="4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  <font>
      <b/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 val="singleAccounting"/>
      <sz val="11"/>
      <color rgb="FF000000"/>
      <name val="Calibri"/>
      <family val="2"/>
      <scheme val="minor"/>
    </font>
    <font>
      <u val="doubleAccounting"/>
      <sz val="11"/>
      <color rgb="FF000000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1"/>
      <name val="Cambria"/>
      <family val="1"/>
      <scheme val="major"/>
    </font>
    <font>
      <b/>
      <u/>
      <sz val="11"/>
      <name val="Cambria"/>
      <family val="1"/>
      <scheme val="major"/>
    </font>
    <font>
      <u val="singleAccounting"/>
      <sz val="11"/>
      <name val="Cambria"/>
      <family val="1"/>
      <scheme val="major"/>
    </font>
    <font>
      <sz val="11"/>
      <color theme="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Calibri"/>
      <family val="2"/>
    </font>
    <font>
      <u val="singleAccounting"/>
      <sz val="11"/>
      <name val="Calibri"/>
      <family val="2"/>
    </font>
    <font>
      <b/>
      <u/>
      <sz val="16"/>
      <name val="Calibri"/>
      <family val="2"/>
      <scheme val="minor"/>
    </font>
    <font>
      <b/>
      <i/>
      <u val="singleAccounting"/>
      <sz val="1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7">
    <xf numFmtId="0" fontId="0" fillId="0" borderId="0" xfId="0"/>
    <xf numFmtId="0" fontId="4" fillId="0" borderId="0" xfId="0" applyFont="1"/>
    <xf numFmtId="165" fontId="4" fillId="0" borderId="0" xfId="0" applyNumberFormat="1" applyFont="1"/>
    <xf numFmtId="0" fontId="6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centerContinuous"/>
    </xf>
    <xf numFmtId="165" fontId="5" fillId="0" borderId="8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/>
    <xf numFmtId="3" fontId="4" fillId="0" borderId="0" xfId="0" applyNumberFormat="1" applyFont="1"/>
    <xf numFmtId="165" fontId="8" fillId="0" borderId="0" xfId="1" applyNumberFormat="1" applyFont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6" xfId="0" applyBorder="1"/>
    <xf numFmtId="171" fontId="3" fillId="0" borderId="0" xfId="0" applyNumberFormat="1" applyFont="1"/>
    <xf numFmtId="3" fontId="5" fillId="0" borderId="0" xfId="0" applyNumberFormat="1" applyFont="1" applyBorder="1" applyAlignment="1">
      <alignment horizontal="center"/>
    </xf>
    <xf numFmtId="165" fontId="4" fillId="0" borderId="1" xfId="1" applyNumberFormat="1" applyFont="1" applyBorder="1"/>
    <xf numFmtId="165" fontId="4" fillId="0" borderId="0" xfId="1" applyNumberFormat="1" applyFont="1" applyBorder="1"/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/>
    <xf numFmtId="165" fontId="7" fillId="0" borderId="0" xfId="1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65" fontId="4" fillId="0" borderId="3" xfId="1" applyNumberFormat="1" applyFont="1" applyBorder="1"/>
    <xf numFmtId="165" fontId="4" fillId="0" borderId="2" xfId="1" applyNumberFormat="1" applyFont="1" applyBorder="1"/>
    <xf numFmtId="165" fontId="4" fillId="0" borderId="4" xfId="1" applyNumberFormat="1" applyFont="1" applyBorder="1"/>
    <xf numFmtId="165" fontId="4" fillId="0" borderId="7" xfId="1" applyNumberFormat="1" applyFont="1" applyBorder="1"/>
    <xf numFmtId="165" fontId="4" fillId="0" borderId="8" xfId="1" applyNumberFormat="1" applyFont="1" applyBorder="1"/>
    <xf numFmtId="165" fontId="12" fillId="0" borderId="0" xfId="1" applyNumberFormat="1" applyFont="1" applyBorder="1"/>
    <xf numFmtId="10" fontId="4" fillId="0" borderId="0" xfId="3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0" fontId="4" fillId="0" borderId="0" xfId="0" applyNumberFormat="1" applyFont="1" applyFill="1" applyBorder="1" applyAlignment="1">
      <alignment horizontal="left" vertical="top"/>
    </xf>
    <xf numFmtId="10" fontId="4" fillId="0" borderId="0" xfId="3" applyNumberFormat="1" applyFont="1"/>
    <xf numFmtId="43" fontId="4" fillId="0" borderId="0" xfId="1" applyFont="1"/>
    <xf numFmtId="9" fontId="4" fillId="0" borderId="0" xfId="3" applyFont="1"/>
    <xf numFmtId="165" fontId="5" fillId="0" borderId="0" xfId="1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165" fontId="12" fillId="0" borderId="8" xfId="1" applyNumberFormat="1" applyFont="1" applyBorder="1"/>
    <xf numFmtId="165" fontId="8" fillId="0" borderId="0" xfId="1" applyNumberFormat="1" applyFont="1" applyBorder="1"/>
    <xf numFmtId="165" fontId="4" fillId="0" borderId="0" xfId="1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165" fontId="12" fillId="0" borderId="0" xfId="1" quotePrefix="1" applyNumberFormat="1" applyFont="1" applyBorder="1" applyAlignment="1">
      <alignment horizontal="center"/>
    </xf>
    <xf numFmtId="165" fontId="12" fillId="0" borderId="8" xfId="1" quotePrefix="1" applyNumberFormat="1" applyFont="1" applyBorder="1" applyAlignment="1">
      <alignment horizontal="center"/>
    </xf>
    <xf numFmtId="10" fontId="4" fillId="0" borderId="8" xfId="3" applyNumberFormat="1" applyFont="1" applyBorder="1"/>
    <xf numFmtId="43" fontId="4" fillId="0" borderId="0" xfId="1" applyNumberFormat="1" applyFont="1" applyBorder="1"/>
    <xf numFmtId="43" fontId="4" fillId="0" borderId="8" xfId="1" applyNumberFormat="1" applyFont="1" applyBorder="1"/>
    <xf numFmtId="166" fontId="4" fillId="0" borderId="0" xfId="1" applyNumberFormat="1" applyFont="1" applyBorder="1"/>
    <xf numFmtId="166" fontId="4" fillId="0" borderId="8" xfId="1" applyNumberFormat="1" applyFont="1" applyBorder="1"/>
    <xf numFmtId="43" fontId="4" fillId="0" borderId="0" xfId="1" applyFont="1" applyBorder="1"/>
    <xf numFmtId="43" fontId="4" fillId="0" borderId="8" xfId="1" applyFont="1" applyBorder="1"/>
    <xf numFmtId="0" fontId="15" fillId="0" borderId="0" xfId="0" applyFont="1"/>
    <xf numFmtId="43" fontId="4" fillId="0" borderId="0" xfId="5" applyFont="1"/>
    <xf numFmtId="165" fontId="4" fillId="0" borderId="0" xfId="5" applyNumberFormat="1" applyFont="1"/>
    <xf numFmtId="44" fontId="4" fillId="0" borderId="0" xfId="6" applyFont="1"/>
    <xf numFmtId="174" fontId="4" fillId="0" borderId="0" xfId="7" applyNumberFormat="1" applyFont="1"/>
    <xf numFmtId="3" fontId="4" fillId="0" borderId="0" xfId="0" applyNumberFormat="1" applyFont="1" applyAlignment="1">
      <alignment horizontal="right"/>
    </xf>
    <xf numFmtId="165" fontId="4" fillId="0" borderId="0" xfId="5" applyNumberFormat="1" applyFont="1" applyAlignment="1">
      <alignment vertical="center"/>
    </xf>
    <xf numFmtId="0" fontId="7" fillId="0" borderId="0" xfId="0" applyFont="1" applyAlignment="1">
      <alignment horizontal="center"/>
    </xf>
    <xf numFmtId="3" fontId="4" fillId="0" borderId="1" xfId="0" applyNumberFormat="1" applyFont="1" applyBorder="1"/>
    <xf numFmtId="165" fontId="4" fillId="0" borderId="0" xfId="1" applyNumberFormat="1" applyFont="1" applyAlignment="1">
      <alignment horizontal="center"/>
    </xf>
    <xf numFmtId="44" fontId="4" fillId="0" borderId="0" xfId="2" applyFont="1"/>
    <xf numFmtId="3" fontId="1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15" fillId="0" borderId="0" xfId="0" applyNumberFormat="1" applyFont="1"/>
    <xf numFmtId="165" fontId="18" fillId="0" borderId="0" xfId="5" applyNumberFormat="1" applyFont="1" applyAlignment="1">
      <alignment vertical="center"/>
    </xf>
    <xf numFmtId="43" fontId="4" fillId="0" borderId="0" xfId="5" applyFont="1" applyAlignment="1">
      <alignment vertical="center"/>
    </xf>
    <xf numFmtId="10" fontId="15" fillId="0" borderId="0" xfId="7" applyNumberFormat="1" applyFont="1"/>
    <xf numFmtId="165" fontId="8" fillId="0" borderId="0" xfId="5" applyNumberFormat="1" applyFont="1" applyAlignment="1">
      <alignment horizontal="right"/>
    </xf>
    <xf numFmtId="165" fontId="4" fillId="0" borderId="7" xfId="5" applyNumberFormat="1" applyFont="1" applyBorder="1"/>
    <xf numFmtId="165" fontId="8" fillId="0" borderId="0" xfId="5" applyNumberFormat="1" applyFont="1"/>
    <xf numFmtId="164" fontId="4" fillId="0" borderId="0" xfId="6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37" fontId="4" fillId="0" borderId="0" xfId="0" applyNumberFormat="1" applyFont="1"/>
    <xf numFmtId="37" fontId="4" fillId="0" borderId="1" xfId="0" applyNumberFormat="1" applyFont="1" applyBorder="1"/>
    <xf numFmtId="165" fontId="4" fillId="0" borderId="1" xfId="5" applyNumberFormat="1" applyFont="1" applyBorder="1"/>
    <xf numFmtId="0" fontId="8" fillId="0" borderId="0" xfId="0" applyFont="1" applyAlignment="1">
      <alignment horizontal="left"/>
    </xf>
    <xf numFmtId="0" fontId="4" fillId="0" borderId="1" xfId="0" applyFont="1" applyBorder="1"/>
    <xf numFmtId="43" fontId="4" fillId="0" borderId="1" xfId="5" applyFont="1" applyBorder="1"/>
    <xf numFmtId="165" fontId="4" fillId="0" borderId="0" xfId="5" applyNumberFormat="1" applyFont="1" applyBorder="1"/>
    <xf numFmtId="0" fontId="19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5" fontId="12" fillId="0" borderId="0" xfId="1" applyNumberFormat="1" applyFont="1"/>
    <xf numFmtId="165" fontId="8" fillId="0" borderId="0" xfId="5" applyNumberFormat="1" applyFont="1" applyBorder="1" applyAlignment="1">
      <alignment horizontal="center"/>
    </xf>
    <xf numFmtId="170" fontId="4" fillId="0" borderId="0" xfId="5" applyNumberFormat="1" applyFont="1" applyBorder="1"/>
    <xf numFmtId="165" fontId="10" fillId="0" borderId="7" xfId="5" applyNumberFormat="1" applyFont="1" applyBorder="1" applyAlignment="1">
      <alignment horizontal="center"/>
    </xf>
    <xf numFmtId="170" fontId="10" fillId="0" borderId="0" xfId="5" applyNumberFormat="1" applyFont="1" applyBorder="1" applyAlignment="1">
      <alignment horizontal="center"/>
    </xf>
    <xf numFmtId="165" fontId="9" fillId="0" borderId="7" xfId="1" applyNumberFormat="1" applyFont="1" applyBorder="1" applyAlignment="1">
      <alignment vertical="top"/>
    </xf>
    <xf numFmtId="4" fontId="4" fillId="0" borderId="0" xfId="0" applyNumberFormat="1" applyFont="1"/>
    <xf numFmtId="0" fontId="6" fillId="0" borderId="7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3" fontId="22" fillId="0" borderId="7" xfId="0" applyNumberFormat="1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5" fontId="8" fillId="0" borderId="7" xfId="1" applyNumberFormat="1" applyFont="1" applyBorder="1"/>
    <xf numFmtId="165" fontId="8" fillId="0" borderId="8" xfId="1" applyNumberFormat="1" applyFont="1" applyBorder="1"/>
    <xf numFmtId="3" fontId="11" fillId="0" borderId="0" xfId="0" applyNumberFormat="1" applyFont="1" applyAlignment="1">
      <alignment horizontal="center"/>
    </xf>
    <xf numFmtId="165" fontId="5" fillId="0" borderId="0" xfId="1" applyNumberFormat="1" applyFont="1" applyBorder="1" applyAlignment="1">
      <alignment horizontal="center" vertical="center"/>
    </xf>
    <xf numFmtId="43" fontId="4" fillId="0" borderId="0" xfId="0" applyNumberFormat="1" applyFont="1"/>
    <xf numFmtId="165" fontId="12" fillId="0" borderId="0" xfId="1" applyNumberFormat="1" applyFont="1" applyAlignment="1">
      <alignment horizontal="center"/>
    </xf>
    <xf numFmtId="166" fontId="8" fillId="0" borderId="0" xfId="1" applyNumberFormat="1" applyFont="1" applyBorder="1"/>
    <xf numFmtId="43" fontId="4" fillId="0" borderId="0" xfId="1" applyFont="1" applyAlignment="1"/>
    <xf numFmtId="3" fontId="16" fillId="0" borderId="0" xfId="0" applyNumberFormat="1" applyFont="1" applyBorder="1" applyAlignment="1">
      <alignment horizontal="centerContinuous" vertical="center"/>
    </xf>
    <xf numFmtId="43" fontId="4" fillId="0" borderId="7" xfId="1" applyFont="1" applyBorder="1"/>
    <xf numFmtId="43" fontId="4" fillId="0" borderId="7" xfId="1" applyFont="1" applyBorder="1" applyAlignment="1"/>
    <xf numFmtId="165" fontId="15" fillId="0" borderId="0" xfId="0" applyNumberFormat="1" applyFont="1"/>
    <xf numFmtId="166" fontId="4" fillId="0" borderId="6" xfId="1" applyNumberFormat="1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7" xfId="0" applyFont="1" applyBorder="1"/>
    <xf numFmtId="0" fontId="6" fillId="0" borderId="0" xfId="0" applyFont="1" applyBorder="1" applyAlignment="1">
      <alignment horizontal="centerContinuous"/>
    </xf>
    <xf numFmtId="0" fontId="4" fillId="0" borderId="0" xfId="0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4" fillId="0" borderId="8" xfId="0" applyNumberFormat="1" applyFont="1" applyBorder="1"/>
    <xf numFmtId="10" fontId="4" fillId="0" borderId="0" xfId="7" applyNumberFormat="1" applyFont="1" applyBorder="1"/>
    <xf numFmtId="168" fontId="4" fillId="0" borderId="0" xfId="0" applyNumberFormat="1" applyFont="1" applyBorder="1"/>
    <xf numFmtId="0" fontId="8" fillId="0" borderId="0" xfId="0" applyFont="1" applyBorder="1"/>
    <xf numFmtId="44" fontId="4" fillId="0" borderId="0" xfId="6" applyFont="1" applyBorder="1"/>
    <xf numFmtId="44" fontId="4" fillId="0" borderId="8" xfId="6" applyFont="1" applyBorder="1"/>
    <xf numFmtId="0" fontId="16" fillId="0" borderId="0" xfId="0" applyFont="1" applyBorder="1"/>
    <xf numFmtId="3" fontId="15" fillId="0" borderId="0" xfId="0" applyNumberFormat="1" applyFont="1" applyBorder="1"/>
    <xf numFmtId="169" fontId="16" fillId="0" borderId="0" xfId="0" applyNumberFormat="1" applyFont="1" applyBorder="1"/>
    <xf numFmtId="4" fontId="4" fillId="0" borderId="0" xfId="0" applyNumberFormat="1" applyFont="1" applyBorder="1"/>
    <xf numFmtId="4" fontId="4" fillId="0" borderId="8" xfId="0" applyNumberFormat="1" applyFont="1" applyBorder="1"/>
    <xf numFmtId="0" fontId="4" fillId="0" borderId="5" xfId="0" applyFont="1" applyBorder="1"/>
    <xf numFmtId="0" fontId="4" fillId="0" borderId="12" xfId="0" applyFont="1" applyBorder="1"/>
    <xf numFmtId="3" fontId="4" fillId="0" borderId="6" xfId="0" applyNumberFormat="1" applyFont="1" applyBorder="1"/>
    <xf numFmtId="167" fontId="4" fillId="0" borderId="0" xfId="3" applyNumberFormat="1" applyFont="1"/>
    <xf numFmtId="3" fontId="6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65" fontId="12" fillId="0" borderId="0" xfId="5" applyNumberFormat="1" applyFont="1"/>
    <xf numFmtId="174" fontId="7" fillId="0" borderId="0" xfId="7" applyNumberFormat="1" applyFont="1"/>
    <xf numFmtId="0" fontId="4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Continuous"/>
    </xf>
    <xf numFmtId="0" fontId="10" fillId="0" borderId="0" xfId="0" applyNumberFormat="1" applyFont="1" applyBorder="1" applyAlignment="1">
      <alignment horizontal="centerContinuous"/>
    </xf>
    <xf numFmtId="0" fontId="4" fillId="0" borderId="9" xfId="0" applyNumberFormat="1" applyFont="1" applyBorder="1"/>
    <xf numFmtId="3" fontId="4" fillId="0" borderId="0" xfId="0" applyNumberFormat="1" applyFont="1" applyBorder="1" applyAlignment="1"/>
    <xf numFmtId="0" fontId="4" fillId="0" borderId="10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4" fillId="0" borderId="10" xfId="0" applyNumberFormat="1" applyFont="1" applyBorder="1"/>
    <xf numFmtId="165" fontId="4" fillId="0" borderId="0" xfId="5" applyNumberFormat="1" applyFont="1" applyBorder="1" applyAlignment="1"/>
    <xf numFmtId="43" fontId="4" fillId="0" borderId="0" xfId="5" applyNumberFormat="1" applyFont="1" applyBorder="1" applyAlignment="1"/>
    <xf numFmtId="43" fontId="4" fillId="0" borderId="0" xfId="5" applyFont="1" applyBorder="1"/>
    <xf numFmtId="43" fontId="4" fillId="0" borderId="10" xfId="1" applyFont="1" applyBorder="1"/>
    <xf numFmtId="43" fontId="4" fillId="0" borderId="0" xfId="1" applyNumberFormat="1" applyFont="1"/>
    <xf numFmtId="170" fontId="4" fillId="0" borderId="0" xfId="5" applyNumberFormat="1" applyFont="1" applyBorder="1" applyAlignment="1"/>
    <xf numFmtId="43" fontId="4" fillId="0" borderId="0" xfId="5" applyFont="1" applyBorder="1" applyAlignment="1"/>
    <xf numFmtId="0" fontId="4" fillId="0" borderId="8" xfId="0" applyNumberFormat="1" applyFont="1" applyBorder="1" applyAlignment="1"/>
    <xf numFmtId="0" fontId="4" fillId="0" borderId="1" xfId="0" applyNumberFormat="1" applyFont="1" applyBorder="1" applyAlignment="1"/>
    <xf numFmtId="0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171" fontId="4" fillId="0" borderId="1" xfId="0" applyNumberFormat="1" applyFont="1" applyBorder="1" applyAlignment="1"/>
    <xf numFmtId="0" fontId="4" fillId="0" borderId="8" xfId="0" applyFont="1" applyBorder="1"/>
    <xf numFmtId="171" fontId="4" fillId="0" borderId="0" xfId="0" applyNumberFormat="1" applyFont="1"/>
    <xf numFmtId="0" fontId="4" fillId="0" borderId="0" xfId="0" quotePrefix="1" applyFont="1"/>
    <xf numFmtId="0" fontId="4" fillId="0" borderId="6" xfId="0" applyFont="1" applyBorder="1"/>
    <xf numFmtId="0" fontId="14" fillId="0" borderId="0" xfId="0" applyNumberFormat="1" applyFont="1" applyBorder="1" applyAlignment="1">
      <alignment horizontal="centerContinuous"/>
    </xf>
    <xf numFmtId="0" fontId="15" fillId="0" borderId="0" xfId="0" applyNumberFormat="1" applyFont="1" applyBorder="1" applyAlignment="1"/>
    <xf numFmtId="0" fontId="16" fillId="0" borderId="0" xfId="0" applyNumberFormat="1" applyFont="1" applyBorder="1" applyAlignment="1">
      <alignment horizontal="centerContinuous"/>
    </xf>
    <xf numFmtId="0" fontId="15" fillId="0" borderId="9" xfId="0" applyNumberFormat="1" applyFont="1" applyBorder="1"/>
    <xf numFmtId="0" fontId="17" fillId="0" borderId="0" xfId="0" applyNumberFormat="1" applyFont="1" applyBorder="1" applyAlignment="1">
      <alignment horizontal="centerContinuous"/>
    </xf>
    <xf numFmtId="0" fontId="15" fillId="0" borderId="1" xfId="0" applyFont="1" applyBorder="1"/>
    <xf numFmtId="3" fontId="24" fillId="0" borderId="4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172" fontId="4" fillId="0" borderId="0" xfId="5" applyNumberFormat="1" applyFont="1" applyBorder="1" applyAlignment="1">
      <alignment vertical="center"/>
    </xf>
    <xf numFmtId="43" fontId="4" fillId="0" borderId="0" xfId="5" applyNumberFormat="1" applyFont="1" applyBorder="1" applyAlignment="1">
      <alignment vertical="center"/>
    </xf>
    <xf numFmtId="165" fontId="4" fillId="0" borderId="0" xfId="5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173" fontId="4" fillId="0" borderId="0" xfId="0" applyNumberFormat="1" applyFont="1" applyBorder="1" applyAlignment="1">
      <alignment horizontal="left" vertical="center"/>
    </xf>
    <xf numFmtId="173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horizontal="left" vertical="center"/>
    </xf>
    <xf numFmtId="172" fontId="25" fillId="0" borderId="0" xfId="5" applyNumberFormat="1" applyFont="1" applyBorder="1" applyAlignment="1">
      <alignment vertical="center"/>
    </xf>
    <xf numFmtId="173" fontId="4" fillId="0" borderId="0" xfId="0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172" fontId="8" fillId="0" borderId="0" xfId="5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/>
    </xf>
    <xf numFmtId="172" fontId="4" fillId="0" borderId="0" xfId="5" applyNumberFormat="1" applyFont="1" applyBorder="1" applyAlignment="1"/>
    <xf numFmtId="0" fontId="4" fillId="0" borderId="1" xfId="0" applyNumberFormat="1" applyFont="1" applyBorder="1" applyAlignment="1">
      <alignment horizontal="center"/>
    </xf>
    <xf numFmtId="0" fontId="4" fillId="0" borderId="6" xfId="0" applyNumberFormat="1" applyFont="1" applyBorder="1" applyAlignment="1"/>
    <xf numFmtId="0" fontId="4" fillId="0" borderId="0" xfId="0" applyNumberFormat="1" applyFont="1" applyAlignment="1">
      <alignment horizontal="center"/>
    </xf>
    <xf numFmtId="0" fontId="4" fillId="0" borderId="0" xfId="0" quotePrefix="1" applyNumberFormat="1" applyFont="1" applyBorder="1" applyAlignment="1">
      <alignment horizontal="left" vertical="center"/>
    </xf>
    <xf numFmtId="165" fontId="10" fillId="0" borderId="0" xfId="5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165" fontId="4" fillId="0" borderId="7" xfId="1" applyNumberFormat="1" applyFont="1" applyBorder="1" applyAlignment="1">
      <alignment horizontal="left"/>
    </xf>
    <xf numFmtId="165" fontId="12" fillId="0" borderId="0" xfId="0" applyNumberFormat="1" applyFont="1"/>
    <xf numFmtId="165" fontId="4" fillId="0" borderId="0" xfId="5" applyNumberFormat="1" applyFont="1" applyAlignment="1">
      <alignment horizontal="right"/>
    </xf>
    <xf numFmtId="172" fontId="4" fillId="0" borderId="0" xfId="1" applyNumberFormat="1" applyFont="1"/>
    <xf numFmtId="3" fontId="18" fillId="0" borderId="0" xfId="0" applyNumberFormat="1" applyFont="1" applyAlignment="1">
      <alignment horizontal="left"/>
    </xf>
    <xf numFmtId="3" fontId="4" fillId="0" borderId="8" xfId="0" applyNumberFormat="1" applyFont="1" applyBorder="1" applyAlignment="1"/>
    <xf numFmtId="164" fontId="4" fillId="0" borderId="0" xfId="6" applyNumberFormat="1" applyFont="1" applyBorder="1"/>
    <xf numFmtId="164" fontId="8" fillId="0" borderId="0" xfId="6" applyNumberFormat="1" applyFont="1" applyBorder="1"/>
    <xf numFmtId="167" fontId="4" fillId="0" borderId="0" xfId="0" applyNumberFormat="1" applyFont="1"/>
    <xf numFmtId="164" fontId="8" fillId="0" borderId="1" xfId="6" applyNumberFormat="1" applyFont="1" applyBorder="1"/>
    <xf numFmtId="3" fontId="4" fillId="0" borderId="6" xfId="0" applyNumberFormat="1" applyFont="1" applyBorder="1" applyAlignment="1"/>
    <xf numFmtId="164" fontId="4" fillId="0" borderId="0" xfId="2" applyNumberFormat="1" applyFont="1" applyBorder="1" applyAlignment="1"/>
    <xf numFmtId="3" fontId="10" fillId="0" borderId="0" xfId="0" applyNumberFormat="1" applyFont="1" applyBorder="1" applyAlignment="1">
      <alignment horizontal="center"/>
    </xf>
    <xf numFmtId="167" fontId="4" fillId="0" borderId="0" xfId="3" applyNumberFormat="1" applyFont="1" applyBorder="1" applyAlignment="1"/>
    <xf numFmtId="43" fontId="9" fillId="0" borderId="7" xfId="1" applyFont="1" applyBorder="1" applyAlignment="1">
      <alignment vertical="top"/>
    </xf>
    <xf numFmtId="43" fontId="4" fillId="0" borderId="7" xfId="1" applyFont="1" applyBorder="1" applyAlignment="1">
      <alignment horizontal="left"/>
    </xf>
    <xf numFmtId="43" fontId="8" fillId="0" borderId="7" xfId="1" applyFont="1" applyBorder="1"/>
    <xf numFmtId="0" fontId="6" fillId="0" borderId="7" xfId="0" applyNumberFormat="1" applyFont="1" applyBorder="1" applyAlignment="1">
      <alignment horizontal="centerContinuous"/>
    </xf>
    <xf numFmtId="3" fontId="4" fillId="0" borderId="7" xfId="0" applyNumberFormat="1" applyFont="1" applyBorder="1" applyAlignment="1"/>
    <xf numFmtId="10" fontId="4" fillId="0" borderId="0" xfId="0" applyNumberFormat="1" applyFont="1" applyBorder="1"/>
    <xf numFmtId="43" fontId="8" fillId="0" borderId="5" xfId="1" applyFont="1" applyBorder="1" applyAlignment="1"/>
    <xf numFmtId="0" fontId="15" fillId="0" borderId="3" xfId="0" applyFont="1" applyBorder="1"/>
    <xf numFmtId="0" fontId="15" fillId="0" borderId="2" xfId="0" applyFont="1" applyBorder="1"/>
    <xf numFmtId="0" fontId="15" fillId="0" borderId="4" xfId="0" applyFont="1" applyBorder="1"/>
    <xf numFmtId="0" fontId="15" fillId="0" borderId="7" xfId="0" applyFont="1" applyBorder="1"/>
    <xf numFmtId="0" fontId="15" fillId="0" borderId="5" xfId="0" applyFont="1" applyBorder="1"/>
    <xf numFmtId="43" fontId="4" fillId="0" borderId="7" xfId="5" applyFont="1" applyBorder="1"/>
    <xf numFmtId="165" fontId="16" fillId="0" borderId="0" xfId="1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8" fillId="0" borderId="0" xfId="0" applyFont="1"/>
    <xf numFmtId="165" fontId="8" fillId="0" borderId="0" xfId="0" applyNumberFormat="1" applyFont="1"/>
    <xf numFmtId="165" fontId="10" fillId="0" borderId="0" xfId="5" applyNumberFormat="1" applyFont="1" applyBorder="1" applyAlignment="1">
      <alignment horizontal="center"/>
    </xf>
    <xf numFmtId="165" fontId="6" fillId="0" borderId="7" xfId="5" applyNumberFormat="1" applyFont="1" applyBorder="1" applyAlignment="1">
      <alignment horizontal="center"/>
    </xf>
    <xf numFmtId="165" fontId="6" fillId="0" borderId="0" xfId="5" applyNumberFormat="1" applyFont="1" applyBorder="1" applyAlignment="1">
      <alignment horizontal="center"/>
    </xf>
    <xf numFmtId="165" fontId="6" fillId="0" borderId="8" xfId="5" applyNumberFormat="1" applyFont="1" applyBorder="1" applyAlignment="1">
      <alignment horizontal="center"/>
    </xf>
    <xf numFmtId="9" fontId="4" fillId="0" borderId="0" xfId="7" applyFont="1" applyBorder="1"/>
    <xf numFmtId="165" fontId="12" fillId="0" borderId="0" xfId="5" applyNumberFormat="1" applyFont="1" applyBorder="1"/>
    <xf numFmtId="10" fontId="4" fillId="0" borderId="0" xfId="0" applyNumberFormat="1" applyFont="1" applyAlignment="1">
      <alignment vertical="center"/>
    </xf>
    <xf numFmtId="165" fontId="12" fillId="0" borderId="0" xfId="5" applyNumberFormat="1" applyFont="1" applyAlignment="1">
      <alignment vertical="center"/>
    </xf>
    <xf numFmtId="165" fontId="7" fillId="0" borderId="0" xfId="1" applyNumberFormat="1" applyFont="1" applyBorder="1"/>
    <xf numFmtId="165" fontId="4" fillId="0" borderId="0" xfId="0" applyNumberFormat="1" applyFont="1" applyAlignment="1">
      <alignment horizontal="right"/>
    </xf>
    <xf numFmtId="165" fontId="8" fillId="0" borderId="1" xfId="5" applyNumberFormat="1" applyFont="1" applyBorder="1" applyAlignment="1">
      <alignment vertical="center"/>
    </xf>
    <xf numFmtId="165" fontId="4" fillId="0" borderId="1" xfId="0" applyNumberFormat="1" applyFont="1" applyBorder="1"/>
    <xf numFmtId="0" fontId="4" fillId="0" borderId="0" xfId="0" quotePrefix="1" applyFont="1" applyAlignment="1">
      <alignment horizontal="center"/>
    </xf>
    <xf numFmtId="44" fontId="4" fillId="0" borderId="0" xfId="0" applyNumberFormat="1" applyFont="1"/>
    <xf numFmtId="164" fontId="4" fillId="0" borderId="0" xfId="0" applyNumberFormat="1" applyFont="1"/>
    <xf numFmtId="3" fontId="28" fillId="0" borderId="0" xfId="0" applyNumberFormat="1" applyFont="1"/>
    <xf numFmtId="43" fontId="4" fillId="0" borderId="0" xfId="5" quotePrefix="1" applyFont="1" applyAlignment="1">
      <alignment horizontal="left"/>
    </xf>
    <xf numFmtId="43" fontId="4" fillId="0" borderId="0" xfId="5" applyFont="1" applyAlignment="1">
      <alignment horizontal="left"/>
    </xf>
    <xf numFmtId="43" fontId="8" fillId="0" borderId="0" xfId="5" applyFont="1" applyAlignment="1">
      <alignment horizontal="right"/>
    </xf>
    <xf numFmtId="165" fontId="13" fillId="0" borderId="0" xfId="5" applyNumberFormat="1" applyFont="1"/>
    <xf numFmtId="43" fontId="8" fillId="0" borderId="0" xfId="5" applyFont="1"/>
    <xf numFmtId="176" fontId="4" fillId="0" borderId="0" xfId="0" applyNumberFormat="1" applyFont="1"/>
    <xf numFmtId="0" fontId="7" fillId="0" borderId="0" xfId="0" applyFont="1"/>
    <xf numFmtId="174" fontId="8" fillId="0" borderId="0" xfId="7" applyNumberFormat="1" applyFont="1"/>
    <xf numFmtId="3" fontId="8" fillId="0" borderId="0" xfId="0" applyNumberFormat="1" applyFont="1"/>
    <xf numFmtId="0" fontId="29" fillId="0" borderId="0" xfId="0" applyFont="1" applyAlignment="1">
      <alignment horizontal="center"/>
    </xf>
    <xf numFmtId="165" fontId="11" fillId="0" borderId="0" xfId="5" applyNumberFormat="1" applyFont="1"/>
    <xf numFmtId="0" fontId="27" fillId="0" borderId="0" xfId="0" applyFont="1"/>
    <xf numFmtId="164" fontId="27" fillId="0" borderId="13" xfId="6" applyNumberFormat="1" applyFont="1" applyBorder="1"/>
    <xf numFmtId="43" fontId="12" fillId="0" borderId="0" xfId="5" applyFont="1" applyAlignment="1">
      <alignment horizontal="center"/>
    </xf>
    <xf numFmtId="9" fontId="4" fillId="0" borderId="0" xfId="7" applyFont="1"/>
    <xf numFmtId="10" fontId="4" fillId="0" borderId="1" xfId="0" applyNumberFormat="1" applyFont="1" applyBorder="1"/>
    <xf numFmtId="43" fontId="12" fillId="0" borderId="0" xfId="5" applyFont="1"/>
    <xf numFmtId="43" fontId="4" fillId="0" borderId="0" xfId="5" applyFont="1" applyAlignment="1">
      <alignment horizontal="right"/>
    </xf>
    <xf numFmtId="0" fontId="4" fillId="0" borderId="0" xfId="0" applyFont="1" applyAlignment="1">
      <alignment vertical="center"/>
    </xf>
    <xf numFmtId="43" fontId="12" fillId="0" borderId="0" xfId="0" applyNumberFormat="1" applyFont="1"/>
    <xf numFmtId="0" fontId="8" fillId="0" borderId="0" xfId="0" applyFont="1" applyAlignment="1">
      <alignment vertical="center"/>
    </xf>
    <xf numFmtId="165" fontId="9" fillId="0" borderId="0" xfId="5" applyNumberFormat="1" applyFont="1" applyBorder="1" applyAlignment="1">
      <alignment horizontal="left" vertical="top"/>
    </xf>
    <xf numFmtId="175" fontId="9" fillId="0" borderId="0" xfId="5" applyNumberFormat="1" applyFont="1" applyBorder="1" applyAlignment="1">
      <alignment horizontal="center" vertical="top"/>
    </xf>
    <xf numFmtId="170" fontId="9" fillId="0" borderId="0" xfId="5" applyNumberFormat="1" applyFont="1" applyBorder="1" applyAlignment="1">
      <alignment horizontal="left" vertical="top"/>
    </xf>
    <xf numFmtId="165" fontId="9" fillId="0" borderId="7" xfId="5" applyNumberFormat="1" applyFont="1" applyBorder="1" applyAlignment="1">
      <alignment vertical="top"/>
    </xf>
    <xf numFmtId="165" fontId="8" fillId="0" borderId="7" xfId="5" applyNumberFormat="1" applyFont="1" applyBorder="1" applyAlignment="1">
      <alignment horizontal="left"/>
    </xf>
    <xf numFmtId="165" fontId="32" fillId="0" borderId="0" xfId="5" applyNumberFormat="1" applyFont="1" applyBorder="1" applyAlignment="1">
      <alignment horizontal="left" vertical="top"/>
    </xf>
    <xf numFmtId="165" fontId="21" fillId="0" borderId="0" xfId="5" applyNumberFormat="1" applyFont="1" applyBorder="1" applyAlignment="1">
      <alignment horizontal="left" vertical="top"/>
    </xf>
    <xf numFmtId="164" fontId="9" fillId="0" borderId="0" xfId="6" applyNumberFormat="1" applyFont="1" applyBorder="1" applyAlignment="1">
      <alignment horizontal="left" vertical="top"/>
    </xf>
    <xf numFmtId="164" fontId="33" fillId="0" borderId="0" xfId="6" applyNumberFormat="1" applyFont="1" applyBorder="1" applyAlignment="1">
      <alignment horizontal="left" vertical="top"/>
    </xf>
    <xf numFmtId="165" fontId="9" fillId="0" borderId="5" xfId="5" applyNumberFormat="1" applyFont="1" applyBorder="1" applyAlignment="1">
      <alignment vertical="top"/>
    </xf>
    <xf numFmtId="165" fontId="9" fillId="0" borderId="1" xfId="5" applyNumberFormat="1" applyFont="1" applyBorder="1" applyAlignment="1">
      <alignment horizontal="left" vertical="top"/>
    </xf>
    <xf numFmtId="175" fontId="9" fillId="0" borderId="1" xfId="5" applyNumberFormat="1" applyFont="1" applyBorder="1" applyAlignment="1">
      <alignment horizontal="center" vertical="top"/>
    </xf>
    <xf numFmtId="170" fontId="9" fillId="0" borderId="1" xfId="5" applyNumberFormat="1" applyFont="1" applyBorder="1" applyAlignment="1">
      <alignment horizontal="left" vertical="top"/>
    </xf>
    <xf numFmtId="3" fontId="5" fillId="0" borderId="0" xfId="0" applyNumberFormat="1" applyFont="1" applyAlignment="1">
      <alignment horizontal="center" vertical="center"/>
    </xf>
    <xf numFmtId="165" fontId="8" fillId="0" borderId="7" xfId="5" applyNumberFormat="1" applyFont="1" applyBorder="1" applyAlignment="1">
      <alignment horizontal="left"/>
    </xf>
    <xf numFmtId="165" fontId="13" fillId="0" borderId="7" xfId="5" applyNumberFormat="1" applyFont="1" applyBorder="1" applyAlignment="1">
      <alignment horizontal="center"/>
    </xf>
    <xf numFmtId="165" fontId="13" fillId="0" borderId="0" xfId="5" applyNumberFormat="1" applyFont="1" applyBorder="1" applyAlignment="1">
      <alignment horizontal="center"/>
    </xf>
    <xf numFmtId="165" fontId="16" fillId="0" borderId="8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65" fontId="20" fillId="0" borderId="0" xfId="1" applyNumberFormat="1" applyFont="1"/>
    <xf numFmtId="43" fontId="20" fillId="0" borderId="0" xfId="1" applyFont="1"/>
    <xf numFmtId="43" fontId="35" fillId="0" borderId="0" xfId="1" applyFont="1"/>
    <xf numFmtId="170" fontId="4" fillId="0" borderId="0" xfId="1" applyNumberFormat="1" applyFont="1"/>
    <xf numFmtId="165" fontId="8" fillId="0" borderId="0" xfId="1" applyNumberFormat="1" applyFont="1" applyAlignment="1">
      <alignment horizontal="right"/>
    </xf>
    <xf numFmtId="170" fontId="12" fillId="0" borderId="0" xfId="1" applyNumberFormat="1" applyFont="1"/>
    <xf numFmtId="164" fontId="8" fillId="0" borderId="13" xfId="6" applyNumberFormat="1" applyFont="1" applyBorder="1"/>
    <xf numFmtId="175" fontId="9" fillId="0" borderId="0" xfId="5" quotePrefix="1" applyNumberFormat="1" applyFont="1" applyBorder="1" applyAlignment="1">
      <alignment horizontal="center" vertical="top"/>
    </xf>
    <xf numFmtId="170" fontId="12" fillId="0" borderId="0" xfId="5" applyNumberFormat="1" applyFont="1" applyBorder="1"/>
    <xf numFmtId="170" fontId="13" fillId="0" borderId="0" xfId="5" applyNumberFormat="1" applyFont="1" applyBorder="1" applyAlignment="1">
      <alignment horizontal="centerContinuous"/>
    </xf>
    <xf numFmtId="165" fontId="13" fillId="0" borderId="0" xfId="5" applyNumberFormat="1" applyFont="1" applyBorder="1" applyAlignment="1">
      <alignment horizontal="centerContinuous"/>
    </xf>
    <xf numFmtId="170" fontId="13" fillId="0" borderId="0" xfId="5" applyNumberFormat="1" applyFon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2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37" fillId="0" borderId="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0" borderId="8" xfId="1" applyNumberFormat="1" applyFont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165" fontId="12" fillId="0" borderId="8" xfId="1" applyNumberFormat="1" applyFont="1" applyBorder="1" applyAlignment="1">
      <alignment vertical="center"/>
    </xf>
    <xf numFmtId="37" fontId="4" fillId="0" borderId="8" xfId="0" applyNumberFormat="1" applyFont="1" applyBorder="1" applyAlignment="1">
      <alignment vertical="center"/>
    </xf>
    <xf numFmtId="3" fontId="36" fillId="0" borderId="0" xfId="0" applyNumberFormat="1" applyFont="1" applyBorder="1" applyAlignment="1">
      <alignment horizontal="center"/>
    </xf>
    <xf numFmtId="165" fontId="4" fillId="0" borderId="8" xfId="5" applyNumberFormat="1" applyFont="1" applyBorder="1" applyAlignment="1">
      <alignment vertical="center"/>
    </xf>
    <xf numFmtId="165" fontId="12" fillId="0" borderId="0" xfId="5" applyNumberFormat="1" applyFont="1" applyBorder="1" applyAlignment="1">
      <alignment vertical="center"/>
    </xf>
    <xf numFmtId="3" fontId="38" fillId="0" borderId="0" xfId="0" applyNumberFormat="1" applyFont="1" applyBorder="1" applyAlignment="1">
      <alignment horizontal="center" vertical="center"/>
    </xf>
    <xf numFmtId="164" fontId="4" fillId="0" borderId="8" xfId="6" applyNumberFormat="1" applyFont="1" applyBorder="1"/>
    <xf numFmtId="0" fontId="36" fillId="0" borderId="0" xfId="0" applyFont="1" applyBorder="1" applyAlignment="1">
      <alignment horizontal="center"/>
    </xf>
    <xf numFmtId="9" fontId="4" fillId="0" borderId="8" xfId="7" applyFont="1" applyBorder="1"/>
    <xf numFmtId="165" fontId="7" fillId="0" borderId="8" xfId="1" applyNumberFormat="1" applyFont="1" applyBorder="1"/>
    <xf numFmtId="10" fontId="4" fillId="0" borderId="8" xfId="0" applyNumberFormat="1" applyFont="1" applyBorder="1" applyAlignment="1">
      <alignment vertical="center"/>
    </xf>
    <xf numFmtId="3" fontId="15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15" fillId="0" borderId="6" xfId="0" applyNumberFormat="1" applyFont="1" applyBorder="1"/>
    <xf numFmtId="165" fontId="23" fillId="0" borderId="0" xfId="1" applyNumberFormat="1" applyFont="1" applyBorder="1"/>
    <xf numFmtId="3" fontId="17" fillId="0" borderId="0" xfId="0" applyNumberFormat="1" applyFont="1" applyBorder="1" applyAlignment="1">
      <alignment horizontal="centerContinuous" vertical="center"/>
    </xf>
    <xf numFmtId="3" fontId="15" fillId="0" borderId="0" xfId="0" applyNumberFormat="1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Continuous" vertical="center"/>
    </xf>
    <xf numFmtId="3" fontId="16" fillId="0" borderId="8" xfId="0" applyNumberFormat="1" applyFont="1" applyBorder="1" applyAlignment="1">
      <alignment horizontal="center" vertical="center"/>
    </xf>
    <xf numFmtId="165" fontId="6" fillId="0" borderId="5" xfId="5" applyNumberFormat="1" applyFont="1" applyBorder="1" applyAlignment="1">
      <alignment horizontal="center"/>
    </xf>
    <xf numFmtId="165" fontId="6" fillId="0" borderId="1" xfId="5" applyNumberFormat="1" applyFont="1" applyBorder="1" applyAlignment="1">
      <alignment horizontal="center"/>
    </xf>
    <xf numFmtId="165" fontId="6" fillId="0" borderId="6" xfId="5" applyNumberFormat="1" applyFont="1" applyBorder="1" applyAlignment="1">
      <alignment horizontal="center"/>
    </xf>
    <xf numFmtId="165" fontId="16" fillId="0" borderId="1" xfId="1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/>
    </xf>
    <xf numFmtId="165" fontId="10" fillId="0" borderId="0" xfId="1" applyNumberFormat="1" applyFont="1"/>
    <xf numFmtId="165" fontId="7" fillId="0" borderId="0" xfId="1" applyNumberFormat="1" applyFont="1"/>
    <xf numFmtId="3" fontId="4" fillId="0" borderId="5" xfId="0" applyNumberFormat="1" applyFont="1" applyBorder="1" applyAlignment="1"/>
    <xf numFmtId="3" fontId="4" fillId="0" borderId="1" xfId="0" applyNumberFormat="1" applyFont="1" applyBorder="1" applyAlignment="1"/>
    <xf numFmtId="165" fontId="12" fillId="0" borderId="0" xfId="5" applyNumberFormat="1" applyFont="1" applyAlignment="1">
      <alignment horizontal="center"/>
    </xf>
    <xf numFmtId="165" fontId="4" fillId="0" borderId="0" xfId="5" applyNumberFormat="1" applyFont="1" applyFill="1"/>
    <xf numFmtId="165" fontId="39" fillId="0" borderId="0" xfId="5" applyNumberFormat="1" applyFont="1"/>
    <xf numFmtId="165" fontId="12" fillId="0" borderId="0" xfId="5" applyNumberFormat="1" applyFont="1" applyFill="1"/>
    <xf numFmtId="10" fontId="4" fillId="0" borderId="0" xfId="7" applyNumberFormat="1" applyFont="1" applyFill="1"/>
    <xf numFmtId="165" fontId="0" fillId="0" borderId="0" xfId="0" applyNumberFormat="1"/>
    <xf numFmtId="165" fontId="26" fillId="0" borderId="0" xfId="5" applyNumberFormat="1" applyFont="1"/>
    <xf numFmtId="0" fontId="7" fillId="0" borderId="0" xfId="5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0" fontId="7" fillId="0" borderId="0" xfId="3" applyNumberFormat="1" applyFont="1"/>
    <xf numFmtId="165" fontId="4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5" fontId="11" fillId="0" borderId="0" xfId="1" applyNumberFormat="1" applyFont="1" applyAlignment="1">
      <alignment horizontal="right"/>
    </xf>
    <xf numFmtId="165" fontId="39" fillId="0" borderId="0" xfId="1" applyNumberFormat="1" applyFont="1" applyAlignment="1">
      <alignment horizontal="right"/>
    </xf>
    <xf numFmtId="3" fontId="19" fillId="0" borderId="0" xfId="0" applyNumberFormat="1" applyFont="1"/>
    <xf numFmtId="165" fontId="8" fillId="0" borderId="0" xfId="5" applyNumberFormat="1" applyFont="1" applyBorder="1"/>
    <xf numFmtId="166" fontId="8" fillId="0" borderId="0" xfId="5" applyNumberFormat="1" applyFont="1" applyBorder="1"/>
    <xf numFmtId="166" fontId="4" fillId="0" borderId="0" xfId="5" applyNumberFormat="1" applyFont="1" applyBorder="1"/>
    <xf numFmtId="166" fontId="4" fillId="0" borderId="0" xfId="6" applyNumberFormat="1" applyFont="1" applyBorder="1"/>
    <xf numFmtId="166" fontId="8" fillId="0" borderId="0" xfId="5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166" fontId="8" fillId="0" borderId="0" xfId="6" applyNumberFormat="1" applyFont="1" applyBorder="1" applyAlignment="1">
      <alignment horizontal="center"/>
    </xf>
    <xf numFmtId="166" fontId="10" fillId="0" borderId="0" xfId="6" applyNumberFormat="1" applyFont="1" applyBorder="1" applyAlignment="1">
      <alignment horizontal="right"/>
    </xf>
    <xf numFmtId="165" fontId="40" fillId="0" borderId="0" xfId="5" quotePrefix="1" applyNumberFormat="1" applyFont="1" applyAlignment="1">
      <alignment horizontal="right"/>
    </xf>
    <xf numFmtId="165" fontId="40" fillId="0" borderId="0" xfId="5" applyNumberFormat="1" applyFont="1" applyAlignment="1">
      <alignment horizontal="right"/>
    </xf>
    <xf numFmtId="2" fontId="4" fillId="0" borderId="0" xfId="5" applyNumberFormat="1" applyFont="1" applyBorder="1"/>
    <xf numFmtId="9" fontId="4" fillId="0" borderId="0" xfId="3" quotePrefix="1" applyFont="1"/>
    <xf numFmtId="3" fontId="5" fillId="0" borderId="0" xfId="0" applyNumberFormat="1" applyFont="1" applyAlignment="1">
      <alignment horizontal="center" vertical="center"/>
    </xf>
    <xf numFmtId="43" fontId="12" fillId="0" borderId="0" xfId="1" applyNumberFormat="1" applyFont="1"/>
    <xf numFmtId="165" fontId="4" fillId="0" borderId="0" xfId="0" applyNumberFormat="1" applyFont="1" applyBorder="1"/>
    <xf numFmtId="166" fontId="4" fillId="0" borderId="4" xfId="1" applyNumberFormat="1" applyFont="1" applyBorder="1"/>
    <xf numFmtId="165" fontId="41" fillId="0" borderId="0" xfId="5" applyNumberFormat="1" applyFont="1" applyBorder="1"/>
    <xf numFmtId="165" fontId="40" fillId="0" borderId="0" xfId="5" applyNumberFormat="1" applyFont="1" applyBorder="1"/>
    <xf numFmtId="165" fontId="40" fillId="0" borderId="8" xfId="5" applyNumberFormat="1" applyFont="1" applyBorder="1"/>
    <xf numFmtId="165" fontId="41" fillId="0" borderId="0" xfId="5" applyNumberFormat="1" applyFont="1" applyBorder="1" applyAlignment="1">
      <alignment horizontal="center"/>
    </xf>
    <xf numFmtId="165" fontId="42" fillId="0" borderId="0" xfId="5" applyNumberFormat="1" applyFont="1" applyBorder="1" applyAlignment="1">
      <alignment horizontal="center"/>
    </xf>
    <xf numFmtId="165" fontId="40" fillId="0" borderId="0" xfId="5" quotePrefix="1" applyNumberFormat="1" applyFont="1" applyBorder="1" applyAlignment="1">
      <alignment horizontal="right"/>
    </xf>
    <xf numFmtId="43" fontId="40" fillId="0" borderId="0" xfId="5" applyFont="1" applyBorder="1"/>
    <xf numFmtId="165" fontId="40" fillId="0" borderId="0" xfId="5" applyNumberFormat="1" applyFont="1" applyBorder="1" applyAlignment="1">
      <alignment horizontal="right"/>
    </xf>
    <xf numFmtId="165" fontId="43" fillId="0" borderId="0" xfId="5" applyNumberFormat="1" applyFont="1" applyBorder="1"/>
    <xf numFmtId="43" fontId="4" fillId="0" borderId="1" xfId="1" applyFont="1" applyBorder="1"/>
    <xf numFmtId="43" fontId="4" fillId="0" borderId="3" xfId="5" applyFont="1" applyBorder="1" applyAlignment="1"/>
    <xf numFmtId="43" fontId="4" fillId="0" borderId="2" xfId="5" applyFont="1" applyBorder="1" applyAlignment="1"/>
    <xf numFmtId="43" fontId="4" fillId="0" borderId="4" xfId="5" applyFont="1" applyBorder="1" applyAlignment="1"/>
    <xf numFmtId="43" fontId="4" fillId="0" borderId="5" xfId="5" applyFont="1" applyBorder="1" applyAlignment="1"/>
    <xf numFmtId="43" fontId="4" fillId="0" borderId="1" xfId="5" applyFont="1" applyBorder="1" applyAlignment="1"/>
    <xf numFmtId="43" fontId="4" fillId="0" borderId="6" xfId="5" applyFont="1" applyBorder="1" applyAlignment="1"/>
    <xf numFmtId="43" fontId="4" fillId="0" borderId="8" xfId="5" applyFont="1" applyBorder="1" applyAlignment="1"/>
    <xf numFmtId="43" fontId="4" fillId="0" borderId="7" xfId="5" applyFont="1" applyBorder="1" applyAlignment="1"/>
    <xf numFmtId="43" fontId="7" fillId="0" borderId="0" xfId="5" applyFont="1" applyBorder="1" applyAlignment="1">
      <alignment horizontal="right"/>
    </xf>
    <xf numFmtId="43" fontId="12" fillId="0" borderId="0" xfId="5" applyFont="1" applyBorder="1" applyAlignment="1">
      <alignment horizontal="center"/>
    </xf>
    <xf numFmtId="43" fontId="12" fillId="0" borderId="8" xfId="5" applyFont="1" applyBorder="1" applyAlignment="1">
      <alignment horizontal="center"/>
    </xf>
    <xf numFmtId="43" fontId="4" fillId="0" borderId="0" xfId="5" applyFont="1" applyBorder="1" applyAlignment="1">
      <alignment horizontal="right"/>
    </xf>
    <xf numFmtId="44" fontId="4" fillId="0" borderId="0" xfId="6" applyFont="1" applyBorder="1" applyAlignment="1"/>
    <xf numFmtId="44" fontId="4" fillId="0" borderId="8" xfId="6" applyFont="1" applyBorder="1" applyAlignment="1"/>
    <xf numFmtId="43" fontId="7" fillId="0" borderId="0" xfId="5" applyFont="1" applyBorder="1" applyAlignment="1">
      <alignment horizontal="center"/>
    </xf>
    <xf numFmtId="43" fontId="7" fillId="0" borderId="0" xfId="5" applyFont="1" applyBorder="1" applyAlignment="1">
      <alignment horizontal="left"/>
    </xf>
    <xf numFmtId="43" fontId="4" fillId="0" borderId="7" xfId="5" applyFont="1" applyBorder="1" applyAlignment="1">
      <alignment horizontal="right"/>
    </xf>
    <xf numFmtId="44" fontId="45" fillId="0" borderId="7" xfId="6" applyFont="1" applyBorder="1" applyAlignment="1">
      <alignment horizontal="center"/>
    </xf>
    <xf numFmtId="44" fontId="45" fillId="0" borderId="0" xfId="6" applyFont="1" applyBorder="1" applyAlignment="1">
      <alignment horizontal="center"/>
    </xf>
    <xf numFmtId="43" fontId="4" fillId="0" borderId="0" xfId="5" applyFont="1" applyBorder="1" applyAlignment="1">
      <alignment horizontal="right" vertical="center"/>
    </xf>
    <xf numFmtId="44" fontId="4" fillId="0" borderId="0" xfId="6" applyFont="1" applyBorder="1" applyAlignment="1">
      <alignment vertical="center"/>
    </xf>
    <xf numFmtId="43" fontId="10" fillId="0" borderId="7" xfId="5" applyFont="1" applyBorder="1" applyAlignment="1">
      <alignment horizontal="center"/>
    </xf>
    <xf numFmtId="43" fontId="10" fillId="0" borderId="0" xfId="5" applyFont="1" applyBorder="1" applyAlignment="1">
      <alignment horizontal="center"/>
    </xf>
    <xf numFmtId="43" fontId="10" fillId="0" borderId="8" xfId="5" applyFont="1" applyBorder="1" applyAlignment="1">
      <alignment horizontal="center"/>
    </xf>
    <xf numFmtId="43" fontId="10" fillId="0" borderId="7" xfId="5" applyFont="1" applyBorder="1" applyAlignment="1">
      <alignment horizontal="left"/>
    </xf>
    <xf numFmtId="43" fontId="10" fillId="0" borderId="0" xfId="5" applyFont="1" applyBorder="1" applyAlignment="1">
      <alignment horizontal="left"/>
    </xf>
    <xf numFmtId="43" fontId="10" fillId="0" borderId="8" xfId="5" applyFont="1" applyBorder="1" applyAlignment="1">
      <alignment horizontal="left"/>
    </xf>
    <xf numFmtId="43" fontId="4" fillId="0" borderId="0" xfId="1" applyFont="1" applyBorder="1" applyAlignment="1"/>
    <xf numFmtId="44" fontId="4" fillId="0" borderId="8" xfId="6" applyFont="1" applyBorder="1" applyAlignment="1">
      <alignment vertical="center"/>
    </xf>
    <xf numFmtId="43" fontId="12" fillId="0" borderId="7" xfId="5" applyFont="1" applyBorder="1" applyAlignment="1">
      <alignment horizontal="center"/>
    </xf>
    <xf numFmtId="44" fontId="4" fillId="0" borderId="7" xfId="6" applyFont="1" applyBorder="1" applyAlignment="1"/>
    <xf numFmtId="44" fontId="4" fillId="0" borderId="7" xfId="6" applyFont="1" applyBorder="1" applyAlignment="1">
      <alignment vertical="center"/>
    </xf>
    <xf numFmtId="43" fontId="34" fillId="0" borderId="8" xfId="1" applyFont="1" applyBorder="1" applyAlignment="1">
      <alignment horizontal="center"/>
    </xf>
    <xf numFmtId="43" fontId="7" fillId="0" borderId="7" xfId="5" applyFont="1" applyBorder="1" applyAlignment="1">
      <alignment horizontal="center"/>
    </xf>
    <xf numFmtId="43" fontId="13" fillId="0" borderId="0" xfId="1" applyFont="1" applyAlignment="1">
      <alignment horizontal="center"/>
    </xf>
    <xf numFmtId="165" fontId="4" fillId="0" borderId="0" xfId="1" applyNumberFormat="1" applyFont="1" applyAlignment="1"/>
    <xf numFmtId="165" fontId="12" fillId="0" borderId="0" xfId="1" applyNumberFormat="1" applyFont="1" applyAlignment="1"/>
    <xf numFmtId="43" fontId="15" fillId="0" borderId="0" xfId="1" applyFont="1"/>
    <xf numFmtId="165" fontId="4" fillId="0" borderId="0" xfId="1" quotePrefix="1" applyNumberFormat="1" applyFont="1" applyAlignment="1">
      <alignment horizontal="center"/>
    </xf>
    <xf numFmtId="10" fontId="4" fillId="0" borderId="0" xfId="3" applyNumberFormat="1" applyFont="1" applyAlignment="1"/>
    <xf numFmtId="0" fontId="4" fillId="0" borderId="0" xfId="0" applyFont="1" applyFill="1"/>
    <xf numFmtId="165" fontId="4" fillId="0" borderId="0" xfId="1" applyNumberFormat="1" applyFont="1" applyFill="1"/>
    <xf numFmtId="43" fontId="4" fillId="0" borderId="0" xfId="0" applyNumberFormat="1" applyFont="1" applyFill="1"/>
    <xf numFmtId="165" fontId="5" fillId="0" borderId="8" xfId="5" applyNumberFormat="1" applyFont="1" applyBorder="1" applyAlignment="1"/>
    <xf numFmtId="2" fontId="4" fillId="0" borderId="0" xfId="1" applyNumberFormat="1" applyFont="1" applyBorder="1"/>
    <xf numFmtId="165" fontId="41" fillId="0" borderId="0" xfId="5" applyNumberFormat="1" applyFont="1" applyBorder="1" applyAlignment="1">
      <alignment horizontal="right"/>
    </xf>
    <xf numFmtId="43" fontId="13" fillId="0" borderId="0" xfId="1" applyFont="1" applyAlignment="1">
      <alignment horizontal="center"/>
    </xf>
    <xf numFmtId="165" fontId="6" fillId="0" borderId="7" xfId="5" applyNumberFormat="1" applyFont="1" applyBorder="1" applyAlignment="1">
      <alignment horizontal="center"/>
    </xf>
    <xf numFmtId="165" fontId="6" fillId="0" borderId="8" xfId="5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16" fillId="0" borderId="8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65" fontId="16" fillId="0" borderId="6" xfId="1" applyNumberFormat="1" applyFont="1" applyBorder="1" applyAlignment="1">
      <alignment horizontal="center" vertical="center"/>
    </xf>
    <xf numFmtId="43" fontId="4" fillId="0" borderId="2" xfId="1" applyFont="1" applyBorder="1"/>
    <xf numFmtId="43" fontId="4" fillId="0" borderId="4" xfId="1" applyFont="1" applyBorder="1"/>
    <xf numFmtId="165" fontId="8" fillId="2" borderId="0" xfId="5" applyNumberFormat="1" applyFont="1" applyFill="1" applyBorder="1"/>
    <xf numFmtId="165" fontId="8" fillId="2" borderId="0" xfId="1" applyNumberFormat="1" applyFont="1" applyFill="1" applyBorder="1"/>
    <xf numFmtId="166" fontId="8" fillId="2" borderId="0" xfId="1" applyNumberFormat="1" applyFont="1" applyFill="1" applyBorder="1"/>
    <xf numFmtId="166" fontId="8" fillId="2" borderId="0" xfId="5" applyNumberFormat="1" applyFont="1" applyFill="1" applyBorder="1" applyAlignment="1">
      <alignment horizontal="center"/>
    </xf>
    <xf numFmtId="165" fontId="13" fillId="2" borderId="0" xfId="5" applyNumberFormat="1" applyFont="1" applyFill="1" applyBorder="1" applyAlignment="1">
      <alignment horizontal="center"/>
    </xf>
    <xf numFmtId="166" fontId="4" fillId="2" borderId="0" xfId="5" applyNumberFormat="1" applyFont="1" applyFill="1" applyBorder="1"/>
    <xf numFmtId="2" fontId="4" fillId="2" borderId="0" xfId="1" applyNumberFormat="1" applyFont="1" applyFill="1" applyBorder="1"/>
    <xf numFmtId="43" fontId="34" fillId="0" borderId="0" xfId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3" fontId="12" fillId="0" borderId="0" xfId="1" applyFont="1" applyAlignment="1">
      <alignment horizontal="center"/>
    </xf>
    <xf numFmtId="165" fontId="5" fillId="0" borderId="7" xfId="5" applyNumberFormat="1" applyFont="1" applyBorder="1" applyAlignment="1">
      <alignment horizontal="center"/>
    </xf>
    <xf numFmtId="165" fontId="5" fillId="0" borderId="0" xfId="5" applyNumberFormat="1" applyFont="1" applyBorder="1" applyAlignment="1">
      <alignment horizontal="center"/>
    </xf>
    <xf numFmtId="165" fontId="5" fillId="0" borderId="8" xfId="5" applyNumberFormat="1" applyFont="1" applyBorder="1" applyAlignment="1">
      <alignment horizontal="center"/>
    </xf>
    <xf numFmtId="165" fontId="6" fillId="0" borderId="7" xfId="5" applyNumberFormat="1" applyFont="1" applyBorder="1" applyAlignment="1">
      <alignment horizontal="center"/>
    </xf>
    <xf numFmtId="165" fontId="6" fillId="0" borderId="0" xfId="5" applyNumberFormat="1" applyFont="1" applyBorder="1" applyAlignment="1">
      <alignment horizontal="center"/>
    </xf>
    <xf numFmtId="165" fontId="6" fillId="0" borderId="8" xfId="5" applyNumberFormat="1" applyFont="1" applyBorder="1" applyAlignment="1">
      <alignment horizontal="center"/>
    </xf>
    <xf numFmtId="165" fontId="13" fillId="0" borderId="7" xfId="5" applyNumberFormat="1" applyFont="1" applyBorder="1" applyAlignment="1">
      <alignment horizontal="center"/>
    </xf>
    <xf numFmtId="165" fontId="13" fillId="0" borderId="0" xfId="5" applyNumberFormat="1" applyFont="1" applyBorder="1" applyAlignment="1">
      <alignment horizontal="center"/>
    </xf>
    <xf numFmtId="165" fontId="8" fillId="0" borderId="7" xfId="5" applyNumberFormat="1" applyFont="1" applyBorder="1" applyAlignment="1">
      <alignment horizontal="left"/>
    </xf>
    <xf numFmtId="165" fontId="8" fillId="0" borderId="0" xfId="5" applyNumberFormat="1" applyFont="1" applyBorder="1" applyAlignment="1">
      <alignment horizontal="left"/>
    </xf>
    <xf numFmtId="3" fontId="16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24" fillId="0" borderId="2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165" fontId="34" fillId="0" borderId="0" xfId="5" applyNumberFormat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65" fontId="13" fillId="0" borderId="0" xfId="5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165" fontId="34" fillId="0" borderId="0" xfId="5" applyNumberFormat="1" applyFont="1" applyBorder="1" applyAlignment="1">
      <alignment horizontal="center" vertical="center"/>
    </xf>
    <xf numFmtId="165" fontId="13" fillId="0" borderId="0" xfId="5" applyNumberFormat="1" applyFont="1" applyBorder="1" applyAlignment="1">
      <alignment vertical="center"/>
    </xf>
    <xf numFmtId="43" fontId="10" fillId="0" borderId="0" xfId="5" applyFont="1" applyBorder="1" applyAlignment="1">
      <alignment horizontal="center"/>
    </xf>
    <xf numFmtId="43" fontId="13" fillId="0" borderId="0" xfId="1" applyFont="1" applyAlignment="1">
      <alignment horizontal="center"/>
    </xf>
    <xf numFmtId="3" fontId="44" fillId="0" borderId="7" xfId="0" applyNumberFormat="1" applyFont="1" applyBorder="1" applyAlignment="1">
      <alignment horizontal="center"/>
    </xf>
    <xf numFmtId="3" fontId="44" fillId="0" borderId="0" xfId="0" applyNumberFormat="1" applyFont="1" applyBorder="1" applyAlignment="1">
      <alignment horizontal="center"/>
    </xf>
    <xf numFmtId="3" fontId="44" fillId="0" borderId="8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44" fontId="45" fillId="0" borderId="7" xfId="6" applyFont="1" applyBorder="1" applyAlignment="1">
      <alignment horizontal="center"/>
    </xf>
    <xf numFmtId="44" fontId="45" fillId="0" borderId="0" xfId="6" applyFont="1" applyBorder="1" applyAlignment="1">
      <alignment horizontal="center"/>
    </xf>
    <xf numFmtId="43" fontId="34" fillId="0" borderId="7" xfId="1" applyFont="1" applyBorder="1" applyAlignment="1">
      <alignment horizontal="center"/>
    </xf>
    <xf numFmtId="43" fontId="34" fillId="0" borderId="0" xfId="1" applyFont="1" applyBorder="1" applyAlignment="1">
      <alignment horizontal="center"/>
    </xf>
    <xf numFmtId="43" fontId="34" fillId="0" borderId="8" xfId="1" applyFont="1" applyBorder="1" applyAlignment="1">
      <alignment horizontal="center"/>
    </xf>
    <xf numFmtId="43" fontId="23" fillId="0" borderId="7" xfId="5" applyFont="1" applyBorder="1" applyAlignment="1">
      <alignment horizontal="center"/>
    </xf>
    <xf numFmtId="43" fontId="23" fillId="0" borderId="0" xfId="5" applyFont="1" applyBorder="1" applyAlignment="1">
      <alignment horizontal="center"/>
    </xf>
    <xf numFmtId="43" fontId="23" fillId="0" borderId="8" xfId="5" applyFont="1" applyBorder="1" applyAlignment="1">
      <alignment horizontal="center"/>
    </xf>
    <xf numFmtId="174" fontId="4" fillId="0" borderId="0" xfId="3" applyNumberFormat="1" applyFont="1"/>
  </cellXfs>
  <cellStyles count="8">
    <cellStyle name="Comma" xfId="1" builtinId="3"/>
    <cellStyle name="Comma 2" xfId="5" xr:uid="{00000000-0005-0000-0000-000001000000}"/>
    <cellStyle name="Currency" xfId="2" builtinId="4"/>
    <cellStyle name="Currency 2" xfId="6" xr:uid="{00000000-0005-0000-0000-000003000000}"/>
    <cellStyle name="Normal" xfId="0" builtinId="0"/>
    <cellStyle name="Normal 2" xfId="4" xr:uid="{00000000-0005-0000-0000-000005000000}"/>
    <cellStyle name="Percent" xfId="3" builtinId="5"/>
    <cellStyle name="Percent 2" xfId="7" xr:uid="{00000000-0005-0000-0000-000007000000}"/>
  </cellStyles>
  <dxfs count="0"/>
  <tableStyles count="0" defaultTableStyle="TableStyleMedium9" defaultPivotStyle="PivotStyleLight16"/>
  <colors>
    <mruColors>
      <color rgb="FFFFFFCC"/>
      <color rgb="FFA0F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73"/>
  <sheetViews>
    <sheetView tabSelected="1" zoomScaleNormal="100" workbookViewId="0"/>
    <sheetView workbookViewId="1"/>
  </sheetViews>
  <sheetFormatPr defaultColWidth="8.77734375" defaultRowHeight="15.75" x14ac:dyDescent="0.25"/>
  <cols>
    <col min="1" max="1" width="8.77734375" style="52"/>
    <col min="2" max="2" width="1" style="52" customWidth="1"/>
    <col min="3" max="3" width="3.6640625" style="52" customWidth="1"/>
    <col min="4" max="4" width="1.33203125" style="52" customWidth="1"/>
    <col min="5" max="5" width="29.44140625" style="52" customWidth="1"/>
    <col min="6" max="6" width="10.5546875" style="52" customWidth="1"/>
    <col min="7" max="7" width="10.44140625" style="52" customWidth="1"/>
    <col min="8" max="8" width="4.77734375" style="309" customWidth="1"/>
    <col min="9" max="9" width="10.6640625" style="52" customWidth="1"/>
    <col min="10" max="10" width="0.88671875" style="52" customWidth="1"/>
    <col min="11" max="11" width="9.6640625" style="52" customWidth="1"/>
    <col min="12" max="12" width="5.77734375" style="52" customWidth="1"/>
    <col min="13" max="14" width="11.33203125" style="52" customWidth="1"/>
    <col min="15" max="15" width="10.88671875" style="52" customWidth="1"/>
    <col min="16" max="16384" width="8.77734375" style="52"/>
  </cols>
  <sheetData>
    <row r="2" spans="2:15" ht="9.9499999999999993" customHeight="1" x14ac:dyDescent="0.25">
      <c r="B2" s="226"/>
      <c r="C2" s="227"/>
      <c r="D2" s="227"/>
      <c r="E2" s="227"/>
      <c r="F2" s="227"/>
      <c r="G2" s="227"/>
      <c r="H2" s="310"/>
      <c r="I2" s="227"/>
      <c r="J2" s="228"/>
    </row>
    <row r="3" spans="2:15" ht="18.75" x14ac:dyDescent="0.25">
      <c r="B3" s="229"/>
      <c r="C3" s="464" t="s">
        <v>119</v>
      </c>
      <c r="D3" s="464"/>
      <c r="E3" s="464"/>
      <c r="F3" s="464"/>
      <c r="G3" s="464"/>
      <c r="H3" s="464"/>
      <c r="I3" s="464"/>
      <c r="J3" s="343"/>
      <c r="K3" s="63"/>
      <c r="L3" s="63"/>
      <c r="M3" s="63"/>
      <c r="N3" s="63"/>
    </row>
    <row r="4" spans="2:15" ht="18.75" x14ac:dyDescent="0.25">
      <c r="B4" s="229"/>
      <c r="C4" s="464" t="s">
        <v>242</v>
      </c>
      <c r="D4" s="464"/>
      <c r="E4" s="464"/>
      <c r="F4" s="464"/>
      <c r="G4" s="464"/>
      <c r="H4" s="464"/>
      <c r="I4" s="464"/>
      <c r="J4" s="343"/>
      <c r="K4" s="63"/>
      <c r="L4" s="63"/>
      <c r="M4" s="63"/>
      <c r="N4" s="63"/>
    </row>
    <row r="5" spans="2:15" ht="9.9499999999999993" customHeight="1" x14ac:dyDescent="0.25">
      <c r="B5" s="230"/>
      <c r="C5" s="311"/>
      <c r="D5" s="311"/>
      <c r="E5" s="311"/>
      <c r="F5" s="311"/>
      <c r="G5" s="311"/>
      <c r="H5" s="311"/>
      <c r="I5" s="311"/>
      <c r="J5" s="312"/>
      <c r="K5" s="63"/>
      <c r="L5" s="63"/>
      <c r="M5" s="63"/>
      <c r="N5" s="63"/>
    </row>
    <row r="6" spans="2:15" ht="8.1" customHeight="1" x14ac:dyDescent="0.3">
      <c r="B6" s="229"/>
      <c r="C6" s="338"/>
      <c r="D6" s="339"/>
      <c r="E6" s="340"/>
      <c r="F6" s="340"/>
      <c r="G6" s="340"/>
      <c r="H6" s="316"/>
      <c r="I6" s="340"/>
      <c r="J6" s="344"/>
      <c r="K6" s="63"/>
      <c r="L6" s="63"/>
      <c r="M6" s="63"/>
      <c r="N6" s="63"/>
    </row>
    <row r="7" spans="2:15" x14ac:dyDescent="0.25">
      <c r="B7" s="229"/>
      <c r="C7" s="163"/>
      <c r="D7" s="163"/>
      <c r="E7" s="163"/>
      <c r="F7" s="313" t="s">
        <v>120</v>
      </c>
      <c r="G7" s="313" t="s">
        <v>121</v>
      </c>
      <c r="H7" s="314" t="s">
        <v>122</v>
      </c>
      <c r="I7" s="313" t="s">
        <v>123</v>
      </c>
      <c r="J7" s="315"/>
      <c r="K7" s="58"/>
      <c r="L7" s="58"/>
      <c r="M7" s="58"/>
      <c r="N7" s="58"/>
    </row>
    <row r="8" spans="2:15" x14ac:dyDescent="0.25">
      <c r="B8" s="229"/>
      <c r="C8" s="341" t="s">
        <v>19</v>
      </c>
      <c r="D8" s="163"/>
      <c r="E8" s="163"/>
      <c r="F8" s="163"/>
      <c r="G8" s="163"/>
      <c r="H8" s="316"/>
      <c r="I8" s="163"/>
      <c r="J8" s="317"/>
      <c r="K8" s="58"/>
      <c r="L8" s="58"/>
      <c r="M8" s="58"/>
      <c r="N8" s="58"/>
    </row>
    <row r="9" spans="2:15" x14ac:dyDescent="0.25">
      <c r="B9" s="229"/>
      <c r="C9" s="163"/>
      <c r="D9" s="163" t="s">
        <v>145</v>
      </c>
      <c r="E9" s="163"/>
      <c r="F9" s="318">
        <f>5207678+142079</f>
        <v>5349757</v>
      </c>
      <c r="G9" s="318">
        <f>I9-F9</f>
        <v>233619.04640000034</v>
      </c>
      <c r="H9" s="316" t="s">
        <v>204</v>
      </c>
      <c r="I9" s="318">
        <f>ExBA!F10</f>
        <v>5583376.0464000003</v>
      </c>
      <c r="J9" s="319"/>
      <c r="K9" s="66" t="s">
        <v>488</v>
      </c>
      <c r="L9" s="58"/>
      <c r="M9" s="506">
        <f>G9/F9</f>
        <v>4.3669094951415612E-2</v>
      </c>
      <c r="N9" s="58"/>
    </row>
    <row r="10" spans="2:15" x14ac:dyDescent="0.25">
      <c r="B10" s="229"/>
      <c r="C10" s="163"/>
      <c r="D10" s="163" t="s">
        <v>212</v>
      </c>
      <c r="E10" s="163"/>
      <c r="F10" s="320">
        <v>36868</v>
      </c>
      <c r="G10" s="320">
        <f>I10-F10</f>
        <v>284</v>
      </c>
      <c r="H10" s="316" t="s">
        <v>204</v>
      </c>
      <c r="I10" s="320">
        <f>ExBA!F12</f>
        <v>37152</v>
      </c>
      <c r="J10" s="321"/>
      <c r="K10" s="66"/>
      <c r="L10" s="58"/>
      <c r="M10" s="58"/>
      <c r="N10" s="58"/>
    </row>
    <row r="11" spans="2:15" x14ac:dyDescent="0.25">
      <c r="B11" s="229"/>
      <c r="C11" s="163"/>
      <c r="D11" s="163" t="s">
        <v>20</v>
      </c>
      <c r="E11" s="163"/>
      <c r="F11" s="320">
        <v>381175</v>
      </c>
      <c r="G11" s="322">
        <f>I11-F11</f>
        <v>27791.270000000019</v>
      </c>
      <c r="H11" s="316" t="s">
        <v>204</v>
      </c>
      <c r="I11" s="320">
        <f>ExBA!F14</f>
        <v>408966.27</v>
      </c>
      <c r="J11" s="321"/>
      <c r="K11" s="66" t="s">
        <v>244</v>
      </c>
      <c r="L11" s="58"/>
      <c r="M11" s="58">
        <f>SUM(F9:F11)</f>
        <v>5767800</v>
      </c>
      <c r="N11" s="58"/>
      <c r="O11" s="434"/>
    </row>
    <row r="12" spans="2:15" x14ac:dyDescent="0.25">
      <c r="B12" s="229"/>
      <c r="C12" s="163"/>
      <c r="D12" s="163" t="s">
        <v>21</v>
      </c>
      <c r="E12" s="163"/>
      <c r="F12" s="320"/>
      <c r="G12" s="322"/>
      <c r="H12" s="316"/>
      <c r="I12" s="320"/>
      <c r="J12" s="321"/>
      <c r="K12" s="58"/>
      <c r="L12" s="58"/>
      <c r="M12" s="58"/>
      <c r="N12" s="58"/>
    </row>
    <row r="13" spans="2:15" x14ac:dyDescent="0.25">
      <c r="B13" s="229"/>
      <c r="C13" s="163"/>
      <c r="D13" s="163"/>
      <c r="E13" s="163" t="s">
        <v>144</v>
      </c>
      <c r="F13" s="320"/>
      <c r="G13" s="322">
        <f>Adj!V26</f>
        <v>62355.752294822247</v>
      </c>
      <c r="H13" s="316" t="s">
        <v>364</v>
      </c>
      <c r="I13" s="320">
        <f t="shared" ref="I13:I15" si="0">F13+G13</f>
        <v>62355.752294822247</v>
      </c>
      <c r="J13" s="321"/>
      <c r="K13" s="66" t="s">
        <v>489</v>
      </c>
      <c r="L13" s="58"/>
      <c r="M13" s="58"/>
      <c r="N13" s="58"/>
    </row>
    <row r="14" spans="2:15" x14ac:dyDescent="0.25">
      <c r="B14" s="229"/>
      <c r="C14" s="163"/>
      <c r="D14" s="163"/>
      <c r="E14" s="163" t="s">
        <v>22</v>
      </c>
      <c r="F14" s="320">
        <v>31017</v>
      </c>
      <c r="G14" s="322"/>
      <c r="H14" s="316"/>
      <c r="I14" s="320">
        <f t="shared" si="0"/>
        <v>31017</v>
      </c>
      <c r="J14" s="321"/>
      <c r="K14" s="66"/>
      <c r="L14" s="58"/>
      <c r="M14" s="58"/>
      <c r="N14" s="58"/>
    </row>
    <row r="15" spans="2:15" ht="17.25" x14ac:dyDescent="0.25">
      <c r="B15" s="229"/>
      <c r="C15" s="163"/>
      <c r="D15" s="163"/>
      <c r="E15" s="163" t="s">
        <v>213</v>
      </c>
      <c r="F15" s="323">
        <v>142327</v>
      </c>
      <c r="G15" s="322">
        <f>Adj!V34</f>
        <v>467.20799999999997</v>
      </c>
      <c r="H15" s="316" t="s">
        <v>365</v>
      </c>
      <c r="I15" s="323">
        <f t="shared" si="0"/>
        <v>142794.20800000001</v>
      </c>
      <c r="J15" s="324"/>
      <c r="K15" s="66" t="s">
        <v>436</v>
      </c>
      <c r="L15" s="58"/>
      <c r="M15" s="58"/>
      <c r="N15" s="58"/>
    </row>
    <row r="16" spans="2:15" x14ac:dyDescent="0.25">
      <c r="B16" s="229"/>
      <c r="C16" s="342" t="s">
        <v>23</v>
      </c>
      <c r="D16" s="163"/>
      <c r="E16" s="163"/>
      <c r="F16" s="318">
        <f>SUM(F9:F15)</f>
        <v>5941144</v>
      </c>
      <c r="G16" s="318"/>
      <c r="H16" s="316"/>
      <c r="I16" s="318">
        <f>SUM(I9:I15)</f>
        <v>6265661.2766948231</v>
      </c>
      <c r="J16" s="319"/>
      <c r="K16" s="58"/>
      <c r="M16" s="58"/>
      <c r="N16" s="58"/>
    </row>
    <row r="17" spans="2:14" x14ac:dyDescent="0.25">
      <c r="B17" s="229"/>
      <c r="C17" s="163"/>
      <c r="D17" s="163"/>
      <c r="E17" s="163"/>
      <c r="F17" s="322"/>
      <c r="G17" s="163"/>
      <c r="H17" s="316"/>
      <c r="I17" s="322"/>
      <c r="J17" s="325"/>
      <c r="K17" s="58"/>
      <c r="L17" s="58"/>
      <c r="M17" s="58"/>
      <c r="N17" s="58"/>
    </row>
    <row r="18" spans="2:14" x14ac:dyDescent="0.25">
      <c r="B18" s="229"/>
      <c r="C18" s="341" t="s">
        <v>24</v>
      </c>
      <c r="D18" s="163"/>
      <c r="E18" s="163"/>
      <c r="F18" s="322"/>
      <c r="G18" s="163"/>
      <c r="H18" s="316"/>
      <c r="I18" s="322"/>
      <c r="J18" s="325"/>
      <c r="K18" s="58"/>
      <c r="L18" s="58"/>
      <c r="M18" s="58"/>
      <c r="N18" s="58"/>
    </row>
    <row r="19" spans="2:14" x14ac:dyDescent="0.25">
      <c r="B19" s="229"/>
      <c r="C19" s="163"/>
      <c r="D19" s="163" t="s">
        <v>124</v>
      </c>
      <c r="E19" s="163"/>
      <c r="F19" s="320"/>
      <c r="G19" s="163"/>
      <c r="H19" s="316"/>
      <c r="I19" s="322"/>
      <c r="J19" s="325"/>
      <c r="K19" s="58"/>
      <c r="L19" s="58"/>
      <c r="M19" s="58"/>
      <c r="N19" s="58"/>
    </row>
    <row r="20" spans="2:14" x14ac:dyDescent="0.25">
      <c r="B20" s="229"/>
      <c r="C20" s="163"/>
      <c r="D20" s="163"/>
      <c r="E20" s="163" t="s">
        <v>2</v>
      </c>
      <c r="F20" s="320">
        <v>749184</v>
      </c>
      <c r="G20" s="183">
        <f>Adj!Q27</f>
        <v>90670.614174999995</v>
      </c>
      <c r="H20" s="326" t="s">
        <v>366</v>
      </c>
      <c r="I20" s="183">
        <f>F20+G20</f>
        <v>839854.614175</v>
      </c>
      <c r="J20" s="327"/>
      <c r="K20" s="66" t="s">
        <v>207</v>
      </c>
      <c r="L20" s="58"/>
      <c r="M20" s="58"/>
      <c r="N20" s="58"/>
    </row>
    <row r="21" spans="2:14" x14ac:dyDescent="0.25">
      <c r="B21" s="229"/>
      <c r="C21" s="163"/>
      <c r="D21" s="163"/>
      <c r="E21" s="163" t="s">
        <v>3</v>
      </c>
      <c r="F21" s="320">
        <v>18000</v>
      </c>
      <c r="G21" s="183"/>
      <c r="H21" s="316"/>
      <c r="I21" s="183">
        <f t="shared" ref="I21" si="1">F21+G21</f>
        <v>18000</v>
      </c>
      <c r="J21" s="327"/>
      <c r="K21" s="66"/>
      <c r="L21" s="65"/>
      <c r="M21" s="65"/>
      <c r="N21" s="65"/>
    </row>
    <row r="22" spans="2:14" x14ac:dyDescent="0.25">
      <c r="B22" s="229"/>
      <c r="C22" s="163"/>
      <c r="D22" s="163"/>
      <c r="E22" s="163" t="s">
        <v>4</v>
      </c>
      <c r="F22" s="320">
        <v>362229</v>
      </c>
      <c r="G22" s="183">
        <f>Adj!Q39</f>
        <v>12419.12575772249</v>
      </c>
      <c r="H22" s="326" t="s">
        <v>366</v>
      </c>
      <c r="I22" s="183"/>
      <c r="J22" s="327"/>
      <c r="K22" s="66" t="s">
        <v>303</v>
      </c>
      <c r="L22" s="58"/>
      <c r="M22" s="58"/>
      <c r="N22" s="58"/>
    </row>
    <row r="23" spans="2:14" x14ac:dyDescent="0.25">
      <c r="B23" s="229"/>
      <c r="C23" s="163"/>
      <c r="D23" s="163"/>
      <c r="E23" s="163"/>
      <c r="F23" s="320"/>
      <c r="G23" s="183">
        <f>Adj!F33</f>
        <v>-69474.097199999989</v>
      </c>
      <c r="H23" s="316" t="s">
        <v>367</v>
      </c>
      <c r="I23" s="183">
        <f>SUM(F22:G23)</f>
        <v>305174.02855772246</v>
      </c>
      <c r="J23" s="327"/>
      <c r="K23" s="66" t="s">
        <v>208</v>
      </c>
      <c r="L23" s="58"/>
      <c r="M23" s="58"/>
      <c r="N23" s="58"/>
    </row>
    <row r="24" spans="2:14" x14ac:dyDescent="0.25">
      <c r="B24" s="229"/>
      <c r="C24" s="163"/>
      <c r="D24" s="163"/>
      <c r="E24" s="163" t="s">
        <v>214</v>
      </c>
      <c r="F24" s="320">
        <v>3149551</v>
      </c>
      <c r="G24" s="183">
        <f>Adj!E45</f>
        <v>180548.16000000015</v>
      </c>
      <c r="H24" s="316" t="s">
        <v>368</v>
      </c>
      <c r="I24" s="320">
        <f t="shared" ref="I24:I33" si="2">F24+G24</f>
        <v>3330099.16</v>
      </c>
      <c r="J24" s="321"/>
      <c r="K24" s="66" t="s">
        <v>487</v>
      </c>
      <c r="L24" s="58"/>
      <c r="M24" s="58"/>
      <c r="N24" s="58"/>
    </row>
    <row r="25" spans="2:14" x14ac:dyDescent="0.25">
      <c r="B25" s="229"/>
      <c r="C25" s="163"/>
      <c r="D25" s="163"/>
      <c r="E25" s="163" t="s">
        <v>5</v>
      </c>
      <c r="F25" s="320">
        <v>113592</v>
      </c>
      <c r="G25" s="183"/>
      <c r="H25" s="316"/>
      <c r="I25" s="320">
        <f t="shared" si="2"/>
        <v>113592</v>
      </c>
      <c r="J25" s="321"/>
      <c r="K25" s="209"/>
      <c r="L25" s="58"/>
      <c r="M25" s="58"/>
      <c r="N25" s="58"/>
    </row>
    <row r="26" spans="2:14" x14ac:dyDescent="0.25">
      <c r="B26" s="229"/>
      <c r="C26" s="163"/>
      <c r="D26" s="163"/>
      <c r="E26" s="163" t="s">
        <v>6</v>
      </c>
      <c r="F26" s="320">
        <v>312837</v>
      </c>
      <c r="G26" s="183">
        <f>Adj!W16+Adj!Y16</f>
        <v>2745.3564000000001</v>
      </c>
      <c r="H26" s="326" t="s">
        <v>369</v>
      </c>
      <c r="I26" s="320">
        <f t="shared" si="2"/>
        <v>315582.35639999999</v>
      </c>
      <c r="J26" s="321"/>
      <c r="K26" s="66" t="s">
        <v>459</v>
      </c>
      <c r="L26" s="58"/>
      <c r="M26" s="58"/>
      <c r="N26" s="58"/>
    </row>
    <row r="27" spans="2:14" x14ac:dyDescent="0.25">
      <c r="B27" s="229"/>
      <c r="C27" s="163"/>
      <c r="D27" s="163"/>
      <c r="E27" s="163" t="s">
        <v>7</v>
      </c>
      <c r="F27" s="320">
        <f>19103+18919+17405</f>
        <v>55427</v>
      </c>
      <c r="G27" s="183">
        <f>Adj!S18</f>
        <v>22766.666666666668</v>
      </c>
      <c r="H27" s="316" t="s">
        <v>370</v>
      </c>
      <c r="I27" s="320">
        <f t="shared" si="2"/>
        <v>78193.666666666672</v>
      </c>
      <c r="J27" s="321"/>
      <c r="K27" s="66" t="s">
        <v>363</v>
      </c>
      <c r="L27" s="58"/>
      <c r="M27" s="58"/>
      <c r="N27" s="58"/>
    </row>
    <row r="28" spans="2:14" x14ac:dyDescent="0.25">
      <c r="B28" s="229"/>
      <c r="C28" s="163"/>
      <c r="D28" s="163"/>
      <c r="E28" s="163" t="s">
        <v>215</v>
      </c>
      <c r="F28" s="320">
        <v>11692</v>
      </c>
      <c r="G28" s="183"/>
      <c r="H28" s="326"/>
      <c r="I28" s="320">
        <f t="shared" si="2"/>
        <v>11692</v>
      </c>
      <c r="J28" s="321"/>
      <c r="K28" s="66"/>
      <c r="L28" s="58"/>
      <c r="M28" s="58"/>
      <c r="N28" s="58"/>
    </row>
    <row r="29" spans="2:14" x14ac:dyDescent="0.25">
      <c r="B29" s="229"/>
      <c r="C29" s="163"/>
      <c r="D29" s="163"/>
      <c r="E29" s="163" t="s">
        <v>9</v>
      </c>
      <c r="F29" s="320">
        <v>55652</v>
      </c>
      <c r="G29" s="183"/>
      <c r="H29" s="316"/>
      <c r="I29" s="320">
        <f t="shared" si="2"/>
        <v>55652</v>
      </c>
      <c r="J29" s="321"/>
      <c r="K29" s="58"/>
      <c r="L29" s="58"/>
      <c r="M29" s="58"/>
      <c r="N29" s="58"/>
    </row>
    <row r="30" spans="2:14" x14ac:dyDescent="0.25">
      <c r="B30" s="229"/>
      <c r="C30" s="163"/>
      <c r="D30" s="163"/>
      <c r="E30" s="163" t="s">
        <v>125</v>
      </c>
      <c r="F30" s="320">
        <f>35861+9939</f>
        <v>45800</v>
      </c>
      <c r="G30" s="183"/>
      <c r="H30" s="316"/>
      <c r="I30" s="320">
        <f t="shared" si="2"/>
        <v>45800</v>
      </c>
      <c r="J30" s="321"/>
      <c r="K30" s="58"/>
      <c r="L30" s="58"/>
      <c r="M30" s="58"/>
      <c r="N30" s="58"/>
    </row>
    <row r="31" spans="2:14" x14ac:dyDescent="0.25">
      <c r="B31" s="229"/>
      <c r="C31" s="163"/>
      <c r="D31" s="163"/>
      <c r="E31" s="163" t="s">
        <v>191</v>
      </c>
      <c r="F31" s="320">
        <v>4390</v>
      </c>
      <c r="G31" s="183"/>
      <c r="H31" s="316"/>
      <c r="I31" s="320">
        <f t="shared" si="2"/>
        <v>4390</v>
      </c>
      <c r="J31" s="321"/>
      <c r="K31" s="58"/>
      <c r="L31" s="58"/>
      <c r="M31" s="58"/>
      <c r="N31" s="58"/>
    </row>
    <row r="32" spans="2:14" x14ac:dyDescent="0.25">
      <c r="B32" s="229"/>
      <c r="C32" s="163"/>
      <c r="D32" s="163"/>
      <c r="E32" s="163" t="s">
        <v>192</v>
      </c>
      <c r="F32" s="320">
        <v>6870</v>
      </c>
      <c r="G32" s="183"/>
      <c r="H32" s="316"/>
      <c r="I32" s="320">
        <f t="shared" si="2"/>
        <v>6870</v>
      </c>
      <c r="J32" s="321"/>
      <c r="K32" s="58"/>
      <c r="L32" s="58"/>
      <c r="M32" s="58"/>
      <c r="N32" s="58"/>
    </row>
    <row r="33" spans="2:15" ht="17.25" x14ac:dyDescent="0.25">
      <c r="B33" s="229"/>
      <c r="C33" s="163"/>
      <c r="D33" s="163"/>
      <c r="E33" s="163" t="s">
        <v>8</v>
      </c>
      <c r="F33" s="323">
        <v>37048</v>
      </c>
      <c r="G33" s="328"/>
      <c r="H33" s="329"/>
      <c r="I33" s="323">
        <f t="shared" si="2"/>
        <v>37048</v>
      </c>
      <c r="J33" s="324"/>
      <c r="K33" s="58"/>
      <c r="L33" s="58"/>
      <c r="M33" s="58"/>
      <c r="N33" s="58"/>
    </row>
    <row r="34" spans="2:15" x14ac:dyDescent="0.25">
      <c r="B34" s="229"/>
      <c r="C34" s="163"/>
      <c r="D34" s="163" t="s">
        <v>126</v>
      </c>
      <c r="E34" s="163"/>
      <c r="F34" s="320">
        <f>SUM(F20:F33)</f>
        <v>4922272</v>
      </c>
      <c r="G34" s="322"/>
      <c r="H34" s="316"/>
      <c r="I34" s="322">
        <f>SUM(I20:I33)</f>
        <v>5161947.8257993897</v>
      </c>
      <c r="J34" s="325"/>
      <c r="K34" s="58"/>
      <c r="L34" s="58"/>
      <c r="M34" s="58"/>
      <c r="N34" s="58"/>
    </row>
    <row r="35" spans="2:15" ht="3.95" customHeight="1" x14ac:dyDescent="0.25">
      <c r="B35" s="229"/>
      <c r="C35" s="163"/>
      <c r="D35" s="163"/>
      <c r="E35" s="163"/>
      <c r="F35" s="320"/>
      <c r="G35" s="183"/>
      <c r="H35" s="316"/>
      <c r="I35" s="322"/>
      <c r="J35" s="325"/>
      <c r="K35" s="58"/>
      <c r="L35" s="58"/>
      <c r="M35" s="58"/>
      <c r="N35" s="58"/>
    </row>
    <row r="36" spans="2:15" x14ac:dyDescent="0.25">
      <c r="B36" s="229"/>
      <c r="C36" s="163"/>
      <c r="D36" s="163" t="s">
        <v>25</v>
      </c>
      <c r="E36" s="163"/>
      <c r="F36" s="320">
        <v>755001</v>
      </c>
      <c r="G36" s="183">
        <f>Depr!J53</f>
        <v>22416.749291269778</v>
      </c>
      <c r="H36" s="326" t="s">
        <v>371</v>
      </c>
      <c r="I36" s="322">
        <f>F36+G36</f>
        <v>777417.74929126981</v>
      </c>
      <c r="J36" s="325"/>
      <c r="K36" s="66" t="s">
        <v>209</v>
      </c>
      <c r="L36" s="58"/>
      <c r="M36" s="58"/>
    </row>
    <row r="37" spans="2:15" ht="17.25" x14ac:dyDescent="0.25">
      <c r="B37" s="229"/>
      <c r="C37" s="163"/>
      <c r="D37" s="163" t="s">
        <v>1</v>
      </c>
      <c r="E37" s="163"/>
      <c r="F37" s="323">
        <v>66340</v>
      </c>
      <c r="G37" s="183">
        <f>Adj!Q33</f>
        <v>11777.984126137504</v>
      </c>
      <c r="H37" s="326" t="s">
        <v>217</v>
      </c>
      <c r="I37" s="323">
        <f>F37+G37</f>
        <v>78117.984126137511</v>
      </c>
      <c r="J37" s="324"/>
      <c r="K37" s="66" t="s">
        <v>493</v>
      </c>
      <c r="L37" s="58"/>
      <c r="M37" s="58"/>
      <c r="N37" s="58"/>
    </row>
    <row r="38" spans="2:15" x14ac:dyDescent="0.25">
      <c r="B38" s="229"/>
      <c r="C38" s="342" t="s">
        <v>0</v>
      </c>
      <c r="D38" s="163"/>
      <c r="E38" s="163"/>
      <c r="F38" s="318">
        <f>SUM(F34:F37)</f>
        <v>5743613</v>
      </c>
      <c r="G38" s="318"/>
      <c r="H38" s="316"/>
      <c r="I38" s="318">
        <f>SUM(I34:I37)</f>
        <v>6017483.5592167974</v>
      </c>
      <c r="J38" s="319"/>
      <c r="K38" s="58"/>
      <c r="M38" s="58"/>
      <c r="N38" s="58"/>
    </row>
    <row r="39" spans="2:15" ht="3.95" customHeight="1" x14ac:dyDescent="0.25">
      <c r="B39" s="229"/>
      <c r="C39" s="342"/>
      <c r="D39" s="163"/>
      <c r="E39" s="163"/>
      <c r="F39" s="322"/>
      <c r="G39" s="163"/>
      <c r="H39" s="316"/>
      <c r="I39" s="322"/>
      <c r="J39" s="325"/>
      <c r="K39" s="58"/>
      <c r="L39" s="58"/>
      <c r="M39" s="58"/>
      <c r="N39" s="58"/>
    </row>
    <row r="40" spans="2:15" x14ac:dyDescent="0.25">
      <c r="B40" s="229"/>
      <c r="C40" s="342" t="s">
        <v>26</v>
      </c>
      <c r="D40" s="163"/>
      <c r="E40" s="163"/>
      <c r="F40" s="318">
        <f>F16-F38</f>
        <v>197531</v>
      </c>
      <c r="G40" s="318"/>
      <c r="H40" s="316"/>
      <c r="I40" s="318">
        <f>I16-I38</f>
        <v>248177.7174780257</v>
      </c>
      <c r="J40" s="319"/>
      <c r="K40" s="58"/>
      <c r="L40" s="58"/>
      <c r="N40" s="58"/>
      <c r="O40" s="110"/>
    </row>
    <row r="41" spans="2:15" x14ac:dyDescent="0.25">
      <c r="B41" s="229"/>
      <c r="C41" s="163"/>
      <c r="D41" s="163"/>
      <c r="E41" s="163"/>
      <c r="F41" s="322"/>
      <c r="G41" s="163"/>
      <c r="H41" s="316"/>
      <c r="I41" s="322"/>
      <c r="J41" s="325"/>
      <c r="K41" s="58"/>
      <c r="L41" s="58"/>
      <c r="M41" s="58"/>
      <c r="N41" s="58"/>
    </row>
    <row r="42" spans="2:15" ht="18" x14ac:dyDescent="0.25">
      <c r="B42" s="229"/>
      <c r="C42" s="463" t="s">
        <v>27</v>
      </c>
      <c r="D42" s="463"/>
      <c r="E42" s="463"/>
      <c r="F42" s="463"/>
      <c r="G42" s="463"/>
      <c r="H42" s="463"/>
      <c r="I42" s="463"/>
      <c r="J42" s="345"/>
      <c r="K42" s="58"/>
      <c r="L42" s="58"/>
      <c r="M42" s="58"/>
      <c r="N42" s="58"/>
    </row>
    <row r="43" spans="2:15" ht="6.95" customHeight="1" x14ac:dyDescent="0.25">
      <c r="B43" s="229"/>
      <c r="C43" s="163"/>
      <c r="D43" s="163"/>
      <c r="E43" s="163"/>
      <c r="F43" s="322"/>
      <c r="G43" s="313"/>
      <c r="H43" s="314"/>
      <c r="I43" s="322"/>
      <c r="J43" s="325"/>
      <c r="K43" s="58"/>
      <c r="L43" s="58"/>
      <c r="M43" s="58"/>
      <c r="N43" s="58"/>
    </row>
    <row r="44" spans="2:15" x14ac:dyDescent="0.25">
      <c r="B44" s="229"/>
      <c r="C44" s="342" t="s">
        <v>127</v>
      </c>
      <c r="D44" s="163"/>
      <c r="E44" s="163"/>
      <c r="F44" s="118"/>
      <c r="G44" s="163"/>
      <c r="H44" s="326"/>
      <c r="I44" s="211">
        <f>I38</f>
        <v>6017483.5592167974</v>
      </c>
      <c r="J44" s="330"/>
      <c r="K44" s="65"/>
      <c r="L44" s="211"/>
    </row>
    <row r="45" spans="2:15" x14ac:dyDescent="0.25">
      <c r="B45" s="229"/>
      <c r="C45" s="163" t="s">
        <v>216</v>
      </c>
      <c r="D45" s="163"/>
      <c r="E45" s="163"/>
      <c r="F45" s="118"/>
      <c r="G45" s="163"/>
      <c r="H45" s="309" t="s">
        <v>500</v>
      </c>
      <c r="I45" s="240">
        <v>0.88</v>
      </c>
      <c r="J45" s="332"/>
      <c r="K45" s="65"/>
      <c r="L45" s="240"/>
    </row>
    <row r="46" spans="2:15" x14ac:dyDescent="0.25">
      <c r="B46" s="229"/>
      <c r="C46" s="163" t="s">
        <v>218</v>
      </c>
      <c r="D46" s="118"/>
      <c r="E46" s="118"/>
      <c r="F46" s="118"/>
      <c r="G46" s="163"/>
      <c r="H46" s="326"/>
      <c r="I46" s="17">
        <f>I44/I45</f>
        <v>6838049.4991099974</v>
      </c>
      <c r="J46" s="26"/>
      <c r="K46" s="65"/>
      <c r="L46" s="17"/>
      <c r="N46" s="110"/>
    </row>
    <row r="47" spans="2:15" ht="18" x14ac:dyDescent="0.4">
      <c r="B47" s="229"/>
      <c r="C47" s="163" t="s">
        <v>28</v>
      </c>
      <c r="D47" s="163"/>
      <c r="E47" s="163" t="s">
        <v>219</v>
      </c>
      <c r="F47" s="118"/>
      <c r="G47" s="163"/>
      <c r="H47" s="331"/>
      <c r="I47" s="27">
        <v>395</v>
      </c>
      <c r="J47" s="38"/>
      <c r="K47" s="65"/>
      <c r="L47" s="27"/>
    </row>
    <row r="48" spans="2:15" x14ac:dyDescent="0.25">
      <c r="B48" s="229"/>
      <c r="C48" s="342" t="s">
        <v>220</v>
      </c>
      <c r="D48" s="163"/>
      <c r="E48" s="163"/>
      <c r="F48" s="118"/>
      <c r="G48" s="163"/>
      <c r="H48" s="326"/>
      <c r="I48" s="17">
        <f>I46+I47</f>
        <v>6838444.4991099974</v>
      </c>
      <c r="J48" s="26"/>
      <c r="K48" s="65"/>
      <c r="L48" s="17"/>
    </row>
    <row r="49" spans="2:14" x14ac:dyDescent="0.25">
      <c r="B49" s="229"/>
      <c r="C49" s="163" t="s">
        <v>29</v>
      </c>
      <c r="D49" s="163"/>
      <c r="E49" s="163" t="s">
        <v>30</v>
      </c>
      <c r="F49" s="118"/>
      <c r="G49" s="163"/>
      <c r="H49" s="326"/>
      <c r="I49" s="17">
        <f>-SUM(I13:I15)</f>
        <v>-236166.96029482226</v>
      </c>
      <c r="J49" s="26"/>
      <c r="L49" s="17"/>
      <c r="N49" s="65"/>
    </row>
    <row r="50" spans="2:14" ht="18" x14ac:dyDescent="0.4">
      <c r="B50" s="229"/>
      <c r="C50" s="163"/>
      <c r="D50" s="163"/>
      <c r="E50" s="163" t="s">
        <v>13</v>
      </c>
      <c r="F50" s="153"/>
      <c r="G50" s="183"/>
      <c r="H50" s="326"/>
      <c r="I50" s="27">
        <v>-43958</v>
      </c>
      <c r="J50" s="38"/>
      <c r="K50" s="65"/>
      <c r="L50" s="27"/>
      <c r="M50" s="65"/>
      <c r="N50" s="65"/>
    </row>
    <row r="51" spans="2:14" x14ac:dyDescent="0.25">
      <c r="B51" s="229"/>
      <c r="C51" s="342" t="s">
        <v>221</v>
      </c>
      <c r="D51" s="163"/>
      <c r="E51" s="163"/>
      <c r="F51" s="118"/>
      <c r="G51" s="163"/>
      <c r="H51" s="326"/>
      <c r="I51" s="17">
        <f>SUM(I48:I50)</f>
        <v>6558319.5388151752</v>
      </c>
      <c r="J51" s="26"/>
      <c r="K51" s="68"/>
      <c r="L51" s="17"/>
      <c r="M51" s="65"/>
      <c r="N51" s="65"/>
    </row>
    <row r="52" spans="2:14" x14ac:dyDescent="0.25">
      <c r="B52" s="229"/>
      <c r="C52" s="163" t="s">
        <v>29</v>
      </c>
      <c r="D52" s="163"/>
      <c r="E52" s="163" t="s">
        <v>222</v>
      </c>
      <c r="F52" s="118"/>
      <c r="G52" s="163"/>
      <c r="H52" s="326"/>
      <c r="I52" s="244">
        <f>SUM(I9:I11)</f>
        <v>6029494.3164000008</v>
      </c>
      <c r="J52" s="333"/>
      <c r="K52" s="68"/>
      <c r="L52" s="244"/>
      <c r="M52" s="65"/>
      <c r="N52" s="65"/>
    </row>
    <row r="53" spans="2:14" x14ac:dyDescent="0.25">
      <c r="B53" s="229"/>
      <c r="C53" s="342" t="s">
        <v>223</v>
      </c>
      <c r="D53" s="163"/>
      <c r="E53" s="163"/>
      <c r="F53" s="118"/>
      <c r="G53" s="163"/>
      <c r="H53" s="326"/>
      <c r="I53" s="211">
        <f>I51-I52</f>
        <v>528825.22241517436</v>
      </c>
      <c r="J53" s="330"/>
      <c r="K53" s="65"/>
      <c r="L53" s="211"/>
      <c r="M53" s="65"/>
      <c r="N53" s="65"/>
    </row>
    <row r="54" spans="2:14" ht="6" customHeight="1" x14ac:dyDescent="0.25">
      <c r="B54" s="229"/>
      <c r="C54" s="163"/>
      <c r="D54" s="163"/>
      <c r="E54" s="163"/>
      <c r="F54" s="118"/>
      <c r="G54" s="163"/>
      <c r="H54" s="326"/>
      <c r="I54" s="163"/>
      <c r="J54" s="317"/>
      <c r="K54" s="65"/>
      <c r="L54" s="64"/>
      <c r="M54" s="65"/>
      <c r="N54" s="65"/>
    </row>
    <row r="55" spans="2:14" x14ac:dyDescent="0.25">
      <c r="B55" s="229"/>
      <c r="C55" s="342" t="s">
        <v>224</v>
      </c>
      <c r="D55" s="163"/>
      <c r="E55" s="163"/>
      <c r="F55" s="118"/>
      <c r="G55" s="163"/>
      <c r="H55" s="326"/>
      <c r="I55" s="164">
        <f>ROUND(I53/I52,4)</f>
        <v>8.77E-2</v>
      </c>
      <c r="J55" s="334"/>
      <c r="K55" s="65"/>
      <c r="L55" s="242"/>
      <c r="M55" s="65"/>
      <c r="N55" s="65"/>
    </row>
    <row r="56" spans="2:14" ht="8.1" customHeight="1" x14ac:dyDescent="0.25">
      <c r="B56" s="230"/>
      <c r="C56" s="335"/>
      <c r="D56" s="335"/>
      <c r="E56" s="335"/>
      <c r="F56" s="335"/>
      <c r="G56" s="335"/>
      <c r="H56" s="336"/>
      <c r="I56" s="335"/>
      <c r="J56" s="337"/>
      <c r="K56" s="65"/>
      <c r="L56" s="65"/>
      <c r="M56" s="65"/>
      <c r="N56" s="65"/>
    </row>
    <row r="57" spans="2:14" x14ac:dyDescent="0.25">
      <c r="C57" s="65"/>
      <c r="D57" s="65"/>
      <c r="E57" s="65"/>
      <c r="F57" s="65"/>
      <c r="G57" s="65"/>
      <c r="H57" s="308"/>
      <c r="I57" s="65"/>
      <c r="J57" s="65"/>
      <c r="K57" s="65"/>
      <c r="L57" s="65"/>
      <c r="M57" s="65"/>
      <c r="N57" s="65"/>
    </row>
    <row r="58" spans="2:14" x14ac:dyDescent="0.25">
      <c r="C58" s="65"/>
      <c r="D58" s="65"/>
      <c r="E58" s="65"/>
      <c r="F58" s="65"/>
      <c r="G58" s="65"/>
      <c r="H58" s="308"/>
      <c r="I58" s="65"/>
      <c r="J58" s="65"/>
      <c r="K58" s="65"/>
      <c r="L58" s="65"/>
      <c r="M58" s="65"/>
      <c r="N58" s="65"/>
    </row>
    <row r="59" spans="2:14" x14ac:dyDescent="0.25">
      <c r="C59" s="65"/>
      <c r="D59" s="65"/>
      <c r="E59" s="65"/>
      <c r="F59" s="65"/>
      <c r="G59" s="65"/>
      <c r="H59" s="308"/>
      <c r="I59" s="65"/>
      <c r="J59" s="65"/>
      <c r="K59" s="65"/>
      <c r="L59" s="65"/>
      <c r="M59" s="65"/>
      <c r="N59" s="65"/>
    </row>
    <row r="60" spans="2:14" x14ac:dyDescent="0.25">
      <c r="C60" s="65"/>
      <c r="D60" s="65"/>
      <c r="E60" s="65"/>
      <c r="F60" s="65"/>
      <c r="G60" s="65"/>
      <c r="H60" s="308"/>
      <c r="I60" s="65"/>
      <c r="J60" s="65"/>
      <c r="K60" s="65"/>
      <c r="L60" s="65"/>
      <c r="M60" s="65"/>
      <c r="N60" s="65"/>
    </row>
    <row r="61" spans="2:14" x14ac:dyDescent="0.25">
      <c r="C61" s="65"/>
      <c r="D61" s="65"/>
      <c r="E61" s="65"/>
      <c r="F61" s="65"/>
      <c r="G61" s="65"/>
      <c r="H61" s="308"/>
      <c r="I61" s="65"/>
      <c r="J61" s="65"/>
      <c r="K61" s="65"/>
      <c r="L61" s="65"/>
      <c r="M61" s="65"/>
      <c r="N61" s="65"/>
    </row>
    <row r="62" spans="2:14" x14ac:dyDescent="0.25">
      <c r="C62" s="65"/>
      <c r="D62" s="65"/>
      <c r="E62" s="65"/>
      <c r="F62" s="65"/>
      <c r="G62" s="65"/>
      <c r="H62" s="308"/>
      <c r="I62" s="65"/>
      <c r="J62" s="65"/>
      <c r="K62" s="65"/>
      <c r="L62" s="65"/>
      <c r="M62" s="65"/>
      <c r="N62" s="65"/>
    </row>
    <row r="63" spans="2:14" x14ac:dyDescent="0.25">
      <c r="C63" s="65"/>
      <c r="D63" s="65"/>
      <c r="E63" s="65"/>
      <c r="F63" s="65"/>
      <c r="G63" s="65"/>
      <c r="H63" s="308"/>
      <c r="I63" s="65"/>
      <c r="J63" s="65"/>
      <c r="K63" s="65"/>
      <c r="L63" s="65"/>
      <c r="M63" s="65"/>
      <c r="N63" s="65"/>
    </row>
    <row r="64" spans="2:14" x14ac:dyDescent="0.25">
      <c r="C64" s="65"/>
      <c r="D64" s="65"/>
      <c r="E64" s="65"/>
      <c r="F64" s="65"/>
      <c r="G64" s="65"/>
      <c r="H64" s="308"/>
      <c r="I64" s="65"/>
      <c r="J64" s="65"/>
      <c r="K64" s="65"/>
      <c r="L64" s="65"/>
      <c r="M64" s="65"/>
      <c r="N64" s="65"/>
    </row>
    <row r="65" spans="3:14" x14ac:dyDescent="0.25">
      <c r="C65" s="65"/>
      <c r="D65" s="65"/>
      <c r="E65" s="65"/>
      <c r="F65" s="65"/>
      <c r="G65" s="65"/>
      <c r="H65" s="308"/>
      <c r="I65" s="65"/>
      <c r="J65" s="65"/>
      <c r="K65" s="65"/>
      <c r="L65" s="65"/>
      <c r="M65" s="65"/>
      <c r="N65" s="65"/>
    </row>
    <row r="66" spans="3:14" x14ac:dyDescent="0.25">
      <c r="C66" s="65"/>
      <c r="D66" s="65"/>
      <c r="E66" s="65"/>
      <c r="F66" s="65"/>
      <c r="G66" s="65"/>
      <c r="H66" s="308"/>
      <c r="I66" s="65"/>
      <c r="J66" s="65"/>
      <c r="K66" s="65"/>
      <c r="L66" s="65"/>
      <c r="M66" s="65"/>
      <c r="N66" s="65"/>
    </row>
    <row r="67" spans="3:14" x14ac:dyDescent="0.25">
      <c r="C67" s="65"/>
      <c r="D67" s="65"/>
      <c r="E67" s="65"/>
      <c r="F67" s="65"/>
      <c r="G67" s="65"/>
      <c r="H67" s="308"/>
      <c r="I67" s="65"/>
      <c r="J67" s="65"/>
      <c r="K67" s="65"/>
      <c r="L67" s="65"/>
      <c r="M67" s="65"/>
      <c r="N67" s="65"/>
    </row>
    <row r="68" spans="3:14" x14ac:dyDescent="0.25">
      <c r="C68" s="65"/>
      <c r="D68" s="65"/>
      <c r="E68" s="65"/>
      <c r="F68" s="65"/>
      <c r="G68" s="65"/>
      <c r="H68" s="308"/>
      <c r="I68" s="65"/>
      <c r="J68" s="65"/>
      <c r="K68" s="65"/>
      <c r="L68" s="65"/>
      <c r="M68" s="65"/>
      <c r="N68" s="65"/>
    </row>
    <row r="69" spans="3:14" x14ac:dyDescent="0.25">
      <c r="C69" s="65"/>
      <c r="D69" s="65"/>
      <c r="E69" s="65"/>
      <c r="F69" s="65"/>
      <c r="G69" s="65"/>
      <c r="H69" s="308"/>
      <c r="I69" s="65"/>
      <c r="J69" s="65"/>
      <c r="K69" s="65"/>
      <c r="L69" s="65"/>
      <c r="M69" s="65"/>
      <c r="N69" s="65"/>
    </row>
    <row r="70" spans="3:14" x14ac:dyDescent="0.25">
      <c r="C70" s="65"/>
      <c r="D70" s="65"/>
      <c r="E70" s="65"/>
      <c r="F70" s="65"/>
      <c r="G70" s="65"/>
      <c r="H70" s="308"/>
      <c r="I70" s="65"/>
      <c r="J70" s="65"/>
      <c r="K70" s="65"/>
      <c r="L70" s="65"/>
      <c r="M70" s="65"/>
      <c r="N70" s="65"/>
    </row>
    <row r="71" spans="3:14" x14ac:dyDescent="0.25">
      <c r="C71" s="65"/>
      <c r="D71" s="65"/>
      <c r="E71" s="65"/>
      <c r="F71" s="65"/>
      <c r="G71" s="65"/>
      <c r="H71" s="308"/>
      <c r="I71" s="65"/>
      <c r="J71" s="65"/>
      <c r="K71" s="65"/>
      <c r="L71" s="65"/>
      <c r="M71" s="65"/>
      <c r="N71" s="65"/>
    </row>
    <row r="72" spans="3:14" x14ac:dyDescent="0.25">
      <c r="C72" s="65"/>
      <c r="D72" s="65"/>
      <c r="E72" s="65"/>
      <c r="F72" s="65"/>
      <c r="G72" s="65"/>
      <c r="H72" s="308"/>
      <c r="I72" s="65"/>
      <c r="J72" s="65"/>
      <c r="K72" s="65"/>
      <c r="L72" s="65"/>
      <c r="M72" s="65"/>
      <c r="N72" s="65"/>
    </row>
    <row r="73" spans="3:14" x14ac:dyDescent="0.25">
      <c r="C73" s="65"/>
      <c r="D73" s="65"/>
      <c r="E73" s="65"/>
      <c r="F73" s="65"/>
      <c r="G73" s="65"/>
      <c r="H73" s="308"/>
      <c r="I73" s="65"/>
      <c r="J73" s="65"/>
      <c r="K73" s="65"/>
      <c r="L73" s="65"/>
      <c r="M73" s="65"/>
      <c r="N73" s="65"/>
    </row>
  </sheetData>
  <mergeCells count="3">
    <mergeCell ref="C42:I42"/>
    <mergeCell ref="C4:I4"/>
    <mergeCell ref="C3:I3"/>
  </mergeCells>
  <printOptions horizontalCentered="1" verticalCentered="1"/>
  <pageMargins left="0.45" right="0" top="0.5" bottom="0.5" header="0.3" footer="0.3"/>
  <pageSetup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91"/>
  <sheetViews>
    <sheetView zoomScaleNormal="100" workbookViewId="0"/>
    <sheetView workbookViewId="1"/>
  </sheetViews>
  <sheetFormatPr defaultColWidth="8.88671875" defaultRowHeight="15" x14ac:dyDescent="0.25"/>
  <cols>
    <col min="1" max="1" width="8.88671875" style="1"/>
    <col min="2" max="2" width="1.77734375" style="1" customWidth="1"/>
    <col min="3" max="3" width="3.109375" style="1" customWidth="1"/>
    <col min="4" max="4" width="20" style="1" customWidth="1"/>
    <col min="5" max="8" width="10.77734375" style="1" customWidth="1"/>
    <col min="9" max="9" width="1.77734375" style="1" customWidth="1"/>
    <col min="10" max="10" width="10.6640625" style="366" customWidth="1"/>
    <col min="11" max="11" width="10.6640625" style="1" customWidth="1"/>
    <col min="12" max="16384" width="8.88671875" style="1"/>
  </cols>
  <sheetData>
    <row r="2" spans="2:11" ht="8.1" customHeight="1" x14ac:dyDescent="0.25">
      <c r="B2" s="112"/>
      <c r="C2" s="113"/>
      <c r="D2" s="113"/>
      <c r="E2" s="113"/>
      <c r="F2" s="113"/>
      <c r="G2" s="113"/>
      <c r="H2" s="113"/>
      <c r="I2" s="114"/>
    </row>
    <row r="3" spans="2:11" ht="20.25" customHeight="1" x14ac:dyDescent="0.3">
      <c r="B3" s="115"/>
      <c r="C3" s="477" t="s">
        <v>32</v>
      </c>
      <c r="D3" s="477"/>
      <c r="E3" s="477"/>
      <c r="F3" s="477"/>
      <c r="G3" s="477"/>
      <c r="H3" s="477"/>
      <c r="I3" s="446"/>
    </row>
    <row r="4" spans="2:11" ht="18.75" x14ac:dyDescent="0.3">
      <c r="B4" s="115"/>
      <c r="C4" s="116" t="s">
        <v>37</v>
      </c>
      <c r="D4" s="94"/>
      <c r="E4" s="94"/>
      <c r="F4" s="94"/>
      <c r="G4" s="94"/>
      <c r="H4" s="94"/>
      <c r="I4" s="95"/>
      <c r="K4" s="7"/>
    </row>
    <row r="5" spans="2:11" ht="15.75" x14ac:dyDescent="0.25">
      <c r="B5" s="115"/>
      <c r="C5" s="476" t="s">
        <v>242</v>
      </c>
      <c r="D5" s="476"/>
      <c r="E5" s="476"/>
      <c r="F5" s="476"/>
      <c r="G5" s="476"/>
      <c r="H5" s="476"/>
      <c r="I5" s="290"/>
      <c r="K5" s="7"/>
    </row>
    <row r="6" spans="2:11" ht="15.75" x14ac:dyDescent="0.25">
      <c r="B6" s="133"/>
      <c r="C6" s="451"/>
      <c r="D6" s="451"/>
      <c r="E6" s="451"/>
      <c r="F6" s="451"/>
      <c r="G6" s="451"/>
      <c r="H6" s="451"/>
      <c r="I6" s="453"/>
      <c r="K6" s="7"/>
    </row>
    <row r="7" spans="2:11" ht="15.75" x14ac:dyDescent="0.25">
      <c r="B7" s="115"/>
      <c r="C7" s="107"/>
      <c r="D7" s="94"/>
      <c r="E7" s="94"/>
      <c r="F7" s="94"/>
      <c r="G7" s="94"/>
      <c r="H7" s="94"/>
      <c r="I7" s="95"/>
      <c r="K7" s="7"/>
    </row>
    <row r="8" spans="2:11" ht="15" customHeight="1" x14ac:dyDescent="0.25">
      <c r="B8" s="115"/>
      <c r="C8" s="117"/>
      <c r="D8" s="118"/>
      <c r="E8" s="120" t="s">
        <v>123</v>
      </c>
      <c r="F8" s="120" t="s">
        <v>38</v>
      </c>
      <c r="G8" s="120" t="s">
        <v>39</v>
      </c>
      <c r="H8" s="120" t="s">
        <v>41</v>
      </c>
      <c r="I8" s="121"/>
      <c r="J8" s="367"/>
      <c r="K8" s="59"/>
    </row>
    <row r="9" spans="2:11" x14ac:dyDescent="0.25">
      <c r="B9" s="115"/>
      <c r="C9" s="117"/>
      <c r="D9" s="118"/>
      <c r="E9" s="120" t="s">
        <v>189</v>
      </c>
      <c r="F9" s="120" t="s">
        <v>40</v>
      </c>
      <c r="G9" s="120" t="s">
        <v>38</v>
      </c>
      <c r="H9" s="120" t="s">
        <v>38</v>
      </c>
      <c r="I9" s="121"/>
      <c r="J9" s="367"/>
      <c r="K9" s="59"/>
    </row>
    <row r="10" spans="2:11" x14ac:dyDescent="0.25">
      <c r="B10" s="115"/>
      <c r="C10" s="117" t="s">
        <v>42</v>
      </c>
      <c r="D10" s="118"/>
      <c r="E10" s="118"/>
      <c r="F10" s="118"/>
      <c r="G10" s="118"/>
      <c r="H10" s="118"/>
      <c r="I10" s="122"/>
      <c r="K10" s="7"/>
    </row>
    <row r="11" spans="2:11" x14ac:dyDescent="0.25">
      <c r="B11" s="115"/>
      <c r="C11" s="117"/>
      <c r="D11" s="118" t="s">
        <v>399</v>
      </c>
      <c r="E11" s="17">
        <f>mtrx!D30</f>
        <v>67744.487626920207</v>
      </c>
      <c r="F11" s="124">
        <f>Fac!$I$29</f>
        <v>9.6794032103931935E-2</v>
      </c>
      <c r="G11" s="17">
        <f>E11*F11</f>
        <v>6557.2621102245339</v>
      </c>
      <c r="H11" s="17">
        <f>E11-G11</f>
        <v>61187.225516695675</v>
      </c>
      <c r="I11" s="122"/>
      <c r="J11" s="368"/>
      <c r="K11" s="7"/>
    </row>
    <row r="12" spans="2:11" x14ac:dyDescent="0.25">
      <c r="B12" s="115"/>
      <c r="C12" s="117"/>
      <c r="D12" s="118" t="s">
        <v>44</v>
      </c>
      <c r="E12" s="17">
        <f>mtrx!F30</f>
        <v>383885.4298858812</v>
      </c>
      <c r="F12" s="124">
        <f>Fac!$I$33</f>
        <v>1.9116130014433387E-2</v>
      </c>
      <c r="G12" s="17">
        <f>E12*F12</f>
        <v>7338.4037883451574</v>
      </c>
      <c r="H12" s="17">
        <f>E12-G12</f>
        <v>376547.02609753603</v>
      </c>
      <c r="I12" s="122"/>
      <c r="J12" s="368"/>
      <c r="K12" s="7"/>
    </row>
    <row r="13" spans="2:11" x14ac:dyDescent="0.25">
      <c r="B13" s="115"/>
      <c r="C13" s="117"/>
      <c r="D13" s="118" t="s">
        <v>43</v>
      </c>
      <c r="E13" s="17">
        <f>mtrx!G30</f>
        <v>234113.91296356145</v>
      </c>
      <c r="F13" s="118"/>
      <c r="G13" s="17">
        <f>E13*F13</f>
        <v>0</v>
      </c>
      <c r="H13" s="17">
        <f>E13-G13</f>
        <v>234113.91296356145</v>
      </c>
      <c r="I13" s="122"/>
      <c r="J13" s="368"/>
      <c r="K13" s="7"/>
    </row>
    <row r="14" spans="2:11" x14ac:dyDescent="0.25">
      <c r="B14" s="115"/>
      <c r="C14" s="117"/>
      <c r="D14" s="118" t="s">
        <v>45</v>
      </c>
      <c r="E14" s="17">
        <f>mtrx!H30</f>
        <v>154109.6626728088</v>
      </c>
      <c r="F14" s="124">
        <f>Fac!$I$29</f>
        <v>9.6794032103931935E-2</v>
      </c>
      <c r="G14" s="17">
        <f>E14*F14</f>
        <v>14916.895636277975</v>
      </c>
      <c r="H14" s="17">
        <f>E14-G14</f>
        <v>139192.76703653083</v>
      </c>
      <c r="I14" s="122"/>
      <c r="J14" s="368">
        <f>SUM(H11:H14)</f>
        <v>811040.93161432398</v>
      </c>
      <c r="K14" s="7"/>
    </row>
    <row r="15" spans="2:11" x14ac:dyDescent="0.25">
      <c r="B15" s="115"/>
      <c r="C15" s="117" t="s">
        <v>46</v>
      </c>
      <c r="D15" s="118"/>
      <c r="E15" s="17"/>
      <c r="F15" s="118"/>
      <c r="G15" s="17"/>
      <c r="H15" s="17"/>
      <c r="I15" s="122"/>
      <c r="J15" s="368"/>
      <c r="K15" s="7"/>
    </row>
    <row r="16" spans="2:11" x14ac:dyDescent="0.25">
      <c r="B16" s="115"/>
      <c r="C16" s="117"/>
      <c r="D16" s="118" t="s">
        <v>399</v>
      </c>
      <c r="E16" s="17">
        <f>mtrx!D32</f>
        <v>30917.161818853314</v>
      </c>
      <c r="F16" s="124">
        <f>Fac!$I$29</f>
        <v>9.6794032103931935E-2</v>
      </c>
      <c r="G16" s="17">
        <f t="shared" ref="G16:G20" si="0">E16*F16</f>
        <v>2992.5967536565463</v>
      </c>
      <c r="H16" s="17">
        <f t="shared" ref="H16:H20" si="1">E16-G16</f>
        <v>27924.565065196766</v>
      </c>
      <c r="I16" s="122"/>
      <c r="J16" s="368"/>
      <c r="K16" s="7"/>
    </row>
    <row r="17" spans="2:11" x14ac:dyDescent="0.25">
      <c r="B17" s="115"/>
      <c r="C17" s="117"/>
      <c r="D17" s="118" t="s">
        <v>44</v>
      </c>
      <c r="E17" s="17">
        <f>mtrx!F32</f>
        <v>175197.25030683549</v>
      </c>
      <c r="F17" s="124">
        <f>Fac!$I$33</f>
        <v>1.9116130014433387E-2</v>
      </c>
      <c r="G17" s="17">
        <f t="shared" si="0"/>
        <v>3349.0934150366966</v>
      </c>
      <c r="H17" s="17">
        <f t="shared" si="1"/>
        <v>171848.15689179878</v>
      </c>
      <c r="I17" s="122"/>
      <c r="J17" s="368"/>
      <c r="K17" s="7"/>
    </row>
    <row r="18" spans="2:11" x14ac:dyDescent="0.25">
      <c r="B18" s="115"/>
      <c r="C18" s="117"/>
      <c r="D18" s="118" t="s">
        <v>43</v>
      </c>
      <c r="E18" s="17">
        <f>mtrx!G32</f>
        <v>106844.67452172581</v>
      </c>
      <c r="F18" s="118"/>
      <c r="G18" s="17">
        <f>E18*F18</f>
        <v>0</v>
      </c>
      <c r="H18" s="17">
        <f>E18-G18</f>
        <v>106844.67452172581</v>
      </c>
      <c r="I18" s="122"/>
      <c r="J18" s="368"/>
      <c r="K18" s="7"/>
    </row>
    <row r="19" spans="2:11" x14ac:dyDescent="0.25">
      <c r="B19" s="115"/>
      <c r="C19" s="117"/>
      <c r="D19" s="118" t="s">
        <v>45</v>
      </c>
      <c r="E19" s="17">
        <f>mtrx!H32</f>
        <v>70332.414423793874</v>
      </c>
      <c r="F19" s="124">
        <f>Fac!$I$29</f>
        <v>9.6794032103931935E-2</v>
      </c>
      <c r="G19" s="17">
        <f t="shared" si="0"/>
        <v>6807.7579796837499</v>
      </c>
      <c r="H19" s="17">
        <f t="shared" si="1"/>
        <v>63524.656444110122</v>
      </c>
      <c r="I19" s="122"/>
      <c r="J19" s="368">
        <f>SUM(H16:H19)</f>
        <v>370142.0529228315</v>
      </c>
      <c r="K19" s="7"/>
    </row>
    <row r="20" spans="2:11" x14ac:dyDescent="0.25">
      <c r="B20" s="115"/>
      <c r="C20" s="117" t="s">
        <v>169</v>
      </c>
      <c r="D20" s="118"/>
      <c r="E20" s="17">
        <f>mtrx!C31</f>
        <v>18000</v>
      </c>
      <c r="F20" s="124">
        <f>Fac!$I$29</f>
        <v>9.6794032103931935E-2</v>
      </c>
      <c r="G20" s="17">
        <f t="shared" si="0"/>
        <v>1742.2925778707747</v>
      </c>
      <c r="H20" s="17">
        <f t="shared" si="1"/>
        <v>16257.707422129226</v>
      </c>
      <c r="I20" s="122"/>
      <c r="J20" s="369">
        <f>H20</f>
        <v>16257.707422129226</v>
      </c>
      <c r="K20" s="7"/>
    </row>
    <row r="21" spans="2:11" x14ac:dyDescent="0.25">
      <c r="B21" s="115"/>
      <c r="C21" s="117" t="s">
        <v>214</v>
      </c>
      <c r="D21" s="118"/>
      <c r="E21" s="17">
        <f>mtrx!D33</f>
        <v>3330099.16</v>
      </c>
      <c r="F21" s="124">
        <f>Fac!$I$29</f>
        <v>9.6794032103931935E-2</v>
      </c>
      <c r="G21" s="17">
        <f t="shared" ref="G21" si="2">E21*F21</f>
        <v>322333.72500231676</v>
      </c>
      <c r="H21" s="17">
        <f t="shared" ref="H21" si="3">E21-G21</f>
        <v>3007765.4349976834</v>
      </c>
      <c r="I21" s="122"/>
      <c r="J21" s="369">
        <f>H21</f>
        <v>3007765.4349976834</v>
      </c>
      <c r="K21" s="7"/>
    </row>
    <row r="22" spans="2:11" x14ac:dyDescent="0.25">
      <c r="B22" s="115"/>
      <c r="C22" s="117" t="s">
        <v>5</v>
      </c>
      <c r="D22" s="118"/>
      <c r="E22" s="17"/>
      <c r="F22" s="118"/>
      <c r="G22" s="17"/>
      <c r="H22" s="17"/>
      <c r="I22" s="122"/>
      <c r="J22" s="368"/>
      <c r="K22" s="7"/>
    </row>
    <row r="23" spans="2:11" x14ac:dyDescent="0.25">
      <c r="B23" s="115"/>
      <c r="C23" s="117"/>
      <c r="D23" s="118" t="s">
        <v>399</v>
      </c>
      <c r="E23" s="17">
        <f>mtrx!D34</f>
        <v>55710</v>
      </c>
      <c r="F23" s="124">
        <f>Fac!$I$29</f>
        <v>9.6794032103931935E-2</v>
      </c>
      <c r="G23" s="17">
        <f>E23*F23</f>
        <v>5392.3955285100483</v>
      </c>
      <c r="H23" s="17">
        <f>E23-G23</f>
        <v>50317.604471489954</v>
      </c>
      <c r="I23" s="122"/>
      <c r="J23" s="368"/>
      <c r="K23" s="7"/>
    </row>
    <row r="24" spans="2:11" x14ac:dyDescent="0.25">
      <c r="B24" s="115"/>
      <c r="C24" s="117"/>
      <c r="D24" s="118" t="s">
        <v>44</v>
      </c>
      <c r="E24" s="17">
        <f>mtrx!F34</f>
        <v>51788</v>
      </c>
      <c r="F24" s="124">
        <f>Fac!$I$33</f>
        <v>1.9116130014433387E-2</v>
      </c>
      <c r="G24" s="17">
        <f>E24*F24</f>
        <v>989.98614118747628</v>
      </c>
      <c r="H24" s="17">
        <f>E24-G24</f>
        <v>50798.013858812526</v>
      </c>
      <c r="I24" s="122"/>
      <c r="J24" s="368"/>
      <c r="K24" s="7"/>
    </row>
    <row r="25" spans="2:11" x14ac:dyDescent="0.25">
      <c r="B25" s="115"/>
      <c r="C25" s="117"/>
      <c r="D25" s="118" t="s">
        <v>43</v>
      </c>
      <c r="E25" s="17">
        <f>mtrx!G34</f>
        <v>4875.2</v>
      </c>
      <c r="F25" s="118"/>
      <c r="G25" s="17">
        <f>E25*F25</f>
        <v>0</v>
      </c>
      <c r="H25" s="17">
        <f>E25-G25</f>
        <v>4875.2</v>
      </c>
      <c r="I25" s="122"/>
      <c r="J25" s="368"/>
      <c r="K25" s="7"/>
    </row>
    <row r="26" spans="2:11" x14ac:dyDescent="0.25">
      <c r="B26" s="115"/>
      <c r="C26" s="117"/>
      <c r="D26" s="118" t="s">
        <v>45</v>
      </c>
      <c r="E26" s="17">
        <f>mtrx!H34</f>
        <v>1218.8</v>
      </c>
      <c r="F26" s="124">
        <f>Fac!I33</f>
        <v>1.9116130014433387E-2</v>
      </c>
      <c r="G26" s="17">
        <f>E26*F26</f>
        <v>23.298739261591411</v>
      </c>
      <c r="H26" s="17">
        <f>E26-G26</f>
        <v>1195.5012607384085</v>
      </c>
      <c r="I26" s="122"/>
      <c r="J26" s="368">
        <f>SUM(H23:H26)</f>
        <v>107186.31959104088</v>
      </c>
      <c r="K26" s="7"/>
    </row>
    <row r="27" spans="2:11" x14ac:dyDescent="0.25">
      <c r="B27" s="115"/>
      <c r="C27" s="117" t="s">
        <v>47</v>
      </c>
      <c r="D27" s="118"/>
      <c r="E27" s="17"/>
      <c r="F27" s="118"/>
      <c r="G27" s="17"/>
      <c r="H27" s="17"/>
      <c r="I27" s="122"/>
      <c r="J27" s="368"/>
      <c r="K27" s="7"/>
    </row>
    <row r="28" spans="2:11" x14ac:dyDescent="0.25">
      <c r="B28" s="115"/>
      <c r="C28" s="117"/>
      <c r="D28" s="118" t="s">
        <v>399</v>
      </c>
      <c r="E28" s="17">
        <f>mtrx!D36</f>
        <v>0</v>
      </c>
      <c r="F28" s="124">
        <f>Fac!$I$29</f>
        <v>9.6794032103931935E-2</v>
      </c>
      <c r="G28" s="17">
        <f t="shared" ref="G28:G34" si="4">E28*F28</f>
        <v>0</v>
      </c>
      <c r="H28" s="17">
        <f t="shared" ref="H28:H34" si="5">E28-G28</f>
        <v>0</v>
      </c>
      <c r="I28" s="122"/>
      <c r="J28" s="368"/>
      <c r="K28" s="7"/>
    </row>
    <row r="29" spans="2:11" x14ac:dyDescent="0.25">
      <c r="B29" s="115"/>
      <c r="C29" s="117"/>
      <c r="D29" s="118" t="s">
        <v>44</v>
      </c>
      <c r="E29" s="17">
        <f>mtrx!F36</f>
        <v>218905.89749999999</v>
      </c>
      <c r="F29" s="124">
        <f>Fac!$I$33</f>
        <v>1.9116130014433387E-2</v>
      </c>
      <c r="G29" s="17">
        <f t="shared" si="4"/>
        <v>4184.6335975362281</v>
      </c>
      <c r="H29" s="17">
        <f t="shared" si="5"/>
        <v>214721.26390246378</v>
      </c>
      <c r="I29" s="122"/>
      <c r="J29" s="368"/>
      <c r="K29" s="7"/>
    </row>
    <row r="30" spans="2:11" x14ac:dyDescent="0.25">
      <c r="B30" s="115"/>
      <c r="C30" s="117"/>
      <c r="D30" s="118" t="s">
        <v>43</v>
      </c>
      <c r="E30" s="17">
        <f>mtrx!G36</f>
        <v>27551.458900000001</v>
      </c>
      <c r="F30" s="118"/>
      <c r="G30" s="17">
        <f t="shared" si="4"/>
        <v>0</v>
      </c>
      <c r="H30" s="17">
        <f t="shared" si="5"/>
        <v>27551.458900000001</v>
      </c>
      <c r="I30" s="122"/>
      <c r="J30" s="368"/>
      <c r="K30" s="7"/>
    </row>
    <row r="31" spans="2:11" x14ac:dyDescent="0.25">
      <c r="B31" s="115"/>
      <c r="C31" s="117"/>
      <c r="D31" s="118" t="s">
        <v>45</v>
      </c>
      <c r="E31" s="17">
        <f>mtrx!H36</f>
        <v>69125</v>
      </c>
      <c r="F31" s="124">
        <f>Fac!$I$33</f>
        <v>1.9116130014433387E-2</v>
      </c>
      <c r="G31" s="17">
        <f t="shared" si="4"/>
        <v>1321.4024872477078</v>
      </c>
      <c r="H31" s="17">
        <f t="shared" si="5"/>
        <v>67803.597512752298</v>
      </c>
      <c r="I31" s="122"/>
      <c r="J31" s="368">
        <f>SUM(H28:H31)</f>
        <v>310076.32031521609</v>
      </c>
      <c r="K31" s="7"/>
    </row>
    <row r="32" spans="2:11" x14ac:dyDescent="0.25">
      <c r="B32" s="115"/>
      <c r="C32" s="117" t="s">
        <v>54</v>
      </c>
      <c r="D32" s="118"/>
      <c r="E32" s="17">
        <f>mtrx!H37+mtrx!H38</f>
        <v>60788.666666666672</v>
      </c>
      <c r="F32" s="124">
        <f>Fac!$I$29</f>
        <v>9.6794032103931935E-2</v>
      </c>
      <c r="G32" s="17">
        <f t="shared" si="4"/>
        <v>5883.9801528885509</v>
      </c>
      <c r="H32" s="17">
        <f t="shared" si="5"/>
        <v>54904.686513778121</v>
      </c>
      <c r="I32" s="122"/>
      <c r="J32" s="369">
        <f>H32</f>
        <v>54904.686513778121</v>
      </c>
      <c r="K32" s="7"/>
    </row>
    <row r="33" spans="2:11" x14ac:dyDescent="0.25">
      <c r="B33" s="115"/>
      <c r="C33" s="117" t="s">
        <v>170</v>
      </c>
      <c r="D33" s="118"/>
      <c r="E33" s="17"/>
      <c r="F33" s="124"/>
      <c r="G33" s="17"/>
      <c r="H33" s="17"/>
      <c r="I33" s="122"/>
      <c r="J33" s="368"/>
      <c r="K33" s="7"/>
    </row>
    <row r="34" spans="2:11" x14ac:dyDescent="0.25">
      <c r="B34" s="115"/>
      <c r="C34" s="117"/>
      <c r="D34" s="118" t="s">
        <v>44</v>
      </c>
      <c r="E34" s="17">
        <f>mtrx!F39</f>
        <v>17405</v>
      </c>
      <c r="F34" s="124">
        <f>Fac!I33</f>
        <v>1.9116130014433387E-2</v>
      </c>
      <c r="G34" s="17">
        <f t="shared" si="4"/>
        <v>332.71624290121309</v>
      </c>
      <c r="H34" s="17">
        <f t="shared" si="5"/>
        <v>17072.283757098787</v>
      </c>
      <c r="I34" s="122"/>
      <c r="J34" s="369">
        <f>H34</f>
        <v>17072.283757098787</v>
      </c>
      <c r="K34" s="7"/>
    </row>
    <row r="35" spans="2:11" x14ac:dyDescent="0.25">
      <c r="B35" s="115"/>
      <c r="C35" s="117" t="s">
        <v>414</v>
      </c>
      <c r="D35" s="118"/>
      <c r="E35" s="17"/>
      <c r="F35" s="124"/>
      <c r="G35" s="17"/>
      <c r="H35" s="17"/>
      <c r="I35" s="122"/>
      <c r="J35" s="368"/>
      <c r="K35" s="7"/>
    </row>
    <row r="36" spans="2:11" x14ac:dyDescent="0.25">
      <c r="B36" s="115"/>
      <c r="C36" s="117"/>
      <c r="D36" s="118" t="s">
        <v>44</v>
      </c>
      <c r="E36" s="17">
        <f>mtrx!F41</f>
        <v>7222</v>
      </c>
      <c r="F36" s="124">
        <f>Fac!$I$29</f>
        <v>9.6794032103931935E-2</v>
      </c>
      <c r="G36" s="17">
        <f t="shared" ref="G36:G37" si="6">E36*F36</f>
        <v>699.04649985459639</v>
      </c>
      <c r="H36" s="17">
        <f t="shared" ref="H36:H37" si="7">E36-G36</f>
        <v>6522.9535001454033</v>
      </c>
      <c r="I36" s="122"/>
      <c r="J36" s="368"/>
      <c r="K36" s="7"/>
    </row>
    <row r="37" spans="2:11" x14ac:dyDescent="0.25">
      <c r="B37" s="115"/>
      <c r="C37" s="117"/>
      <c r="D37" s="118" t="s">
        <v>45</v>
      </c>
      <c r="E37" s="17">
        <f>mtrx!H41</f>
        <v>4470</v>
      </c>
      <c r="F37" s="124">
        <f>Fac!$I$33</f>
        <v>1.9116130014433387E-2</v>
      </c>
      <c r="G37" s="17">
        <f t="shared" si="6"/>
        <v>85.449101164517245</v>
      </c>
      <c r="H37" s="17">
        <f t="shared" si="7"/>
        <v>4384.5508988354832</v>
      </c>
      <c r="I37" s="122"/>
      <c r="J37" s="368">
        <f>SUM(H36:H37)</f>
        <v>10907.504398980887</v>
      </c>
      <c r="K37" s="7"/>
    </row>
    <row r="38" spans="2:11" x14ac:dyDescent="0.25">
      <c r="B38" s="115"/>
      <c r="C38" s="117" t="s">
        <v>48</v>
      </c>
      <c r="D38" s="118"/>
      <c r="E38" s="17"/>
      <c r="F38" s="124"/>
      <c r="G38" s="17"/>
      <c r="H38" s="17"/>
      <c r="I38" s="122"/>
      <c r="J38" s="368"/>
      <c r="K38" s="7"/>
    </row>
    <row r="39" spans="2:11" x14ac:dyDescent="0.25">
      <c r="B39" s="115"/>
      <c r="C39" s="117"/>
      <c r="D39" s="118" t="s">
        <v>44</v>
      </c>
      <c r="E39" s="17">
        <f>mtrx!F43</f>
        <v>42402</v>
      </c>
      <c r="F39" s="124">
        <f>Fac!$I$29</f>
        <v>9.6794032103931935E-2</v>
      </c>
      <c r="G39" s="17">
        <f t="shared" ref="G39:G41" si="8">E39*F39</f>
        <v>4104.2605492709217</v>
      </c>
      <c r="H39" s="17">
        <f t="shared" ref="H39:H41" si="9">E39-G39</f>
        <v>38297.739450729081</v>
      </c>
      <c r="I39" s="122"/>
      <c r="J39" s="368"/>
      <c r="K39" s="7"/>
    </row>
    <row r="40" spans="2:11" x14ac:dyDescent="0.25">
      <c r="B40" s="115"/>
      <c r="C40" s="117"/>
      <c r="D40" s="118" t="s">
        <v>43</v>
      </c>
      <c r="E40" s="17">
        <f>mtrx!G43</f>
        <v>7327</v>
      </c>
      <c r="F40" s="124"/>
      <c r="G40" s="17">
        <f t="shared" si="8"/>
        <v>0</v>
      </c>
      <c r="H40" s="17">
        <f t="shared" si="9"/>
        <v>7327</v>
      </c>
      <c r="I40" s="122"/>
      <c r="J40" s="368"/>
      <c r="K40" s="7"/>
    </row>
    <row r="41" spans="2:11" x14ac:dyDescent="0.25">
      <c r="B41" s="115"/>
      <c r="C41" s="117"/>
      <c r="D41" s="118" t="s">
        <v>45</v>
      </c>
      <c r="E41" s="17">
        <f>mtrx!H43</f>
        <v>5923</v>
      </c>
      <c r="F41" s="124">
        <f>Fac!$I$33</f>
        <v>1.9116130014433387E-2</v>
      </c>
      <c r="G41" s="17">
        <f t="shared" si="8"/>
        <v>113.22483807548895</v>
      </c>
      <c r="H41" s="17">
        <f t="shared" si="9"/>
        <v>5809.7751619245109</v>
      </c>
      <c r="I41" s="122"/>
      <c r="J41" s="368">
        <f>SUM(H39:H41)</f>
        <v>51434.514612653591</v>
      </c>
      <c r="K41" s="7"/>
    </row>
    <row r="42" spans="2:11" x14ac:dyDescent="0.25">
      <c r="B42" s="115"/>
      <c r="C42" s="117" t="s">
        <v>424</v>
      </c>
      <c r="D42" s="118"/>
      <c r="E42" s="17"/>
      <c r="F42" s="124"/>
      <c r="G42" s="17"/>
      <c r="H42" s="17"/>
      <c r="I42" s="122"/>
      <c r="J42" s="368"/>
      <c r="K42" s="7"/>
    </row>
    <row r="43" spans="2:11" x14ac:dyDescent="0.25">
      <c r="B43" s="115"/>
      <c r="C43" s="117"/>
      <c r="D43" s="118" t="s">
        <v>44</v>
      </c>
      <c r="E43" s="17">
        <f>mtrx!F44</f>
        <v>19271</v>
      </c>
      <c r="F43" s="124">
        <f>Fac!$I$29</f>
        <v>9.6794032103931935E-2</v>
      </c>
      <c r="G43" s="17">
        <f t="shared" ref="G43:G44" si="10">E43*F43</f>
        <v>1865.3177926748724</v>
      </c>
      <c r="H43" s="17">
        <f t="shared" ref="H43:H44" si="11">E43-G43</f>
        <v>17405.682207325128</v>
      </c>
      <c r="I43" s="122"/>
      <c r="J43" s="368"/>
      <c r="K43" s="7"/>
    </row>
    <row r="44" spans="2:11" x14ac:dyDescent="0.25">
      <c r="B44" s="115"/>
      <c r="C44" s="117"/>
      <c r="D44" s="118" t="s">
        <v>43</v>
      </c>
      <c r="E44" s="17">
        <f>mtrx!G44</f>
        <v>9719</v>
      </c>
      <c r="F44" s="118"/>
      <c r="G44" s="17">
        <f t="shared" si="10"/>
        <v>0</v>
      </c>
      <c r="H44" s="17">
        <f t="shared" si="11"/>
        <v>9719</v>
      </c>
      <c r="I44" s="122"/>
      <c r="J44" s="368"/>
      <c r="K44" s="7"/>
    </row>
    <row r="45" spans="2:11" x14ac:dyDescent="0.25">
      <c r="B45" s="115"/>
      <c r="C45" s="117"/>
      <c r="D45" s="118" t="s">
        <v>45</v>
      </c>
      <c r="E45" s="17">
        <f>mtrx!H44</f>
        <v>6871</v>
      </c>
      <c r="F45" s="124">
        <f>Fac!$I$33</f>
        <v>1.9116130014433387E-2</v>
      </c>
      <c r="G45" s="17">
        <f t="shared" ref="G45" si="12">E45*F45</f>
        <v>131.34692932917181</v>
      </c>
      <c r="H45" s="17">
        <f t="shared" ref="H45" si="13">E45-G45</f>
        <v>6739.6530706708281</v>
      </c>
      <c r="I45" s="122"/>
      <c r="J45" s="368">
        <f>SUM(H43:H45)</f>
        <v>33864.335277995953</v>
      </c>
      <c r="K45" s="7"/>
    </row>
    <row r="46" spans="2:11" x14ac:dyDescent="0.25">
      <c r="B46" s="115"/>
      <c r="C46" s="117" t="s">
        <v>172</v>
      </c>
      <c r="D46" s="118"/>
      <c r="E46" s="17"/>
      <c r="F46" s="118"/>
      <c r="G46" s="17"/>
      <c r="H46" s="17"/>
      <c r="I46" s="122"/>
      <c r="J46" s="368"/>
      <c r="K46" s="7"/>
    </row>
    <row r="47" spans="2:11" x14ac:dyDescent="0.25">
      <c r="B47" s="115"/>
      <c r="C47" s="117"/>
      <c r="D47" s="118" t="s">
        <v>44</v>
      </c>
      <c r="E47" s="17">
        <f>mtrx!F45</f>
        <v>5362</v>
      </c>
      <c r="F47" s="124">
        <f>Fac!$I$33</f>
        <v>1.9116130014433387E-2</v>
      </c>
      <c r="G47" s="17">
        <f t="shared" ref="G47:G51" si="14">E47*F47</f>
        <v>102.50068913739182</v>
      </c>
      <c r="H47" s="17">
        <f t="shared" ref="H47:H51" si="15">E47-G47</f>
        <v>5259.4993108626086</v>
      </c>
      <c r="I47" s="122"/>
      <c r="J47" s="368"/>
      <c r="K47" s="7"/>
    </row>
    <row r="48" spans="2:11" x14ac:dyDescent="0.25">
      <c r="B48" s="115"/>
      <c r="C48" s="117"/>
      <c r="D48" s="118" t="s">
        <v>43</v>
      </c>
      <c r="E48" s="17">
        <f>mtrx!G45</f>
        <v>2694</v>
      </c>
      <c r="F48" s="118"/>
      <c r="G48" s="17">
        <f t="shared" si="14"/>
        <v>0</v>
      </c>
      <c r="H48" s="17">
        <f t="shared" si="15"/>
        <v>2694</v>
      </c>
      <c r="I48" s="122"/>
      <c r="J48" s="368"/>
      <c r="K48" s="7"/>
    </row>
    <row r="49" spans="2:11" x14ac:dyDescent="0.25">
      <c r="B49" s="115"/>
      <c r="C49" s="117"/>
      <c r="D49" s="118" t="s">
        <v>45</v>
      </c>
      <c r="E49" s="17">
        <f>mtrx!H45</f>
        <v>1883</v>
      </c>
      <c r="F49" s="124">
        <f>Fac!$I$33</f>
        <v>1.9116130014433387E-2</v>
      </c>
      <c r="G49" s="17">
        <f t="shared" si="14"/>
        <v>35.995672817178068</v>
      </c>
      <c r="H49" s="17">
        <f t="shared" si="15"/>
        <v>1847.004327182822</v>
      </c>
      <c r="I49" s="122"/>
      <c r="J49" s="368">
        <f>SUM(H47:H49)</f>
        <v>9800.5036380454312</v>
      </c>
      <c r="K49" s="7"/>
    </row>
    <row r="50" spans="2:11" x14ac:dyDescent="0.25">
      <c r="B50" s="115"/>
      <c r="C50" s="117" t="s">
        <v>191</v>
      </c>
      <c r="D50" s="118"/>
      <c r="E50" s="17">
        <f>mtrx!H47</f>
        <v>4390</v>
      </c>
      <c r="F50" s="124">
        <f>Fac!$I$33</f>
        <v>1.9116130014433387E-2</v>
      </c>
      <c r="G50" s="17">
        <f t="shared" si="14"/>
        <v>83.919810763362563</v>
      </c>
      <c r="H50" s="17">
        <f t="shared" si="15"/>
        <v>4306.0801892366371</v>
      </c>
      <c r="I50" s="122"/>
      <c r="J50" s="369">
        <f t="shared" ref="J50:J51" si="16">H50</f>
        <v>4306.0801892366371</v>
      </c>
      <c r="K50" s="7"/>
    </row>
    <row r="51" spans="2:11" x14ac:dyDescent="0.25">
      <c r="B51" s="115"/>
      <c r="C51" s="117" t="s">
        <v>192</v>
      </c>
      <c r="D51" s="118"/>
      <c r="E51" s="17">
        <f>mtrx!G48</f>
        <v>6870</v>
      </c>
      <c r="F51" s="124"/>
      <c r="G51" s="17">
        <f t="shared" si="14"/>
        <v>0</v>
      </c>
      <c r="H51" s="17">
        <f t="shared" si="15"/>
        <v>6870</v>
      </c>
      <c r="I51" s="122"/>
      <c r="J51" s="369">
        <f t="shared" si="16"/>
        <v>6870</v>
      </c>
      <c r="K51" s="7"/>
    </row>
    <row r="52" spans="2:11" x14ac:dyDescent="0.25">
      <c r="B52" s="115"/>
      <c r="C52" s="117" t="s">
        <v>173</v>
      </c>
      <c r="D52" s="118"/>
      <c r="E52" s="17"/>
      <c r="F52" s="118"/>
      <c r="G52" s="17"/>
      <c r="H52" s="17"/>
      <c r="I52" s="122"/>
      <c r="J52" s="368"/>
      <c r="K52" s="7"/>
    </row>
    <row r="53" spans="2:11" x14ac:dyDescent="0.25">
      <c r="B53" s="115"/>
      <c r="C53" s="117"/>
      <c r="D53" s="118" t="s">
        <v>44</v>
      </c>
      <c r="E53" s="17">
        <f>mtrx!F49</f>
        <v>19919</v>
      </c>
      <c r="F53" s="124">
        <f>Fac!$I$29</f>
        <v>9.6794032103931935E-2</v>
      </c>
      <c r="G53" s="17">
        <f t="shared" ref="G53" si="17">E53*F53</f>
        <v>1928.0403254782202</v>
      </c>
      <c r="H53" s="17">
        <f t="shared" ref="H53" si="18">E53-G53</f>
        <v>17990.959674521779</v>
      </c>
      <c r="I53" s="122"/>
      <c r="J53" s="368"/>
      <c r="K53" s="101"/>
    </row>
    <row r="54" spans="2:11" x14ac:dyDescent="0.25">
      <c r="B54" s="115"/>
      <c r="C54" s="117"/>
      <c r="D54" s="118" t="s">
        <v>43</v>
      </c>
      <c r="E54" s="17">
        <f>mtrx!G49</f>
        <v>10024</v>
      </c>
      <c r="F54" s="124"/>
      <c r="G54" s="17">
        <f>E54*F54</f>
        <v>0</v>
      </c>
      <c r="H54" s="17">
        <f>E54-G54</f>
        <v>10024</v>
      </c>
      <c r="I54" s="122"/>
      <c r="J54" s="368"/>
      <c r="K54" s="7"/>
    </row>
    <row r="55" spans="2:11" x14ac:dyDescent="0.25">
      <c r="B55" s="115"/>
      <c r="C55" s="117"/>
      <c r="D55" s="118" t="s">
        <v>45</v>
      </c>
      <c r="E55" s="17">
        <f>mtrx!H49</f>
        <v>7105</v>
      </c>
      <c r="F55" s="124">
        <f>Fac!$I$33</f>
        <v>1.9116130014433387E-2</v>
      </c>
      <c r="G55" s="17">
        <f>E55*F55</f>
        <v>135.82010375254922</v>
      </c>
      <c r="H55" s="17">
        <f>E55-G55</f>
        <v>6969.1798962474504</v>
      </c>
      <c r="I55" s="122"/>
      <c r="J55" s="368">
        <f>SUM(H53:H55)</f>
        <v>34984.139570769228</v>
      </c>
      <c r="K55" s="7"/>
    </row>
    <row r="56" spans="2:11" ht="3.95" customHeight="1" x14ac:dyDescent="0.25">
      <c r="B56" s="115"/>
      <c r="C56" s="117"/>
      <c r="D56" s="118"/>
      <c r="E56" s="17"/>
      <c r="F56" s="118"/>
      <c r="G56" s="17"/>
      <c r="H56" s="17"/>
      <c r="I56" s="122"/>
      <c r="J56" s="368"/>
      <c r="K56" s="7"/>
    </row>
    <row r="57" spans="2:11" x14ac:dyDescent="0.25">
      <c r="B57" s="115"/>
      <c r="C57" s="125" t="s">
        <v>0</v>
      </c>
      <c r="D57" s="118"/>
      <c r="E57" s="17">
        <f>SUM(E11:E56)</f>
        <v>5240064.1772870468</v>
      </c>
      <c r="F57" s="118"/>
      <c r="G57" s="17">
        <f>SUM(G11:G56)</f>
        <v>393451.36246526329</v>
      </c>
      <c r="H57" s="17">
        <f>SUM(H11:H56)</f>
        <v>4846612.8148217835</v>
      </c>
      <c r="I57" s="122"/>
      <c r="J57" s="368">
        <f>SUM(J14:J55)</f>
        <v>4846612.8148217825</v>
      </c>
      <c r="K57" s="7">
        <f>H57+G57</f>
        <v>5240064.1772870468</v>
      </c>
    </row>
    <row r="58" spans="2:11" ht="3.95" customHeight="1" x14ac:dyDescent="0.25">
      <c r="B58" s="115"/>
      <c r="C58" s="117"/>
      <c r="D58" s="118"/>
      <c r="E58" s="17"/>
      <c r="F58" s="118"/>
      <c r="G58" s="17"/>
      <c r="H58" s="17"/>
      <c r="I58" s="122"/>
      <c r="J58" s="368"/>
      <c r="K58" s="7"/>
    </row>
    <row r="59" spans="2:11" x14ac:dyDescent="0.25">
      <c r="B59" s="115"/>
      <c r="C59" s="117" t="s">
        <v>25</v>
      </c>
      <c r="D59" s="118"/>
      <c r="E59" s="17"/>
      <c r="F59" s="118"/>
      <c r="G59" s="17"/>
      <c r="H59" s="17"/>
      <c r="I59" s="122"/>
      <c r="J59" s="368"/>
      <c r="K59" s="7"/>
    </row>
    <row r="60" spans="2:11" x14ac:dyDescent="0.25">
      <c r="B60" s="115"/>
      <c r="C60" s="117"/>
      <c r="D60" s="118" t="s">
        <v>399</v>
      </c>
      <c r="E60" s="17">
        <f>Al_DepW!D26</f>
        <v>27529.237654984106</v>
      </c>
      <c r="F60" s="124">
        <f>Fac!$I$29</f>
        <v>9.6794032103931935E-2</v>
      </c>
      <c r="G60" s="17">
        <f>E60*F60</f>
        <v>2664.6659133733033</v>
      </c>
      <c r="H60" s="17">
        <f>E60-G60</f>
        <v>24864.571741610802</v>
      </c>
      <c r="I60" s="122"/>
      <c r="J60" s="368"/>
      <c r="K60" s="7"/>
    </row>
    <row r="61" spans="2:11" x14ac:dyDescent="0.25">
      <c r="B61" s="115"/>
      <c r="C61" s="117"/>
      <c r="D61" s="117" t="s">
        <v>50</v>
      </c>
      <c r="E61" s="17">
        <f>Al_DepW!E26</f>
        <v>310990.15003223193</v>
      </c>
      <c r="F61" s="124">
        <f>Fac!$I$33</f>
        <v>1.9116130014433387E-2</v>
      </c>
      <c r="G61" s="17">
        <f>E61*F61</f>
        <v>5944.9281412242908</v>
      </c>
      <c r="H61" s="17">
        <f>E61-G61</f>
        <v>305045.22189100762</v>
      </c>
      <c r="I61" s="122"/>
      <c r="J61" s="368"/>
      <c r="K61" s="7"/>
    </row>
    <row r="62" spans="2:11" x14ac:dyDescent="0.25">
      <c r="B62" s="115"/>
      <c r="C62" s="117"/>
      <c r="D62" s="117" t="s">
        <v>179</v>
      </c>
      <c r="E62" s="17">
        <f>Al_DepW!F26</f>
        <v>150196.96685219585</v>
      </c>
      <c r="F62" s="124">
        <f>Fac!$I$37</f>
        <v>0.10914455789987569</v>
      </c>
      <c r="G62" s="17">
        <f>E62*F62</f>
        <v>16393.1815449852</v>
      </c>
      <c r="H62" s="17">
        <f>E62-G62</f>
        <v>133803.78530721064</v>
      </c>
      <c r="I62" s="122"/>
      <c r="J62" s="368"/>
      <c r="K62" s="7"/>
    </row>
    <row r="63" spans="2:11" x14ac:dyDescent="0.25">
      <c r="B63" s="115"/>
      <c r="C63" s="117"/>
      <c r="D63" s="118" t="s">
        <v>45</v>
      </c>
      <c r="E63" s="17">
        <f>Al_DepW!G26</f>
        <v>10453.228078782286</v>
      </c>
      <c r="F63" s="124">
        <f>Fac!$I$33</f>
        <v>1.9116130014433387E-2</v>
      </c>
      <c r="G63" s="17">
        <f>E63*F63</f>
        <v>199.8252670245279</v>
      </c>
      <c r="H63" s="17">
        <f>E63-G63</f>
        <v>10253.402811757758</v>
      </c>
      <c r="I63" s="122"/>
      <c r="J63" s="368"/>
      <c r="K63" s="7"/>
    </row>
    <row r="64" spans="2:11" x14ac:dyDescent="0.25">
      <c r="B64" s="115"/>
      <c r="C64" s="117"/>
      <c r="D64" s="118" t="s">
        <v>31</v>
      </c>
      <c r="E64" s="17">
        <f>Al_DepW!H26</f>
        <v>278248.88333974232</v>
      </c>
      <c r="F64" s="118"/>
      <c r="G64" s="17">
        <f>E64*F64</f>
        <v>0</v>
      </c>
      <c r="H64" s="17">
        <f>E64-G64</f>
        <v>278248.88333974232</v>
      </c>
      <c r="I64" s="122"/>
      <c r="J64" s="368">
        <f>SUM(H60:H64)</f>
        <v>752215.86509132921</v>
      </c>
      <c r="K64" s="7">
        <f>SUM(E60:E64)</f>
        <v>777418.46595793648</v>
      </c>
    </row>
    <row r="65" spans="2:12" x14ac:dyDescent="0.25">
      <c r="B65" s="115"/>
      <c r="C65" s="117" t="s">
        <v>425</v>
      </c>
      <c r="D65" s="118"/>
      <c r="E65" s="17"/>
      <c r="F65" s="118"/>
      <c r="G65" s="17"/>
      <c r="H65" s="17"/>
      <c r="I65" s="122"/>
      <c r="J65" s="368"/>
    </row>
    <row r="66" spans="2:12" x14ac:dyDescent="0.25">
      <c r="B66" s="115"/>
      <c r="C66" s="117"/>
      <c r="D66" s="118" t="s">
        <v>399</v>
      </c>
      <c r="E66" s="17">
        <f>Al_Plt!D32</f>
        <v>23928.430964349278</v>
      </c>
      <c r="F66" s="124">
        <f>Fac!$I$29</f>
        <v>9.6794032103931935E-2</v>
      </c>
      <c r="G66" s="17">
        <f>E66*F66</f>
        <v>2316.1293149599428</v>
      </c>
      <c r="H66" s="17">
        <f>E66-G66</f>
        <v>21612.301649389334</v>
      </c>
      <c r="I66" s="122"/>
      <c r="J66" s="368"/>
      <c r="K66" s="7"/>
    </row>
    <row r="67" spans="2:12" x14ac:dyDescent="0.25">
      <c r="B67" s="115"/>
      <c r="C67" s="117"/>
      <c r="D67" s="117" t="s">
        <v>50</v>
      </c>
      <c r="E67" s="17">
        <f>Al_Plt!E32</f>
        <v>417019.57320622011</v>
      </c>
      <c r="F67" s="124">
        <f>Fac!$I$33</f>
        <v>1.9116130014433387E-2</v>
      </c>
      <c r="G67" s="17">
        <f t="shared" ref="G67:G70" si="19">E67*F67</f>
        <v>7971.8003799736252</v>
      </c>
      <c r="H67" s="17">
        <f t="shared" ref="H67:H70" si="20">E67-G67</f>
        <v>409047.77282624651</v>
      </c>
      <c r="I67" s="122"/>
      <c r="J67" s="368"/>
      <c r="K67" s="370">
        <f>J57+J64</f>
        <v>5598828.679913112</v>
      </c>
    </row>
    <row r="68" spans="2:12" x14ac:dyDescent="0.25">
      <c r="B68" s="115"/>
      <c r="C68" s="117"/>
      <c r="D68" s="117" t="s">
        <v>179</v>
      </c>
      <c r="E68" s="17">
        <f>Al_Plt!F32</f>
        <v>139570.3709358896</v>
      </c>
      <c r="F68" s="124">
        <f>Fac!$I$37</f>
        <v>0.10914455789987569</v>
      </c>
      <c r="G68" s="17">
        <f t="shared" si="19"/>
        <v>15233.34643171933</v>
      </c>
      <c r="H68" s="17">
        <f t="shared" si="20"/>
        <v>124337.02450417027</v>
      </c>
      <c r="I68" s="122"/>
      <c r="J68" s="368"/>
      <c r="K68" s="7"/>
    </row>
    <row r="69" spans="2:12" x14ac:dyDescent="0.25">
      <c r="B69" s="115"/>
      <c r="C69" s="117"/>
      <c r="D69" s="118" t="s">
        <v>45</v>
      </c>
      <c r="E69" s="17">
        <f>Al_Plt!G32</f>
        <v>9807.1692131357922</v>
      </c>
      <c r="F69" s="124">
        <f>Fac!$I$33</f>
        <v>1.9116130014433387E-2</v>
      </c>
      <c r="G69" s="17">
        <f t="shared" si="19"/>
        <v>187.47512175185219</v>
      </c>
      <c r="H69" s="17">
        <f t="shared" si="20"/>
        <v>9619.6940913839408</v>
      </c>
      <c r="I69" s="122"/>
      <c r="J69" s="368"/>
      <c r="K69" s="7"/>
    </row>
    <row r="70" spans="2:12" x14ac:dyDescent="0.25">
      <c r="B70" s="115"/>
      <c r="C70" s="117"/>
      <c r="D70" s="118" t="s">
        <v>31</v>
      </c>
      <c r="E70" s="17">
        <f>Al_Plt!H32</f>
        <v>230635.39557360529</v>
      </c>
      <c r="F70" s="118"/>
      <c r="G70" s="17">
        <f t="shared" si="19"/>
        <v>0</v>
      </c>
      <c r="H70" s="17">
        <f t="shared" si="20"/>
        <v>230635.39557360529</v>
      </c>
      <c r="I70" s="122"/>
      <c r="J70" s="368">
        <f>SUM(H66:H70)</f>
        <v>795252.18864479533</v>
      </c>
      <c r="K70" s="7">
        <f>SUM(E66:E70)</f>
        <v>820960.93989320018</v>
      </c>
    </row>
    <row r="71" spans="2:12" ht="3.95" customHeight="1" x14ac:dyDescent="0.25">
      <c r="B71" s="115"/>
      <c r="C71" s="117"/>
      <c r="D71" s="118"/>
      <c r="E71" s="17"/>
      <c r="F71" s="118"/>
      <c r="G71" s="17"/>
      <c r="H71" s="17"/>
      <c r="I71" s="122"/>
      <c r="K71" s="7"/>
    </row>
    <row r="72" spans="2:12" x14ac:dyDescent="0.25">
      <c r="B72" s="115"/>
      <c r="C72" s="125" t="s">
        <v>171</v>
      </c>
      <c r="D72" s="117"/>
      <c r="E72" s="17">
        <f>SUM(E60:E70)+E57</f>
        <v>6838443.5831381837</v>
      </c>
      <c r="F72" s="118"/>
      <c r="G72" s="17">
        <f>SUM(G60:G70)+G57</f>
        <v>444362.71458027535</v>
      </c>
      <c r="H72" s="17">
        <f>SUM(H60:H70)+H57</f>
        <v>6394080.8685579076</v>
      </c>
      <c r="I72" s="122"/>
      <c r="J72" s="2">
        <f>SUM(J57:J70)</f>
        <v>6394080.8685579076</v>
      </c>
      <c r="K72" s="7"/>
      <c r="L72" s="366">
        <f>G72+H72</f>
        <v>6838443.5831381828</v>
      </c>
    </row>
    <row r="73" spans="2:12" ht="3.95" customHeight="1" x14ac:dyDescent="0.25">
      <c r="B73" s="115"/>
      <c r="C73" s="117"/>
      <c r="D73" s="118"/>
      <c r="E73" s="118"/>
      <c r="F73" s="118"/>
      <c r="G73" s="118"/>
      <c r="H73" s="118"/>
      <c r="I73" s="122"/>
      <c r="K73" s="7"/>
    </row>
    <row r="74" spans="2:12" x14ac:dyDescent="0.25">
      <c r="B74" s="115"/>
      <c r="C74" s="117"/>
      <c r="D74" s="118" t="s">
        <v>51</v>
      </c>
      <c r="E74" s="118"/>
      <c r="F74" s="118"/>
      <c r="G74" s="118">
        <f>Resale!E15/1000</f>
        <v>106419</v>
      </c>
      <c r="H74" s="126"/>
      <c r="I74" s="127"/>
      <c r="K74" s="7"/>
    </row>
    <row r="75" spans="2:12" ht="3.95" customHeight="1" x14ac:dyDescent="0.25">
      <c r="B75" s="115"/>
      <c r="C75" s="117"/>
      <c r="D75" s="118"/>
      <c r="E75" s="118"/>
      <c r="F75" s="118"/>
      <c r="G75" s="118"/>
      <c r="H75" s="118"/>
      <c r="I75" s="122"/>
      <c r="K75" s="7"/>
    </row>
    <row r="76" spans="2:12" ht="16.5" thickBot="1" x14ac:dyDescent="0.3">
      <c r="B76" s="115"/>
      <c r="C76" s="128" t="s">
        <v>52</v>
      </c>
      <c r="D76" s="129"/>
      <c r="E76" s="129"/>
      <c r="F76" s="129"/>
      <c r="G76" s="130">
        <f>ROUND(G72/G74,2)</f>
        <v>4.18</v>
      </c>
      <c r="H76" s="131"/>
      <c r="I76" s="132"/>
      <c r="J76" s="366">
        <f>(G76-3.13)/3.13</f>
        <v>0.33546325878594246</v>
      </c>
      <c r="K76" s="92"/>
    </row>
    <row r="77" spans="2:12" ht="8.1" customHeight="1" thickTop="1" x14ac:dyDescent="0.25">
      <c r="B77" s="133"/>
      <c r="C77" s="81"/>
      <c r="D77" s="60"/>
      <c r="E77" s="60"/>
      <c r="F77" s="60"/>
      <c r="G77" s="134"/>
      <c r="H77" s="60"/>
      <c r="I77" s="135"/>
      <c r="K77" s="7"/>
    </row>
    <row r="79" spans="2:12" x14ac:dyDescent="0.25">
      <c r="E79" s="7"/>
      <c r="H79" s="7">
        <f>SUM(H60:H64)</f>
        <v>752215.86509132921</v>
      </c>
    </row>
    <row r="80" spans="2:12" x14ac:dyDescent="0.25">
      <c r="E80" s="7"/>
      <c r="G80" s="19">
        <f>G76*G74</f>
        <v>444831.42</v>
      </c>
      <c r="H80" s="7">
        <f>H79+H57</f>
        <v>5598828.6799131129</v>
      </c>
      <c r="I80" s="7"/>
    </row>
    <row r="81" spans="5:7" x14ac:dyDescent="0.25">
      <c r="E81" s="136"/>
      <c r="G81" s="62"/>
    </row>
    <row r="88" spans="5:7" ht="9.9499999999999993" customHeight="1" x14ac:dyDescent="0.25"/>
    <row r="91" spans="5:7" ht="3" customHeight="1" x14ac:dyDescent="0.25"/>
  </sheetData>
  <mergeCells count="2">
    <mergeCell ref="C3:H3"/>
    <mergeCell ref="C5:H5"/>
  </mergeCells>
  <printOptions horizontalCentered="1"/>
  <pageMargins left="0.7" right="0.45" top="1" bottom="0.75" header="0.3" footer="0.3"/>
  <pageSetup scale="87" fitToHeight="2" orientation="portrait" r:id="rId1"/>
  <headerFooter>
    <oddFooter>&amp;CPage &amp;P of &amp;N</oddFooter>
  </headerFooter>
  <rowBreaks count="1" manualBreakCount="1">
    <brk id="49" min="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O36"/>
  <sheetViews>
    <sheetView workbookViewId="0"/>
    <sheetView workbookViewId="1"/>
  </sheetViews>
  <sheetFormatPr defaultColWidth="8.88671875" defaultRowHeight="15" x14ac:dyDescent="0.25"/>
  <cols>
    <col min="1" max="1" width="1.77734375" style="19" customWidth="1"/>
    <col min="2" max="2" width="26.109375" style="19" customWidth="1"/>
    <col min="3" max="3" width="10.21875" style="19" bestFit="1" customWidth="1"/>
    <col min="4" max="4" width="8.88671875" style="19"/>
    <col min="5" max="7" width="9" style="19" bestFit="1" customWidth="1"/>
    <col min="8" max="8" width="1.77734375" style="19" customWidth="1"/>
    <col min="9" max="16384" width="8.88671875" style="19"/>
  </cols>
  <sheetData>
    <row r="2" spans="1:10" x14ac:dyDescent="0.25">
      <c r="A2" s="22"/>
      <c r="B2" s="23"/>
      <c r="C2" s="23"/>
      <c r="D2" s="23"/>
      <c r="E2" s="23"/>
      <c r="F2" s="23"/>
      <c r="G2" s="23"/>
      <c r="H2" s="24"/>
    </row>
    <row r="3" spans="1:10" ht="18.75" customHeight="1" x14ac:dyDescent="0.3">
      <c r="A3" s="25"/>
      <c r="B3" s="477" t="s">
        <v>117</v>
      </c>
      <c r="C3" s="477"/>
      <c r="D3" s="477"/>
      <c r="E3" s="477"/>
      <c r="F3" s="477"/>
      <c r="G3" s="477"/>
      <c r="H3" s="26"/>
    </row>
    <row r="4" spans="1:10" ht="18.75" customHeight="1" x14ac:dyDescent="0.3">
      <c r="A4" s="25"/>
      <c r="B4" s="483" t="s">
        <v>99</v>
      </c>
      <c r="C4" s="483"/>
      <c r="D4" s="483"/>
      <c r="E4" s="483"/>
      <c r="F4" s="483"/>
      <c r="G4" s="483"/>
      <c r="H4" s="26"/>
    </row>
    <row r="5" spans="1:10" ht="18.75" customHeight="1" x14ac:dyDescent="0.25">
      <c r="A5" s="25"/>
      <c r="B5" s="476" t="s">
        <v>242</v>
      </c>
      <c r="C5" s="476"/>
      <c r="D5" s="476"/>
      <c r="E5" s="476"/>
      <c r="F5" s="476"/>
      <c r="G5" s="476"/>
      <c r="H5" s="26"/>
    </row>
    <row r="6" spans="1:10" ht="9.9499999999999993" customHeight="1" x14ac:dyDescent="0.25">
      <c r="A6" s="29"/>
      <c r="B6" s="451"/>
      <c r="C6" s="451"/>
      <c r="D6" s="451"/>
      <c r="E6" s="451"/>
      <c r="F6" s="451"/>
      <c r="G6" s="451"/>
      <c r="H6" s="30"/>
    </row>
    <row r="7" spans="1:10" x14ac:dyDescent="0.25">
      <c r="A7" s="25"/>
      <c r="B7" s="17"/>
      <c r="C7" s="17"/>
      <c r="D7" s="17"/>
      <c r="E7" s="17"/>
      <c r="F7" s="17"/>
      <c r="G7" s="17"/>
      <c r="H7" s="26"/>
    </row>
    <row r="8" spans="1:10" x14ac:dyDescent="0.25">
      <c r="A8" s="25"/>
      <c r="B8" s="17"/>
      <c r="C8" s="20" t="s">
        <v>16</v>
      </c>
      <c r="D8" s="20"/>
      <c r="E8" s="20"/>
      <c r="F8" s="20"/>
      <c r="G8" s="20" t="s">
        <v>93</v>
      </c>
      <c r="H8" s="26"/>
    </row>
    <row r="9" spans="1:10" x14ac:dyDescent="0.25">
      <c r="A9" s="25"/>
      <c r="B9" s="17"/>
      <c r="C9" s="20" t="s">
        <v>33</v>
      </c>
      <c r="D9" s="20" t="s">
        <v>34</v>
      </c>
      <c r="E9" s="20" t="s">
        <v>35</v>
      </c>
      <c r="F9" s="20" t="s">
        <v>31</v>
      </c>
      <c r="G9" s="20" t="s">
        <v>56</v>
      </c>
      <c r="H9" s="26"/>
    </row>
    <row r="10" spans="1:10" x14ac:dyDescent="0.25">
      <c r="A10" s="25"/>
      <c r="B10" s="6" t="s">
        <v>42</v>
      </c>
      <c r="C10" s="17">
        <f>SUM(D10:G10)</f>
        <v>811040.93161432398</v>
      </c>
      <c r="D10" s="17">
        <f>Whol!H11*0.67</f>
        <v>40995.441096186107</v>
      </c>
      <c r="E10" s="17">
        <f>Whol!H11-D10+Whol!H12</f>
        <v>396738.81051804562</v>
      </c>
      <c r="F10" s="17">
        <f>Whol!H13</f>
        <v>234113.91296356145</v>
      </c>
      <c r="G10" s="17">
        <f>Whol!H14</f>
        <v>139192.76703653083</v>
      </c>
      <c r="H10" s="26"/>
      <c r="J10" s="34"/>
    </row>
    <row r="11" spans="1:10" x14ac:dyDescent="0.25">
      <c r="A11" s="25"/>
      <c r="B11" s="6" t="s">
        <v>46</v>
      </c>
      <c r="C11" s="17">
        <f t="shared" ref="C11:C24" si="0">SUM(D11:G11)</f>
        <v>370142.0529228315</v>
      </c>
      <c r="D11" s="17">
        <f>Whol!H16*0.67</f>
        <v>18709.458593681833</v>
      </c>
      <c r="E11" s="17">
        <f>Whol!H16-D11+Whol!H17</f>
        <v>181063.26336331372</v>
      </c>
      <c r="F11" s="17">
        <f>Whol!H18</f>
        <v>106844.67452172581</v>
      </c>
      <c r="G11" s="17">
        <f>Whol!H19</f>
        <v>63524.656444110122</v>
      </c>
      <c r="H11" s="26"/>
    </row>
    <row r="12" spans="1:10" x14ac:dyDescent="0.25">
      <c r="A12" s="25"/>
      <c r="B12" s="17" t="s">
        <v>53</v>
      </c>
      <c r="C12" s="17">
        <f t="shared" si="0"/>
        <v>16257.707422129226</v>
      </c>
      <c r="D12" s="17"/>
      <c r="E12" s="17"/>
      <c r="F12" s="17"/>
      <c r="G12" s="17">
        <f>Whol!H20</f>
        <v>16257.707422129226</v>
      </c>
      <c r="H12" s="26"/>
    </row>
    <row r="13" spans="1:10" x14ac:dyDescent="0.25">
      <c r="A13" s="25"/>
      <c r="B13" s="17" t="s">
        <v>214</v>
      </c>
      <c r="C13" s="17">
        <f t="shared" si="0"/>
        <v>3007765.4349976834</v>
      </c>
      <c r="D13" s="17">
        <f>Whol!H21</f>
        <v>3007765.4349976834</v>
      </c>
      <c r="E13" s="17"/>
      <c r="F13" s="17"/>
      <c r="G13" s="17"/>
      <c r="H13" s="26"/>
    </row>
    <row r="14" spans="1:10" x14ac:dyDescent="0.25">
      <c r="A14" s="25"/>
      <c r="B14" s="17" t="s">
        <v>5</v>
      </c>
      <c r="C14" s="17">
        <f t="shared" si="0"/>
        <v>107186.31959104088</v>
      </c>
      <c r="D14" s="17"/>
      <c r="E14" s="17">
        <f>Whol!H23+Whol!H24</f>
        <v>101115.61833030247</v>
      </c>
      <c r="F14" s="17">
        <f>Whol!H25</f>
        <v>4875.2</v>
      </c>
      <c r="G14" s="17">
        <f>Whol!H26</f>
        <v>1195.5012607384085</v>
      </c>
      <c r="H14" s="26"/>
    </row>
    <row r="15" spans="1:10" x14ac:dyDescent="0.25">
      <c r="A15" s="25"/>
      <c r="B15" s="17" t="s">
        <v>47</v>
      </c>
      <c r="C15" s="17">
        <f t="shared" si="0"/>
        <v>310076.32031521609</v>
      </c>
      <c r="D15" s="17">
        <f>Whol!H28*0.67</f>
        <v>0</v>
      </c>
      <c r="E15" s="17">
        <f>Whol!H28-D15+Whol!H29</f>
        <v>214721.26390246378</v>
      </c>
      <c r="F15" s="17">
        <f>Whol!H30</f>
        <v>27551.458900000001</v>
      </c>
      <c r="G15" s="17">
        <f>Whol!H31</f>
        <v>67803.597512752298</v>
      </c>
      <c r="H15" s="26"/>
    </row>
    <row r="16" spans="1:10" x14ac:dyDescent="0.25">
      <c r="A16" s="25"/>
      <c r="B16" s="6" t="s">
        <v>54</v>
      </c>
      <c r="C16" s="17">
        <f t="shared" si="0"/>
        <v>54904.686513778121</v>
      </c>
      <c r="D16" s="17"/>
      <c r="E16" s="17"/>
      <c r="F16" s="17"/>
      <c r="G16" s="17">
        <f>Whol!H32</f>
        <v>54904.686513778121</v>
      </c>
      <c r="H16" s="26"/>
    </row>
    <row r="17" spans="1:15" x14ac:dyDescent="0.25">
      <c r="A17" s="25"/>
      <c r="B17" s="6" t="s">
        <v>170</v>
      </c>
      <c r="C17" s="17">
        <f t="shared" si="0"/>
        <v>17072.283757098787</v>
      </c>
      <c r="D17" s="17">
        <f>Whol!H34</f>
        <v>17072.283757098787</v>
      </c>
      <c r="E17" s="17"/>
      <c r="F17" s="17"/>
      <c r="G17" s="17"/>
      <c r="H17" s="26"/>
    </row>
    <row r="18" spans="1:15" x14ac:dyDescent="0.25">
      <c r="A18" s="25"/>
      <c r="B18" s="6" t="s">
        <v>438</v>
      </c>
      <c r="C18" s="17">
        <f t="shared" si="0"/>
        <v>10907.504398980887</v>
      </c>
      <c r="D18" s="17">
        <f>Whol!H36</f>
        <v>6522.9535001454033</v>
      </c>
      <c r="E18" s="17"/>
      <c r="F18" s="17"/>
      <c r="G18" s="17">
        <f>Whol!H37</f>
        <v>4384.5508988354832</v>
      </c>
      <c r="H18" s="26"/>
    </row>
    <row r="19" spans="1:15" x14ac:dyDescent="0.25">
      <c r="A19" s="25"/>
      <c r="B19" s="17" t="s">
        <v>48</v>
      </c>
      <c r="C19" s="17">
        <f t="shared" si="0"/>
        <v>51434.514612653591</v>
      </c>
      <c r="D19" s="17"/>
      <c r="E19" s="17">
        <f>Whol!H39</f>
        <v>38297.739450729081</v>
      </c>
      <c r="F19" s="17">
        <f>Whol!H40</f>
        <v>7327</v>
      </c>
      <c r="G19" s="17">
        <f>Whol!H41</f>
        <v>5809.7751619245109</v>
      </c>
      <c r="H19" s="26"/>
    </row>
    <row r="20" spans="1:15" x14ac:dyDescent="0.25">
      <c r="A20" s="25"/>
      <c r="B20" s="17" t="s">
        <v>183</v>
      </c>
      <c r="C20" s="17">
        <f t="shared" si="0"/>
        <v>33864.335277995953</v>
      </c>
      <c r="E20" s="17">
        <f>Whol!H43</f>
        <v>17405.682207325128</v>
      </c>
      <c r="F20" s="17">
        <f>Whol!H44</f>
        <v>9719</v>
      </c>
      <c r="G20" s="17">
        <f>Whol!H45</f>
        <v>6739.6530706708281</v>
      </c>
      <c r="H20" s="26"/>
    </row>
    <row r="21" spans="1:15" x14ac:dyDescent="0.25">
      <c r="A21" s="25"/>
      <c r="B21" s="17" t="s">
        <v>182</v>
      </c>
      <c r="C21" s="17">
        <f t="shared" si="0"/>
        <v>9800.5036380454312</v>
      </c>
      <c r="D21" s="17">
        <v>0</v>
      </c>
      <c r="E21" s="17">
        <f>Whol!H47</f>
        <v>5259.4993108626086</v>
      </c>
      <c r="F21" s="17">
        <f>Whol!H48</f>
        <v>2694</v>
      </c>
      <c r="G21" s="17">
        <f>Whol!H49</f>
        <v>1847.004327182822</v>
      </c>
      <c r="H21" s="26"/>
    </row>
    <row r="22" spans="1:15" x14ac:dyDescent="0.25">
      <c r="A22" s="25"/>
      <c r="B22" s="19" t="s">
        <v>191</v>
      </c>
      <c r="C22" s="17">
        <f t="shared" si="0"/>
        <v>4306.0801892366371</v>
      </c>
      <c r="D22" s="17"/>
      <c r="E22" s="17"/>
      <c r="F22" s="17"/>
      <c r="G22" s="17">
        <f>Whol!H50</f>
        <v>4306.0801892366371</v>
      </c>
      <c r="H22" s="26"/>
    </row>
    <row r="23" spans="1:15" x14ac:dyDescent="0.25">
      <c r="A23" s="25"/>
      <c r="B23" s="17" t="s">
        <v>192</v>
      </c>
      <c r="C23" s="17">
        <f t="shared" si="0"/>
        <v>6870</v>
      </c>
      <c r="D23" s="17"/>
      <c r="E23" s="17"/>
      <c r="F23" s="17">
        <f>Whol!H51</f>
        <v>6870</v>
      </c>
      <c r="G23" s="17"/>
      <c r="H23" s="26"/>
    </row>
    <row r="24" spans="1:15" x14ac:dyDescent="0.25">
      <c r="A24" s="25"/>
      <c r="B24" s="17" t="s">
        <v>49</v>
      </c>
      <c r="C24" s="17">
        <f t="shared" si="0"/>
        <v>34984.139570769228</v>
      </c>
      <c r="D24" s="17">
        <v>0</v>
      </c>
      <c r="E24" s="17">
        <f>Whol!H53</f>
        <v>17990.959674521779</v>
      </c>
      <c r="F24" s="17">
        <f>Whol!H54</f>
        <v>10024</v>
      </c>
      <c r="G24" s="17">
        <f>Whol!H55</f>
        <v>6969.1798962474504</v>
      </c>
      <c r="H24" s="26"/>
    </row>
    <row r="25" spans="1:15" x14ac:dyDescent="0.25">
      <c r="A25" s="25"/>
      <c r="B25" s="17" t="s">
        <v>147</v>
      </c>
      <c r="C25" s="17">
        <f>SUM(D25:G25)</f>
        <v>752215.86509132921</v>
      </c>
      <c r="D25" s="17">
        <f>Whol!H60</f>
        <v>24864.571741610802</v>
      </c>
      <c r="E25" s="17">
        <f>Whol!H61+Whol!H62</f>
        <v>438849.00719821826</v>
      </c>
      <c r="F25" s="17">
        <f>Whol!H64</f>
        <v>278248.88333974232</v>
      </c>
      <c r="G25" s="17">
        <f>Whol!H63</f>
        <v>10253.402811757758</v>
      </c>
      <c r="H25" s="26"/>
    </row>
    <row r="26" spans="1:15" ht="5.0999999999999996" customHeight="1" x14ac:dyDescent="0.25">
      <c r="A26" s="25"/>
      <c r="B26" s="17"/>
      <c r="C26" s="17"/>
      <c r="D26" s="17"/>
      <c r="E26" s="17"/>
      <c r="F26" s="17"/>
      <c r="G26" s="17"/>
      <c r="H26" s="26"/>
    </row>
    <row r="27" spans="1:15" x14ac:dyDescent="0.25">
      <c r="A27" s="25"/>
      <c r="B27" s="17" t="s">
        <v>17</v>
      </c>
      <c r="C27" s="17">
        <f>SUM(C10:C26)</f>
        <v>5598828.679913112</v>
      </c>
      <c r="D27" s="17">
        <f>SUM(D10:D26)</f>
        <v>3115930.1436864068</v>
      </c>
      <c r="E27" s="17">
        <f>SUM(E10:E26)</f>
        <v>1411441.8439557822</v>
      </c>
      <c r="F27" s="17">
        <f>SUM(F10:F26)</f>
        <v>688268.12972502969</v>
      </c>
      <c r="G27" s="17">
        <f>SUM(G10:G26)</f>
        <v>383188.56254589453</v>
      </c>
      <c r="H27" s="26"/>
    </row>
    <row r="28" spans="1:15" ht="17.25" x14ac:dyDescent="0.4">
      <c r="A28" s="25"/>
      <c r="B28" s="17" t="s">
        <v>94</v>
      </c>
      <c r="C28" s="27">
        <f>G27</f>
        <v>383188.56254589453</v>
      </c>
      <c r="D28" s="17"/>
      <c r="E28" s="17"/>
      <c r="F28" s="17"/>
      <c r="G28" s="17"/>
      <c r="H28" s="26"/>
    </row>
    <row r="29" spans="1:15" x14ac:dyDescent="0.25">
      <c r="A29" s="25"/>
      <c r="B29" s="17" t="s">
        <v>96</v>
      </c>
      <c r="C29" s="17">
        <f>+C27-C28</f>
        <v>5215640.1173672173</v>
      </c>
      <c r="D29" s="17"/>
      <c r="E29" s="17"/>
      <c r="F29" s="17"/>
      <c r="G29" s="17"/>
      <c r="H29" s="26"/>
    </row>
    <row r="30" spans="1:15" ht="5.0999999999999996" customHeight="1" x14ac:dyDescent="0.25">
      <c r="A30" s="25"/>
      <c r="B30" s="17"/>
      <c r="C30" s="17"/>
      <c r="D30" s="17"/>
      <c r="E30" s="17"/>
      <c r="F30" s="17"/>
      <c r="G30" s="17"/>
      <c r="H30" s="26"/>
    </row>
    <row r="31" spans="1:15" x14ac:dyDescent="0.25">
      <c r="A31" s="25"/>
      <c r="B31" s="17" t="s">
        <v>95</v>
      </c>
      <c r="C31" s="28">
        <f>SUM(D31:F31)</f>
        <v>1.0000000000000002</v>
      </c>
      <c r="D31" s="28">
        <f>D27/$C$29</f>
        <v>0.5974204649034115</v>
      </c>
      <c r="E31" s="28">
        <f>E27/$C$29</f>
        <v>0.27061718450548666</v>
      </c>
      <c r="F31" s="28">
        <f>F27/$C$29</f>
        <v>0.13196235059110212</v>
      </c>
      <c r="G31" s="17"/>
      <c r="H31" s="26"/>
      <c r="I31" s="208"/>
    </row>
    <row r="32" spans="1:15" ht="5.0999999999999996" customHeight="1" x14ac:dyDescent="0.25">
      <c r="A32" s="25"/>
      <c r="B32" s="17"/>
      <c r="C32" s="17"/>
      <c r="D32" s="17"/>
      <c r="E32" s="17"/>
      <c r="F32" s="17"/>
      <c r="G32" s="17"/>
      <c r="H32" s="26"/>
      <c r="M32"/>
      <c r="N32"/>
      <c r="O32"/>
    </row>
    <row r="33" spans="1:15" ht="15.75" x14ac:dyDescent="0.25">
      <c r="A33" s="25"/>
      <c r="B33" s="17" t="s">
        <v>97</v>
      </c>
      <c r="C33" s="17">
        <f>SUM(D33:F33)</f>
        <v>383188.56254589465</v>
      </c>
      <c r="D33" s="17">
        <f>D31*$G$27</f>
        <v>228924.68918183827</v>
      </c>
      <c r="E33" s="17">
        <f>E31*$G$27</f>
        <v>103697.40993087455</v>
      </c>
      <c r="F33" s="17">
        <f>F31*$G$27</f>
        <v>50566.463433181794</v>
      </c>
      <c r="G33" s="17"/>
      <c r="H33" s="26"/>
      <c r="M33"/>
      <c r="N33"/>
      <c r="O33"/>
    </row>
    <row r="34" spans="1:15" ht="5.0999999999999996" customHeight="1" x14ac:dyDescent="0.25">
      <c r="A34" s="25"/>
      <c r="B34" s="17"/>
      <c r="C34" s="17"/>
      <c r="D34" s="17"/>
      <c r="E34" s="17"/>
      <c r="F34" s="17"/>
      <c r="G34" s="17"/>
      <c r="H34" s="26"/>
      <c r="M34"/>
      <c r="N34"/>
      <c r="O34"/>
    </row>
    <row r="35" spans="1:15" ht="15.75" x14ac:dyDescent="0.25">
      <c r="A35" s="25"/>
      <c r="B35" s="17" t="s">
        <v>98</v>
      </c>
      <c r="C35" s="17">
        <f>C33+C29</f>
        <v>5598828.679913112</v>
      </c>
      <c r="D35" s="17">
        <f>D33+D27</f>
        <v>3344854.832868245</v>
      </c>
      <c r="E35" s="17">
        <f>E33+E27</f>
        <v>1515139.2538866568</v>
      </c>
      <c r="F35" s="17">
        <f>F33+F27</f>
        <v>738834.59315821144</v>
      </c>
      <c r="G35" s="17"/>
      <c r="H35" s="26"/>
      <c r="I35" s="19">
        <f>SUM(D35:F35)</f>
        <v>5598828.6799131129</v>
      </c>
      <c r="M35"/>
      <c r="N35"/>
      <c r="O35"/>
    </row>
    <row r="36" spans="1:15" ht="15.75" x14ac:dyDescent="0.25">
      <c r="A36" s="29"/>
      <c r="B36" s="16"/>
      <c r="C36" s="16"/>
      <c r="D36" s="16"/>
      <c r="E36" s="16"/>
      <c r="F36" s="16"/>
      <c r="G36" s="16"/>
      <c r="H36" s="30"/>
      <c r="M36"/>
      <c r="N36"/>
      <c r="O36"/>
    </row>
  </sheetData>
  <mergeCells count="3">
    <mergeCell ref="B3:G3"/>
    <mergeCell ref="B4:G4"/>
    <mergeCell ref="B5:G5"/>
  </mergeCells>
  <printOptions horizontalCentered="1"/>
  <pageMargins left="0.95" right="0.7" top="1.25" bottom="0.75" header="0.3" footer="0.3"/>
  <pageSetup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J27"/>
  <sheetViews>
    <sheetView workbookViewId="0"/>
    <sheetView workbookViewId="1"/>
  </sheetViews>
  <sheetFormatPr defaultColWidth="8.88671875" defaultRowHeight="15" x14ac:dyDescent="0.25"/>
  <cols>
    <col min="1" max="1" width="8.88671875" style="19"/>
    <col min="2" max="2" width="1.77734375" style="19" customWidth="1"/>
    <col min="3" max="3" width="31.109375" style="19" customWidth="1"/>
    <col min="4" max="4" width="9" style="19" bestFit="1" customWidth="1"/>
    <col min="5" max="7" width="8.88671875" style="19"/>
    <col min="8" max="8" width="1.77734375" style="19" customWidth="1"/>
    <col min="9" max="16384" width="8.88671875" style="19"/>
  </cols>
  <sheetData>
    <row r="2" spans="1:10" x14ac:dyDescent="0.25">
      <c r="B2" s="22"/>
      <c r="C2" s="23"/>
      <c r="D2" s="23"/>
      <c r="E2" s="23"/>
      <c r="F2" s="23"/>
      <c r="G2" s="23"/>
      <c r="H2" s="24"/>
    </row>
    <row r="3" spans="1:10" ht="18.75" x14ac:dyDescent="0.3">
      <c r="A3" s="25"/>
      <c r="B3" s="25"/>
      <c r="C3" s="477" t="s">
        <v>188</v>
      </c>
      <c r="D3" s="477"/>
      <c r="E3" s="477"/>
      <c r="F3" s="477"/>
      <c r="G3" s="477"/>
      <c r="H3" s="446"/>
      <c r="I3" s="15"/>
    </row>
    <row r="4" spans="1:10" ht="18.75" x14ac:dyDescent="0.3">
      <c r="A4" s="25"/>
      <c r="B4" s="25"/>
      <c r="C4" s="483" t="s">
        <v>115</v>
      </c>
      <c r="D4" s="483"/>
      <c r="E4" s="483"/>
      <c r="F4" s="483"/>
      <c r="G4" s="483"/>
      <c r="H4" s="36"/>
      <c r="I4" s="21"/>
    </row>
    <row r="5" spans="1:10" ht="18.75" x14ac:dyDescent="0.25">
      <c r="A5" s="25"/>
      <c r="B5" s="25"/>
      <c r="C5" s="476" t="s">
        <v>242</v>
      </c>
      <c r="D5" s="476"/>
      <c r="E5" s="476"/>
      <c r="F5" s="476"/>
      <c r="G5" s="476"/>
      <c r="H5" s="447"/>
      <c r="I5" s="18"/>
    </row>
    <row r="6" spans="1:10" ht="15" customHeight="1" x14ac:dyDescent="0.25">
      <c r="A6" s="17"/>
      <c r="B6" s="29"/>
      <c r="C6" s="451"/>
      <c r="D6" s="451"/>
      <c r="E6" s="451"/>
      <c r="F6" s="451"/>
      <c r="G6" s="451"/>
      <c r="H6" s="452"/>
      <c r="I6" s="233"/>
    </row>
    <row r="7" spans="1:10" ht="18.75" x14ac:dyDescent="0.25">
      <c r="A7" s="17"/>
      <c r="B7" s="25"/>
      <c r="C7" s="35"/>
      <c r="D7" s="35"/>
      <c r="E7" s="35"/>
      <c r="F7" s="35"/>
      <c r="G7" s="35"/>
      <c r="H7" s="5"/>
      <c r="I7" s="18"/>
    </row>
    <row r="8" spans="1:10" x14ac:dyDescent="0.25">
      <c r="B8" s="25"/>
      <c r="C8" s="17"/>
      <c r="D8" s="20" t="s">
        <v>16</v>
      </c>
      <c r="E8" s="20"/>
      <c r="F8" s="20"/>
      <c r="H8" s="37"/>
    </row>
    <row r="9" spans="1:10" x14ac:dyDescent="0.25">
      <c r="B9" s="25"/>
      <c r="C9" s="17"/>
      <c r="D9" s="20" t="s">
        <v>33</v>
      </c>
      <c r="E9" s="20" t="s">
        <v>34</v>
      </c>
      <c r="F9" s="20" t="s">
        <v>35</v>
      </c>
      <c r="G9" s="20" t="s">
        <v>31</v>
      </c>
      <c r="H9" s="37"/>
    </row>
    <row r="10" spans="1:10" ht="5.0999999999999996" customHeight="1" x14ac:dyDescent="0.25">
      <c r="B10" s="25"/>
      <c r="C10" s="17"/>
      <c r="D10" s="20"/>
      <c r="E10" s="20"/>
      <c r="F10" s="20"/>
      <c r="G10" s="20"/>
      <c r="H10" s="37"/>
    </row>
    <row r="11" spans="1:10" x14ac:dyDescent="0.25">
      <c r="B11" s="25"/>
      <c r="C11" s="17" t="s">
        <v>100</v>
      </c>
      <c r="D11" s="17">
        <f>SUM(E11:G11)</f>
        <v>5598828.6799131129</v>
      </c>
      <c r="E11" s="17">
        <f>AlocOM_R!D35</f>
        <v>3344854.832868245</v>
      </c>
      <c r="F11" s="17">
        <f>AlocOM_R!E35</f>
        <v>1515139.2538866568</v>
      </c>
      <c r="G11" s="17">
        <f>AlocOM_R!F35</f>
        <v>738834.59315821144</v>
      </c>
      <c r="H11" s="26"/>
      <c r="J11" s="19">
        <f>SUM(E11:G11)</f>
        <v>5598828.6799131129</v>
      </c>
    </row>
    <row r="12" spans="1:10" x14ac:dyDescent="0.25">
      <c r="B12" s="25"/>
      <c r="C12" s="83" t="s">
        <v>455</v>
      </c>
      <c r="D12" s="83"/>
      <c r="E12" s="123">
        <f>E11/$D$11</f>
        <v>0.59742046490341139</v>
      </c>
      <c r="F12" s="123">
        <f t="shared" ref="F12" si="0">F11/$D$11</f>
        <v>0.27061718450548661</v>
      </c>
      <c r="G12" s="123">
        <f>AlocOM_R!F31</f>
        <v>0.13196235059110212</v>
      </c>
      <c r="H12" s="26"/>
      <c r="I12" s="34">
        <f>SUM(E12:H12)</f>
        <v>1</v>
      </c>
    </row>
    <row r="13" spans="1:10" ht="17.25" x14ac:dyDescent="0.4">
      <c r="B13" s="25"/>
      <c r="C13" s="17" t="s">
        <v>425</v>
      </c>
      <c r="D13" s="27">
        <f>Whol!J70</f>
        <v>795252.18864479533</v>
      </c>
      <c r="E13" s="27">
        <f>E12*$D$13</f>
        <v>475099.93225562904</v>
      </c>
      <c r="F13" s="27">
        <f t="shared" ref="F13:G13" si="1">F12*$D$13</f>
        <v>215208.90826288061</v>
      </c>
      <c r="G13" s="27">
        <f t="shared" si="1"/>
        <v>104943.34812628575</v>
      </c>
      <c r="H13" s="38"/>
      <c r="J13" s="19">
        <f>SUM(E13:G13)</f>
        <v>795252.18864479533</v>
      </c>
    </row>
    <row r="14" spans="1:10" x14ac:dyDescent="0.25">
      <c r="B14" s="25"/>
      <c r="C14" s="39" t="s">
        <v>116</v>
      </c>
      <c r="D14" s="17">
        <f>D13+D11</f>
        <v>6394080.8685579086</v>
      </c>
      <c r="E14" s="17">
        <f>E13+E11</f>
        <v>3819954.7651238739</v>
      </c>
      <c r="F14" s="17">
        <f>F13+F11</f>
        <v>1730348.1621495374</v>
      </c>
      <c r="G14" s="17">
        <f>G11+G13</f>
        <v>843777.94128449715</v>
      </c>
      <c r="H14" s="26"/>
      <c r="I14" s="19">
        <f>SUM(E14:G14)</f>
        <v>6394080.8685579086</v>
      </c>
      <c r="J14" s="19">
        <f>SUM(E14:G14)</f>
        <v>6394080.8685579086</v>
      </c>
    </row>
    <row r="15" spans="1:10" x14ac:dyDescent="0.25">
      <c r="B15" s="25"/>
      <c r="C15" s="39" t="s">
        <v>29</v>
      </c>
      <c r="D15" s="17"/>
      <c r="E15" s="17"/>
      <c r="F15" s="17"/>
      <c r="G15" s="17"/>
      <c r="H15" s="26"/>
    </row>
    <row r="16" spans="1:10" x14ac:dyDescent="0.25">
      <c r="B16" s="25"/>
      <c r="C16" s="17" t="s">
        <v>486</v>
      </c>
      <c r="D16" s="17">
        <f>-PrBA!E51</f>
        <v>-37152</v>
      </c>
      <c r="E16" s="17"/>
      <c r="F16" s="17"/>
      <c r="G16" s="17">
        <f>D16</f>
        <v>-37152</v>
      </c>
      <c r="H16" s="26"/>
    </row>
    <row r="17" spans="2:10" x14ac:dyDescent="0.25">
      <c r="B17" s="25"/>
      <c r="C17" s="31" t="s">
        <v>101</v>
      </c>
      <c r="D17" s="17">
        <f>-SAO!I13</f>
        <v>-62355.752294822247</v>
      </c>
      <c r="E17" s="17"/>
      <c r="F17" s="17"/>
      <c r="G17" s="17">
        <f>D17</f>
        <v>-62355.752294822247</v>
      </c>
      <c r="H17" s="26"/>
    </row>
    <row r="18" spans="2:10" x14ac:dyDescent="0.25">
      <c r="B18" s="25"/>
      <c r="C18" s="31" t="s">
        <v>439</v>
      </c>
      <c r="D18" s="17">
        <f>-SAO!I14</f>
        <v>-31017</v>
      </c>
      <c r="E18" s="17"/>
      <c r="F18" s="17"/>
      <c r="G18" s="17">
        <f>D18</f>
        <v>-31017</v>
      </c>
      <c r="H18" s="26"/>
    </row>
    <row r="19" spans="2:10" ht="17.25" x14ac:dyDescent="0.4">
      <c r="B19" s="25"/>
      <c r="C19" s="17" t="s">
        <v>440</v>
      </c>
      <c r="D19" s="17">
        <f>-SAO!I15</f>
        <v>-142794.20800000001</v>
      </c>
      <c r="E19" s="17">
        <f>$D$19*E12</f>
        <v>-85308.18212887444</v>
      </c>
      <c r="F19" s="17">
        <f t="shared" ref="F19:G19" si="2">$D$19*F12</f>
        <v>-38642.566532650839</v>
      </c>
      <c r="G19" s="17">
        <f t="shared" si="2"/>
        <v>-18843.45933847476</v>
      </c>
      <c r="H19" s="38"/>
      <c r="J19" s="19">
        <f>SUM(E19:G19)</f>
        <v>-142794.20800000004</v>
      </c>
    </row>
    <row r="20" spans="2:10" ht="17.25" x14ac:dyDescent="0.4">
      <c r="B20" s="25"/>
      <c r="C20" s="17" t="s">
        <v>441</v>
      </c>
      <c r="D20" s="27">
        <f>SAO!I50</f>
        <v>-43958</v>
      </c>
      <c r="E20" s="27">
        <f>$D$20*E12</f>
        <v>-26261.408796224157</v>
      </c>
      <c r="F20" s="27">
        <f t="shared" ref="F20:G20" si="3">$D$20*F12</f>
        <v>-11895.79019649218</v>
      </c>
      <c r="G20" s="27">
        <f t="shared" si="3"/>
        <v>-5800.8010072836669</v>
      </c>
      <c r="H20" s="38"/>
      <c r="J20" s="19">
        <f>SUM(E20:G20)</f>
        <v>-43958.000000000007</v>
      </c>
    </row>
    <row r="21" spans="2:10" ht="5.0999999999999996" customHeight="1" x14ac:dyDescent="0.25">
      <c r="B21" s="25"/>
      <c r="C21" s="17"/>
      <c r="D21" s="17"/>
      <c r="E21" s="17"/>
      <c r="F21" s="17">
        <v>0</v>
      </c>
      <c r="G21" s="17"/>
      <c r="H21" s="26"/>
    </row>
    <row r="22" spans="2:10" x14ac:dyDescent="0.25">
      <c r="B22" s="25"/>
      <c r="C22" s="39" t="s">
        <v>102</v>
      </c>
      <c r="D22" s="17">
        <f>SUM(D14:D20)</f>
        <v>6076803.9082630863</v>
      </c>
      <c r="E22" s="17">
        <f t="shared" ref="E22:G22" si="4">SUM(E14:E20)</f>
        <v>3708385.1741987751</v>
      </c>
      <c r="F22" s="17">
        <f t="shared" si="4"/>
        <v>1679809.8054203945</v>
      </c>
      <c r="G22" s="17">
        <f t="shared" si="4"/>
        <v>688608.9286439165</v>
      </c>
      <c r="H22" s="26"/>
      <c r="I22" s="19">
        <f>SUM(E22:G22)</f>
        <v>6076803.9082630863</v>
      </c>
    </row>
    <row r="23" spans="2:10" x14ac:dyDescent="0.25">
      <c r="B23" s="29"/>
      <c r="C23" s="16"/>
      <c r="D23" s="16"/>
      <c r="E23" s="16"/>
      <c r="F23" s="16"/>
      <c r="G23" s="16"/>
      <c r="H23" s="30"/>
    </row>
    <row r="25" spans="2:10" x14ac:dyDescent="0.25">
      <c r="C25" s="366" t="s">
        <v>453</v>
      </c>
      <c r="D25" s="19">
        <f>Whol!H72</f>
        <v>6394080.8685579076</v>
      </c>
      <c r="G25" s="34"/>
    </row>
    <row r="26" spans="2:10" ht="17.25" x14ac:dyDescent="0.4">
      <c r="C26" s="366" t="s">
        <v>452</v>
      </c>
      <c r="D26" s="86">
        <f>SUM(D16:D20)</f>
        <v>-317276.96029482223</v>
      </c>
      <c r="G26" s="34"/>
    </row>
    <row r="27" spans="2:10" x14ac:dyDescent="0.25">
      <c r="C27" s="366" t="s">
        <v>454</v>
      </c>
      <c r="D27" s="19">
        <f>SUM(D25:D26)</f>
        <v>6076803.9082630854</v>
      </c>
    </row>
  </sheetData>
  <mergeCells count="3">
    <mergeCell ref="C4:G4"/>
    <mergeCell ref="C3:G3"/>
    <mergeCell ref="C5:G5"/>
  </mergeCells>
  <printOptions horizontalCentered="1"/>
  <pageMargins left="0.95" right="0.7" top="1.2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P62"/>
  <sheetViews>
    <sheetView workbookViewId="0"/>
    <sheetView workbookViewId="1"/>
  </sheetViews>
  <sheetFormatPr defaultColWidth="8.88671875" defaultRowHeight="15" x14ac:dyDescent="0.25"/>
  <cols>
    <col min="1" max="1" width="8.88671875" style="19"/>
    <col min="2" max="2" width="1.77734375" style="19" customWidth="1"/>
    <col min="3" max="3" width="21.44140625" style="19" customWidth="1"/>
    <col min="4" max="4" width="11.77734375" style="19" customWidth="1"/>
    <col min="5" max="5" width="12" style="19" customWidth="1"/>
    <col min="6" max="6" width="11.44140625" style="19" customWidth="1"/>
    <col min="7" max="7" width="5" style="19" customWidth="1"/>
    <col min="8" max="8" width="1.77734375" style="19" customWidth="1"/>
    <col min="9" max="9" width="8.88671875" style="19"/>
    <col min="10" max="10" width="10" style="19" customWidth="1"/>
    <col min="11" max="11" width="9.77734375" style="19" bestFit="1" customWidth="1"/>
    <col min="12" max="12" width="10.77734375" style="19" customWidth="1"/>
    <col min="13" max="13" width="9" style="19" bestFit="1" customWidth="1"/>
    <col min="14" max="14" width="14" style="19" customWidth="1"/>
    <col min="15" max="15" width="10.6640625" style="19" customWidth="1"/>
    <col min="16" max="16384" width="8.88671875" style="19"/>
  </cols>
  <sheetData>
    <row r="2" spans="2:16" ht="6" customHeight="1" x14ac:dyDescent="0.25">
      <c r="B2" s="22"/>
      <c r="C2" s="23"/>
      <c r="D2" s="23"/>
      <c r="E2" s="23"/>
      <c r="F2" s="23"/>
      <c r="G2" s="23"/>
      <c r="H2" s="24"/>
    </row>
    <row r="3" spans="2:16" ht="18.75" x14ac:dyDescent="0.3">
      <c r="B3" s="25"/>
      <c r="C3" s="477" t="s">
        <v>190</v>
      </c>
      <c r="D3" s="477"/>
      <c r="E3" s="477"/>
      <c r="F3" s="477"/>
      <c r="G3" s="477"/>
      <c r="H3" s="446"/>
    </row>
    <row r="4" spans="2:16" ht="18.75" x14ac:dyDescent="0.3">
      <c r="B4" s="25"/>
      <c r="C4" s="483" t="s">
        <v>113</v>
      </c>
      <c r="D4" s="483"/>
      <c r="E4" s="483"/>
      <c r="F4" s="483"/>
      <c r="G4" s="483"/>
      <c r="H4" s="36"/>
    </row>
    <row r="5" spans="2:16" ht="15.75" x14ac:dyDescent="0.25">
      <c r="B5" s="25"/>
      <c r="C5" s="476" t="s">
        <v>242</v>
      </c>
      <c r="D5" s="476"/>
      <c r="E5" s="476"/>
      <c r="F5" s="476"/>
      <c r="G5" s="476"/>
      <c r="H5" s="290"/>
      <c r="I5" s="232"/>
      <c r="J5"/>
      <c r="K5"/>
    </row>
    <row r="6" spans="2:16" ht="6" customHeight="1" x14ac:dyDescent="0.25">
      <c r="B6" s="29"/>
      <c r="C6" s="451"/>
      <c r="D6" s="451"/>
      <c r="E6" s="451"/>
      <c r="F6" s="451"/>
      <c r="G6" s="451"/>
      <c r="H6" s="453"/>
      <c r="I6" s="232"/>
      <c r="J6"/>
      <c r="K6"/>
    </row>
    <row r="7" spans="2:16" ht="6" customHeight="1" x14ac:dyDescent="0.25">
      <c r="B7" s="25"/>
      <c r="C7" s="102"/>
      <c r="D7" s="102"/>
      <c r="E7" s="102"/>
      <c r="F7" s="102"/>
      <c r="G7" s="233"/>
      <c r="H7" s="5"/>
    </row>
    <row r="8" spans="2:16" ht="18.75" x14ac:dyDescent="0.25">
      <c r="B8" s="25"/>
      <c r="C8" s="484" t="s">
        <v>499</v>
      </c>
      <c r="D8" s="484"/>
      <c r="E8" s="233"/>
      <c r="F8" s="233"/>
      <c r="G8" s="233"/>
      <c r="H8" s="5"/>
    </row>
    <row r="9" spans="2:16" x14ac:dyDescent="0.25">
      <c r="B9" s="25"/>
      <c r="C9" s="17"/>
      <c r="D9" s="40"/>
      <c r="E9" s="40" t="s">
        <v>14</v>
      </c>
      <c r="F9" s="40" t="s">
        <v>15</v>
      </c>
      <c r="G9" s="40"/>
      <c r="H9" s="41"/>
      <c r="M9" s="61"/>
      <c r="N9" s="61"/>
    </row>
    <row r="10" spans="2:16" ht="17.25" x14ac:dyDescent="0.4">
      <c r="B10" s="25"/>
      <c r="C10" s="17"/>
      <c r="D10" s="42" t="s">
        <v>16</v>
      </c>
      <c r="E10" s="43" t="s">
        <v>442</v>
      </c>
      <c r="F10" s="43" t="s">
        <v>442</v>
      </c>
      <c r="G10" s="43"/>
      <c r="H10" s="44"/>
    </row>
    <row r="11" spans="2:16" ht="17.25" x14ac:dyDescent="0.4">
      <c r="B11" s="25"/>
      <c r="C11" s="17" t="s">
        <v>103</v>
      </c>
      <c r="D11" s="17">
        <f>SUM(E11:F11)</f>
        <v>868539640</v>
      </c>
      <c r="E11" s="17">
        <f>ExBA!D27+ExBA!D72</f>
        <v>672553110</v>
      </c>
      <c r="F11" s="17">
        <f>ExBA!D28+ExBA!D73</f>
        <v>195986530</v>
      </c>
      <c r="G11" s="17"/>
      <c r="H11" s="26"/>
      <c r="J11" s="19">
        <f>SUM(E11:F11)</f>
        <v>868539640</v>
      </c>
      <c r="K11" s="104"/>
      <c r="L11" s="104"/>
      <c r="M11" s="104"/>
      <c r="N11" s="104"/>
    </row>
    <row r="12" spans="2:16" x14ac:dyDescent="0.25">
      <c r="B12" s="25"/>
      <c r="C12" s="17" t="s">
        <v>104</v>
      </c>
      <c r="D12" s="28">
        <f>SUM(E12:F12)</f>
        <v>1</v>
      </c>
      <c r="E12" s="28">
        <f>E11/$D$11</f>
        <v>0.77434935497014279</v>
      </c>
      <c r="F12" s="28">
        <f>F11/$D$11</f>
        <v>0.22565064502985724</v>
      </c>
      <c r="G12" s="28"/>
      <c r="H12" s="45"/>
      <c r="J12" s="382">
        <f>SUM(E12:F12)</f>
        <v>1</v>
      </c>
      <c r="P12" s="34"/>
    </row>
    <row r="13" spans="2:16" x14ac:dyDescent="0.25">
      <c r="B13" s="25"/>
      <c r="C13" s="17"/>
      <c r="D13" s="17"/>
      <c r="E13" s="17"/>
      <c r="F13" s="17"/>
      <c r="G13" s="17"/>
      <c r="H13" s="26"/>
      <c r="P13" s="34"/>
    </row>
    <row r="14" spans="2:16" x14ac:dyDescent="0.25">
      <c r="B14" s="25"/>
      <c r="C14" s="17" t="s">
        <v>105</v>
      </c>
      <c r="D14" s="17"/>
      <c r="E14" s="46">
        <v>2</v>
      </c>
      <c r="F14" s="46">
        <v>1</v>
      </c>
      <c r="G14" s="46"/>
      <c r="H14" s="47"/>
      <c r="L14" s="46"/>
      <c r="M14" s="46"/>
      <c r="N14" s="46"/>
      <c r="O14" s="46"/>
      <c r="P14" s="46"/>
    </row>
    <row r="15" spans="2:16" x14ac:dyDescent="0.25">
      <c r="B15" s="25"/>
      <c r="C15" s="17" t="s">
        <v>106</v>
      </c>
      <c r="D15" s="17">
        <f>SUM(E15:F15)</f>
        <v>1541092750</v>
      </c>
      <c r="E15" s="17">
        <f>E14*E11</f>
        <v>1345106220</v>
      </c>
      <c r="F15" s="17">
        <f>F14*F11</f>
        <v>195986530</v>
      </c>
      <c r="G15" s="17"/>
      <c r="H15" s="26"/>
    </row>
    <row r="16" spans="2:16" x14ac:dyDescent="0.25">
      <c r="B16" s="25"/>
      <c r="C16" s="17" t="s">
        <v>107</v>
      </c>
      <c r="D16" s="28">
        <f>SUM(E16:F16)</f>
        <v>1</v>
      </c>
      <c r="E16" s="28">
        <f>E15/$D$15</f>
        <v>0.87282625915928813</v>
      </c>
      <c r="F16" s="28">
        <f>F15/$D$15</f>
        <v>0.1271737408407119</v>
      </c>
      <c r="G16" s="28"/>
      <c r="H16" s="45"/>
      <c r="L16" s="46"/>
      <c r="M16" s="46"/>
      <c r="N16" s="46"/>
      <c r="O16" s="46"/>
      <c r="P16" s="46"/>
    </row>
    <row r="17" spans="2:14" x14ac:dyDescent="0.25">
      <c r="B17" s="25"/>
      <c r="C17" s="17"/>
      <c r="D17" s="17"/>
      <c r="E17" s="28"/>
      <c r="F17" s="28"/>
      <c r="G17" s="28"/>
      <c r="H17" s="45"/>
    </row>
    <row r="18" spans="2:14" x14ac:dyDescent="0.25">
      <c r="B18" s="25"/>
      <c r="C18" s="17"/>
      <c r="D18" s="17"/>
      <c r="E18" s="17"/>
      <c r="F18" s="17"/>
      <c r="G18" s="17"/>
      <c r="H18" s="26"/>
    </row>
    <row r="19" spans="2:14" x14ac:dyDescent="0.25">
      <c r="B19" s="25"/>
      <c r="C19" s="17" t="s">
        <v>108</v>
      </c>
      <c r="D19" s="17">
        <f>AlocSum!E22</f>
        <v>3708385.1741987751</v>
      </c>
      <c r="E19" s="17">
        <f>$D19*E12</f>
        <v>2871585.6676216619</v>
      </c>
      <c r="F19" s="17">
        <f>$D19*F12</f>
        <v>836799.50657711306</v>
      </c>
      <c r="G19" s="17"/>
      <c r="H19" s="26"/>
    </row>
    <row r="20" spans="2:14" ht="18" x14ac:dyDescent="0.4">
      <c r="B20" s="25"/>
      <c r="C20" s="17" t="s">
        <v>109</v>
      </c>
      <c r="D20" s="27">
        <f>AlocSum!F22</f>
        <v>1679809.8054203945</v>
      </c>
      <c r="E20" s="27">
        <f>$D20*E16</f>
        <v>1466182.1085641747</v>
      </c>
      <c r="F20" s="27">
        <f>$D20*F16</f>
        <v>213627.69685621993</v>
      </c>
      <c r="G20" s="27"/>
      <c r="H20" s="26"/>
      <c r="J20"/>
      <c r="K20"/>
      <c r="L20"/>
      <c r="M20"/>
      <c r="N20"/>
    </row>
    <row r="21" spans="2:14" ht="15.75" x14ac:dyDescent="0.25">
      <c r="B21" s="25"/>
      <c r="C21" s="17" t="s">
        <v>184</v>
      </c>
      <c r="D21" s="17">
        <f>SUM(D19:D20)</f>
        <v>5388194.9796191696</v>
      </c>
      <c r="E21" s="17">
        <f>SUM(E19:E20)</f>
        <v>4337767.7761858366</v>
      </c>
      <c r="F21" s="17">
        <f>SUM(F19:F20)</f>
        <v>1050427.203433333</v>
      </c>
      <c r="G21" s="17"/>
      <c r="H21" s="26"/>
      <c r="J21"/>
      <c r="K21"/>
      <c r="L21"/>
      <c r="M21"/>
      <c r="N21"/>
    </row>
    <row r="22" spans="2:14" ht="15.75" x14ac:dyDescent="0.25">
      <c r="B22" s="25"/>
      <c r="C22" s="17"/>
      <c r="D22" s="17"/>
      <c r="E22" s="17"/>
      <c r="F22" s="17"/>
      <c r="G22" s="17"/>
      <c r="H22" s="26"/>
      <c r="J22"/>
      <c r="K22"/>
      <c r="L22"/>
      <c r="M22"/>
      <c r="N22"/>
    </row>
    <row r="23" spans="2:14" ht="15.75" x14ac:dyDescent="0.25">
      <c r="B23" s="25"/>
      <c r="C23" s="17" t="s">
        <v>443</v>
      </c>
      <c r="D23" s="17"/>
      <c r="E23" s="17">
        <f>E11/1000</f>
        <v>672553.11</v>
      </c>
      <c r="F23" s="17">
        <f>F11/1000</f>
        <v>195986.53</v>
      </c>
      <c r="G23" s="17"/>
      <c r="H23" s="26"/>
      <c r="J23"/>
      <c r="K23"/>
      <c r="L23"/>
      <c r="M23"/>
      <c r="N23"/>
    </row>
    <row r="24" spans="2:14" ht="15.75" x14ac:dyDescent="0.25">
      <c r="B24" s="25"/>
      <c r="C24" s="17"/>
      <c r="D24" s="17"/>
      <c r="E24" s="17"/>
      <c r="F24" s="17"/>
      <c r="G24" s="17"/>
      <c r="H24" s="26"/>
      <c r="J24"/>
      <c r="K24"/>
      <c r="L24"/>
      <c r="M24"/>
      <c r="N24"/>
    </row>
    <row r="25" spans="2:14" ht="15.75" x14ac:dyDescent="0.25">
      <c r="B25" s="25"/>
      <c r="C25" s="371" t="s">
        <v>444</v>
      </c>
      <c r="D25" s="17"/>
      <c r="E25" s="48">
        <f>ROUND(E21/E23,2)</f>
        <v>6.45</v>
      </c>
      <c r="F25" s="48">
        <f>ROUND(F21/F23,2)</f>
        <v>5.36</v>
      </c>
      <c r="G25" s="48"/>
      <c r="H25" s="49"/>
      <c r="J25"/>
      <c r="K25"/>
      <c r="L25"/>
      <c r="M25"/>
      <c r="N25"/>
    </row>
    <row r="26" spans="2:14" ht="8.1" customHeight="1" x14ac:dyDescent="0.25">
      <c r="B26" s="25"/>
      <c r="C26" s="83"/>
      <c r="D26" s="17"/>
      <c r="E26" s="48"/>
      <c r="F26" s="48"/>
      <c r="G26" s="48"/>
      <c r="H26" s="49"/>
      <c r="J26"/>
      <c r="K26"/>
      <c r="L26"/>
      <c r="M26"/>
      <c r="N26"/>
    </row>
    <row r="27" spans="2:14" ht="15.75" x14ac:dyDescent="0.25">
      <c r="B27" s="25"/>
      <c r="C27" s="456" t="s">
        <v>445</v>
      </c>
      <c r="D27" s="457"/>
      <c r="E27" s="458">
        <f>E25+0.01</f>
        <v>6.46</v>
      </c>
      <c r="F27" s="458">
        <f>F25</f>
        <v>5.36</v>
      </c>
      <c r="G27" s="105"/>
      <c r="H27" s="49"/>
      <c r="J27"/>
      <c r="K27"/>
      <c r="L27"/>
      <c r="M27"/>
      <c r="N27"/>
    </row>
    <row r="28" spans="2:14" x14ac:dyDescent="0.25">
      <c r="B28" s="25"/>
      <c r="C28" s="17" t="s">
        <v>118</v>
      </c>
      <c r="D28" s="17"/>
      <c r="E28" s="50"/>
      <c r="F28" s="50"/>
      <c r="G28" s="50"/>
      <c r="H28" s="51"/>
    </row>
    <row r="29" spans="2:14" ht="6" customHeight="1" x14ac:dyDescent="0.25">
      <c r="B29" s="25"/>
      <c r="C29" s="17"/>
      <c r="D29" s="17"/>
      <c r="E29" s="50"/>
      <c r="F29" s="50"/>
      <c r="G29" s="50"/>
      <c r="H29" s="51"/>
    </row>
    <row r="30" spans="2:14" ht="6" customHeight="1" x14ac:dyDescent="0.25">
      <c r="B30" s="22"/>
      <c r="C30" s="23"/>
      <c r="D30" s="23"/>
      <c r="E30" s="454"/>
      <c r="F30" s="454"/>
      <c r="G30" s="454"/>
      <c r="H30" s="455"/>
    </row>
    <row r="31" spans="2:14" ht="18" x14ac:dyDescent="0.25">
      <c r="B31" s="25"/>
      <c r="C31" s="484" t="s">
        <v>446</v>
      </c>
      <c r="D31" s="484"/>
      <c r="E31" s="371"/>
      <c r="F31" s="372"/>
      <c r="G31" s="372"/>
      <c r="H31" s="51"/>
    </row>
    <row r="32" spans="2:14" ht="6" customHeight="1" x14ac:dyDescent="0.25">
      <c r="B32" s="25"/>
      <c r="C32" s="1"/>
      <c r="D32" s="371"/>
      <c r="E32" s="371"/>
      <c r="F32" s="372"/>
      <c r="G32" s="372"/>
      <c r="H32" s="51"/>
    </row>
    <row r="33" spans="2:11" x14ac:dyDescent="0.25">
      <c r="B33" s="25"/>
      <c r="C33" s="1" t="s">
        <v>447</v>
      </c>
      <c r="D33" s="83">
        <f>AlocSum!G22</f>
        <v>688608.9286439165</v>
      </c>
      <c r="E33" s="83"/>
      <c r="F33" s="373"/>
      <c r="G33" s="373"/>
      <c r="H33" s="51"/>
    </row>
    <row r="34" spans="2:11" x14ac:dyDescent="0.25">
      <c r="B34" s="25"/>
      <c r="C34" s="1" t="s">
        <v>494</v>
      </c>
      <c r="D34" s="83">
        <f>F61</f>
        <v>168235.59999999998</v>
      </c>
      <c r="E34" s="83"/>
      <c r="F34" s="373"/>
      <c r="G34" s="373"/>
      <c r="H34" s="51"/>
    </row>
    <row r="35" spans="2:11" ht="15.75" x14ac:dyDescent="0.25">
      <c r="B35" s="25"/>
      <c r="C35" s="1" t="s">
        <v>448</v>
      </c>
      <c r="D35" s="374">
        <f>ROUND(D33/D34,2)</f>
        <v>4.09</v>
      </c>
      <c r="E35" s="374"/>
      <c r="F35" s="373"/>
      <c r="G35" s="373"/>
      <c r="H35" s="51"/>
      <c r="K35"/>
    </row>
    <row r="36" spans="2:11" ht="15.75" x14ac:dyDescent="0.25">
      <c r="B36" s="25"/>
      <c r="C36" s="1"/>
      <c r="D36" s="374"/>
      <c r="E36" s="374"/>
      <c r="F36" s="459" t="s">
        <v>16</v>
      </c>
      <c r="G36"/>
      <c r="H36" s="51"/>
    </row>
    <row r="37" spans="2:11" ht="15.75" x14ac:dyDescent="0.25">
      <c r="B37" s="25"/>
      <c r="C37" s="376"/>
      <c r="D37" s="377" t="s">
        <v>495</v>
      </c>
      <c r="E37" s="375" t="s">
        <v>154</v>
      </c>
      <c r="F37" s="459" t="s">
        <v>31</v>
      </c>
      <c r="G37"/>
      <c r="H37" s="51"/>
    </row>
    <row r="38" spans="2:11" ht="18" x14ac:dyDescent="0.4">
      <c r="B38" s="25"/>
      <c r="C38" s="378" t="s">
        <v>10</v>
      </c>
      <c r="D38" s="289" t="s">
        <v>496</v>
      </c>
      <c r="E38" s="289" t="s">
        <v>449</v>
      </c>
      <c r="F38" s="460" t="s">
        <v>450</v>
      </c>
      <c r="G38"/>
      <c r="H38" s="51"/>
    </row>
    <row r="39" spans="2:11" ht="15.75" x14ac:dyDescent="0.25">
      <c r="B39" s="25"/>
      <c r="C39" s="379" t="s">
        <v>451</v>
      </c>
      <c r="D39" s="373">
        <f>$D$35</f>
        <v>4.09</v>
      </c>
      <c r="E39" s="88">
        <v>1</v>
      </c>
      <c r="F39" s="461">
        <f>ROUND(D39*E39,2)</f>
        <v>4.09</v>
      </c>
      <c r="G39"/>
      <c r="H39" s="51"/>
    </row>
    <row r="40" spans="2:11" ht="15.75" x14ac:dyDescent="0.25">
      <c r="B40" s="25"/>
      <c r="C40" s="380" t="s">
        <v>233</v>
      </c>
      <c r="D40" s="381">
        <f t="shared" ref="D40:D46" si="0">$D$35</f>
        <v>4.09</v>
      </c>
      <c r="E40" s="88">
        <v>1.4</v>
      </c>
      <c r="F40" s="462">
        <f t="shared" ref="F40:F46" si="1">ROUND(D40*E40,2)</f>
        <v>5.73</v>
      </c>
      <c r="G40"/>
      <c r="H40" s="51"/>
    </row>
    <row r="41" spans="2:11" ht="15.75" x14ac:dyDescent="0.25">
      <c r="B41" s="25"/>
      <c r="C41" s="380" t="s">
        <v>234</v>
      </c>
      <c r="D41" s="381">
        <f t="shared" si="0"/>
        <v>4.09</v>
      </c>
      <c r="E41" s="88">
        <v>1.8</v>
      </c>
      <c r="F41" s="462">
        <f t="shared" si="1"/>
        <v>7.36</v>
      </c>
      <c r="G41"/>
      <c r="H41" s="51"/>
    </row>
    <row r="42" spans="2:11" ht="15.75" x14ac:dyDescent="0.25">
      <c r="B42" s="25"/>
      <c r="C42" s="380" t="s">
        <v>235</v>
      </c>
      <c r="D42" s="381">
        <f t="shared" si="0"/>
        <v>4.09</v>
      </c>
      <c r="E42" s="88">
        <v>2.9</v>
      </c>
      <c r="F42" s="462">
        <f t="shared" si="1"/>
        <v>11.86</v>
      </c>
      <c r="G42"/>
      <c r="H42" s="51"/>
    </row>
    <row r="43" spans="2:11" ht="15.75" x14ac:dyDescent="0.25">
      <c r="B43" s="25"/>
      <c r="C43" s="380" t="s">
        <v>236</v>
      </c>
      <c r="D43" s="381">
        <f t="shared" si="0"/>
        <v>4.09</v>
      </c>
      <c r="E43" s="88">
        <v>11</v>
      </c>
      <c r="F43" s="462">
        <f t="shared" si="1"/>
        <v>44.99</v>
      </c>
      <c r="G43"/>
      <c r="H43" s="51"/>
    </row>
    <row r="44" spans="2:11" ht="15.75" x14ac:dyDescent="0.25">
      <c r="B44" s="25"/>
      <c r="C44" s="380" t="s">
        <v>237</v>
      </c>
      <c r="D44" s="381">
        <f t="shared" si="0"/>
        <v>4.09</v>
      </c>
      <c r="E44" s="88">
        <v>14</v>
      </c>
      <c r="F44" s="462">
        <f t="shared" si="1"/>
        <v>57.26</v>
      </c>
      <c r="G44"/>
      <c r="H44" s="51"/>
    </row>
    <row r="45" spans="2:11" ht="15.75" x14ac:dyDescent="0.25">
      <c r="B45" s="25"/>
      <c r="C45" s="380" t="s">
        <v>238</v>
      </c>
      <c r="D45" s="381">
        <f t="shared" si="0"/>
        <v>4.09</v>
      </c>
      <c r="E45" s="88">
        <v>21</v>
      </c>
      <c r="F45" s="462">
        <f t="shared" si="1"/>
        <v>85.89</v>
      </c>
      <c r="G45"/>
      <c r="H45" s="51"/>
    </row>
    <row r="46" spans="2:11" ht="15.75" x14ac:dyDescent="0.25">
      <c r="B46" s="25"/>
      <c r="C46" s="380" t="s">
        <v>339</v>
      </c>
      <c r="D46" s="381">
        <f t="shared" si="0"/>
        <v>4.09</v>
      </c>
      <c r="E46" s="88">
        <v>29</v>
      </c>
      <c r="F46" s="462">
        <f t="shared" si="1"/>
        <v>118.61</v>
      </c>
      <c r="G46"/>
      <c r="H46" s="51"/>
    </row>
    <row r="47" spans="2:11" ht="12" customHeight="1" x14ac:dyDescent="0.25">
      <c r="B47" s="29"/>
      <c r="C47" s="16"/>
      <c r="D47" s="16"/>
      <c r="E47" s="16"/>
      <c r="F47" s="16"/>
      <c r="G47" s="16"/>
      <c r="H47" s="111"/>
    </row>
    <row r="48" spans="2:11" ht="6" customHeight="1" x14ac:dyDescent="0.25">
      <c r="B48" s="22"/>
      <c r="C48" s="23"/>
      <c r="D48" s="23"/>
      <c r="E48" s="23"/>
      <c r="F48" s="23"/>
      <c r="G48" s="23"/>
      <c r="H48" s="386"/>
    </row>
    <row r="49" spans="2:11" x14ac:dyDescent="0.25">
      <c r="B49" s="25"/>
      <c r="C49" s="387" t="s">
        <v>456</v>
      </c>
      <c r="D49" s="388"/>
      <c r="E49" s="388"/>
      <c r="F49" s="388"/>
      <c r="H49" s="389"/>
    </row>
    <row r="50" spans="2:11" ht="6" customHeight="1" x14ac:dyDescent="0.25">
      <c r="B50" s="25"/>
      <c r="C50" s="388"/>
      <c r="D50" s="388"/>
      <c r="E50" s="388"/>
      <c r="F50" s="388"/>
      <c r="H50" s="389"/>
    </row>
    <row r="51" spans="2:11" x14ac:dyDescent="0.25">
      <c r="B51" s="25"/>
      <c r="C51" s="390"/>
      <c r="D51" s="390" t="s">
        <v>457</v>
      </c>
      <c r="E51" s="390" t="s">
        <v>154</v>
      </c>
      <c r="F51" s="390" t="s">
        <v>457</v>
      </c>
      <c r="H51" s="26"/>
    </row>
    <row r="52" spans="2:11" ht="17.25" x14ac:dyDescent="0.4">
      <c r="B52" s="25"/>
      <c r="C52" s="378" t="s">
        <v>10</v>
      </c>
      <c r="D52" s="391" t="s">
        <v>460</v>
      </c>
      <c r="E52" s="391" t="s">
        <v>449</v>
      </c>
      <c r="F52" s="391" t="s">
        <v>458</v>
      </c>
      <c r="H52" s="26"/>
    </row>
    <row r="53" spans="2:11" x14ac:dyDescent="0.25">
      <c r="B53" s="25"/>
      <c r="C53" s="392" t="s">
        <v>451</v>
      </c>
      <c r="D53" s="385">
        <v>144863</v>
      </c>
      <c r="E53" s="393">
        <v>1</v>
      </c>
      <c r="F53" s="388">
        <f>D53*E53</f>
        <v>144863</v>
      </c>
      <c r="H53" s="389">
        <f>ROUND(F53*E53,0)</f>
        <v>144863</v>
      </c>
      <c r="J53" s="373">
        <f>F39</f>
        <v>4.09</v>
      </c>
      <c r="K53" s="19">
        <f>J53*D53</f>
        <v>592489.66999999993</v>
      </c>
    </row>
    <row r="54" spans="2:11" x14ac:dyDescent="0.25">
      <c r="B54" s="25"/>
      <c r="C54" s="394" t="s">
        <v>233</v>
      </c>
      <c r="D54" s="385">
        <v>11022</v>
      </c>
      <c r="E54" s="393">
        <v>1.4</v>
      </c>
      <c r="F54" s="388">
        <f t="shared" ref="F54:F60" si="2">D54*E54</f>
        <v>15430.8</v>
      </c>
      <c r="H54" s="389">
        <f>ROUND(F54*E54,0)</f>
        <v>21603</v>
      </c>
      <c r="J54" s="441">
        <f>F40</f>
        <v>5.73</v>
      </c>
      <c r="K54" s="19">
        <f t="shared" ref="K54:K60" si="3">J54*D54</f>
        <v>63156.060000000005</v>
      </c>
    </row>
    <row r="55" spans="2:11" x14ac:dyDescent="0.25">
      <c r="B55" s="25"/>
      <c r="C55" s="394" t="s">
        <v>234</v>
      </c>
      <c r="D55" s="385">
        <v>1216</v>
      </c>
      <c r="E55" s="393">
        <v>1.8</v>
      </c>
      <c r="F55" s="388">
        <f t="shared" si="2"/>
        <v>2188.8000000000002</v>
      </c>
      <c r="H55" s="389">
        <f>ROUND(F55*E55,0)</f>
        <v>3940</v>
      </c>
      <c r="J55" s="441">
        <f t="shared" ref="J55:J60" si="4">F41</f>
        <v>7.36</v>
      </c>
      <c r="K55" s="19">
        <f t="shared" si="3"/>
        <v>8949.76</v>
      </c>
    </row>
    <row r="56" spans="2:11" x14ac:dyDescent="0.25">
      <c r="B56" s="25"/>
      <c r="C56" s="394" t="s">
        <v>235</v>
      </c>
      <c r="D56" s="385">
        <v>1400</v>
      </c>
      <c r="E56" s="393">
        <v>2.9</v>
      </c>
      <c r="F56" s="388">
        <f t="shared" si="2"/>
        <v>4060</v>
      </c>
      <c r="H56" s="389">
        <f>ROUND(F56*E56,0)</f>
        <v>11774</v>
      </c>
      <c r="J56" s="441">
        <f t="shared" si="4"/>
        <v>11.86</v>
      </c>
      <c r="K56" s="19">
        <f t="shared" si="3"/>
        <v>16604</v>
      </c>
    </row>
    <row r="57" spans="2:11" x14ac:dyDescent="0.25">
      <c r="B57" s="25"/>
      <c r="C57" s="394" t="s">
        <v>236</v>
      </c>
      <c r="D57" s="385">
        <v>33</v>
      </c>
      <c r="E57" s="393">
        <v>11</v>
      </c>
      <c r="F57" s="388">
        <f t="shared" si="2"/>
        <v>363</v>
      </c>
      <c r="H57" s="389">
        <f>ROUND(F57*E57,0)</f>
        <v>3993</v>
      </c>
      <c r="J57" s="441">
        <f t="shared" si="4"/>
        <v>44.99</v>
      </c>
      <c r="K57" s="19">
        <f t="shared" si="3"/>
        <v>1484.67</v>
      </c>
    </row>
    <row r="58" spans="2:11" x14ac:dyDescent="0.25">
      <c r="B58" s="25"/>
      <c r="C58" s="394" t="s">
        <v>237</v>
      </c>
      <c r="D58" s="385">
        <v>11.000000000000002</v>
      </c>
      <c r="E58" s="393">
        <v>14</v>
      </c>
      <c r="F58" s="388">
        <f t="shared" si="2"/>
        <v>154.00000000000003</v>
      </c>
      <c r="H58" s="389"/>
      <c r="J58" s="441">
        <f t="shared" si="4"/>
        <v>57.26</v>
      </c>
      <c r="K58" s="19">
        <f t="shared" si="3"/>
        <v>629.86000000000013</v>
      </c>
    </row>
    <row r="59" spans="2:11" x14ac:dyDescent="0.25">
      <c r="B59" s="25"/>
      <c r="C59" s="394" t="s">
        <v>238</v>
      </c>
      <c r="D59" s="385">
        <v>56</v>
      </c>
      <c r="E59" s="393">
        <v>21</v>
      </c>
      <c r="F59" s="388">
        <f t="shared" si="2"/>
        <v>1176</v>
      </c>
      <c r="H59" s="389"/>
      <c r="J59" s="441">
        <f t="shared" si="4"/>
        <v>85.89</v>
      </c>
      <c r="K59" s="19">
        <f t="shared" si="3"/>
        <v>4809.84</v>
      </c>
    </row>
    <row r="60" spans="2:11" ht="17.25" x14ac:dyDescent="0.4">
      <c r="B60" s="25"/>
      <c r="C60" s="394" t="s">
        <v>339</v>
      </c>
      <c r="D60" s="395">
        <v>0</v>
      </c>
      <c r="E60" s="393">
        <v>29</v>
      </c>
      <c r="F60" s="395">
        <f t="shared" si="2"/>
        <v>0</v>
      </c>
      <c r="H60" s="389"/>
      <c r="J60" s="441">
        <f t="shared" si="4"/>
        <v>118.61</v>
      </c>
      <c r="K60" s="19">
        <f t="shared" si="3"/>
        <v>0</v>
      </c>
    </row>
    <row r="61" spans="2:11" x14ac:dyDescent="0.25">
      <c r="B61" s="25"/>
      <c r="C61" s="442" t="s">
        <v>17</v>
      </c>
      <c r="D61" s="388">
        <f>SUM(D53:D60)</f>
        <v>158601</v>
      </c>
      <c r="E61" s="388"/>
      <c r="F61" s="388">
        <f>SUM(F53:F60)</f>
        <v>168235.59999999998</v>
      </c>
      <c r="H61" s="389">
        <f>SUM(H53:H60)</f>
        <v>186173</v>
      </c>
      <c r="K61" s="19">
        <f>SUM(K53:K60)</f>
        <v>688123.86</v>
      </c>
    </row>
    <row r="62" spans="2:11" ht="6" customHeight="1" x14ac:dyDescent="0.25">
      <c r="B62" s="29"/>
      <c r="C62" s="16"/>
      <c r="D62" s="16"/>
      <c r="E62" s="16"/>
      <c r="F62" s="16"/>
      <c r="G62" s="16"/>
      <c r="H62" s="30"/>
    </row>
  </sheetData>
  <mergeCells count="5">
    <mergeCell ref="C31:D31"/>
    <mergeCell ref="C3:G3"/>
    <mergeCell ref="C4:G4"/>
    <mergeCell ref="C5:G5"/>
    <mergeCell ref="C8:D8"/>
  </mergeCells>
  <printOptions horizontalCentered="1"/>
  <pageMargins left="0.7" right="0.7" top="0.6" bottom="0.35" header="0.3" footer="0.3"/>
  <pageSetup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3"/>
  <sheetViews>
    <sheetView zoomScaleNormal="100" workbookViewId="0">
      <selection activeCell="A3" sqref="A3"/>
    </sheetView>
    <sheetView workbookViewId="1">
      <selection sqref="A1:G1"/>
    </sheetView>
  </sheetViews>
  <sheetFormatPr defaultColWidth="11.21875" defaultRowHeight="15" x14ac:dyDescent="0.25"/>
  <cols>
    <col min="1" max="1" width="7.77734375" style="1" customWidth="1"/>
    <col min="2" max="2" width="8.21875" style="1" customWidth="1"/>
    <col min="3" max="4" width="10.5546875" style="1" customWidth="1"/>
    <col min="5" max="5" width="10.88671875" style="1" customWidth="1"/>
    <col min="6" max="8" width="11.77734375" style="1" customWidth="1"/>
    <col min="9" max="9" width="11.21875" style="1"/>
    <col min="10" max="10" width="14.33203125" style="1" customWidth="1"/>
    <col min="11" max="12" width="11.21875" style="1"/>
    <col min="13" max="13" width="12.6640625" style="1" customWidth="1"/>
    <col min="14" max="14" width="9.21875" style="1" customWidth="1"/>
    <col min="15" max="16384" width="11.21875" style="1"/>
  </cols>
  <sheetData>
    <row r="1" spans="1:15" ht="18.75" customHeight="1" x14ac:dyDescent="0.3">
      <c r="A1" s="485" t="s">
        <v>354</v>
      </c>
      <c r="B1" s="485"/>
      <c r="C1" s="485"/>
      <c r="D1" s="485"/>
      <c r="E1" s="485"/>
      <c r="F1" s="485"/>
      <c r="G1" s="485"/>
      <c r="H1" s="291"/>
      <c r="I1" s="19"/>
      <c r="J1" s="19"/>
      <c r="K1" s="19"/>
      <c r="L1" s="19"/>
      <c r="M1" s="19"/>
      <c r="N1" s="19"/>
    </row>
    <row r="2" spans="1:15" ht="18.75" customHeight="1" x14ac:dyDescent="0.25">
      <c r="A2" s="486" t="s">
        <v>242</v>
      </c>
      <c r="B2" s="486"/>
      <c r="C2" s="486"/>
      <c r="D2" s="486"/>
      <c r="E2" s="486"/>
      <c r="F2" s="486"/>
      <c r="G2" s="486"/>
      <c r="H2" s="286"/>
      <c r="I2" s="19"/>
      <c r="J2" s="19"/>
      <c r="K2" s="19"/>
      <c r="L2" s="19"/>
      <c r="M2" s="19"/>
      <c r="N2" s="19"/>
    </row>
    <row r="3" spans="1:15" x14ac:dyDescent="0.25">
      <c r="A3" s="84"/>
      <c r="B3" s="85"/>
      <c r="C3" s="85"/>
      <c r="D3" s="85"/>
      <c r="E3" s="85"/>
      <c r="F3" s="85"/>
      <c r="G3" s="85"/>
      <c r="H3" s="85"/>
      <c r="I3" s="19"/>
      <c r="J3" s="19"/>
      <c r="K3" s="19"/>
      <c r="L3" s="19"/>
      <c r="M3" s="19"/>
      <c r="N3" s="19"/>
    </row>
    <row r="4" spans="1:15" ht="18" x14ac:dyDescent="0.25">
      <c r="B4" s="489" t="s">
        <v>338</v>
      </c>
      <c r="C4" s="489"/>
      <c r="D4" s="489"/>
      <c r="I4" s="19"/>
      <c r="J4" s="19"/>
      <c r="K4" s="19"/>
      <c r="L4" s="19"/>
      <c r="M4" s="19"/>
      <c r="N4" s="19"/>
    </row>
    <row r="5" spans="1:15" x14ac:dyDescent="0.25">
      <c r="C5" s="74" t="s">
        <v>225</v>
      </c>
      <c r="D5" s="75" t="s">
        <v>160</v>
      </c>
      <c r="E5" s="75" t="s">
        <v>161</v>
      </c>
      <c r="F5" s="74" t="s">
        <v>180</v>
      </c>
      <c r="I5" s="19"/>
      <c r="J5" s="19"/>
      <c r="K5" s="19"/>
      <c r="L5" s="19"/>
      <c r="M5" s="19"/>
      <c r="N5" s="19"/>
    </row>
    <row r="6" spans="1:15" x14ac:dyDescent="0.25">
      <c r="C6" s="2" t="s">
        <v>226</v>
      </c>
      <c r="D6" s="2">
        <f>C42+C87</f>
        <v>158601</v>
      </c>
      <c r="E6" s="2">
        <f>D23+D68</f>
        <v>868539640</v>
      </c>
      <c r="F6" s="72">
        <f>F29+F74</f>
        <v>5038992.9463999998</v>
      </c>
      <c r="I6" s="19"/>
      <c r="J6" s="296" t="s">
        <v>345</v>
      </c>
      <c r="K6" s="297">
        <v>-4926.72</v>
      </c>
      <c r="L6" s="19"/>
      <c r="M6" s="19"/>
      <c r="N6" s="19"/>
    </row>
    <row r="7" spans="1:15" x14ac:dyDescent="0.25">
      <c r="C7" s="2" t="s">
        <v>227</v>
      </c>
      <c r="F7" s="79">
        <f>E42+E87</f>
        <v>549740.8600000001</v>
      </c>
      <c r="I7" s="19"/>
      <c r="J7" s="296" t="s">
        <v>347</v>
      </c>
      <c r="K7" s="297">
        <v>-398.49</v>
      </c>
      <c r="L7" s="19"/>
      <c r="M7" s="19"/>
      <c r="N7" s="19"/>
    </row>
    <row r="8" spans="1:15" ht="16.5" x14ac:dyDescent="0.35">
      <c r="C8" s="2" t="s">
        <v>17</v>
      </c>
      <c r="F8" s="211">
        <f>SUM(F6:F7)</f>
        <v>5588733.8064000001</v>
      </c>
      <c r="I8" s="19"/>
      <c r="J8" s="296" t="s">
        <v>346</v>
      </c>
      <c r="K8" s="298">
        <v>-32.549999999999997</v>
      </c>
      <c r="L8" s="19"/>
      <c r="M8" s="296"/>
      <c r="N8" s="297"/>
      <c r="O8" s="296"/>
    </row>
    <row r="9" spans="1:15" ht="17.25" x14ac:dyDescent="0.4">
      <c r="D9" s="2"/>
      <c r="E9" s="245" t="s">
        <v>464</v>
      </c>
      <c r="F9" s="241">
        <f>K9</f>
        <v>-5357.76</v>
      </c>
      <c r="I9" s="19"/>
      <c r="K9" s="297">
        <f>SUM(K6:K8)</f>
        <v>-5357.76</v>
      </c>
      <c r="L9" s="19"/>
      <c r="M9" s="19"/>
      <c r="N9" s="19"/>
    </row>
    <row r="10" spans="1:15" x14ac:dyDescent="0.25">
      <c r="C10" s="235" t="s">
        <v>145</v>
      </c>
      <c r="D10" s="2"/>
      <c r="F10" s="211">
        <f>F8+F9</f>
        <v>5583376.0464000003</v>
      </c>
      <c r="I10" s="19"/>
      <c r="J10" s="296"/>
      <c r="L10" s="19"/>
      <c r="M10" s="19"/>
      <c r="N10" s="19"/>
    </row>
    <row r="11" spans="1:15" ht="6.95" customHeight="1" x14ac:dyDescent="0.25">
      <c r="C11" s="2"/>
      <c r="D11" s="2"/>
      <c r="F11" s="211"/>
      <c r="I11" s="19"/>
      <c r="J11" s="19"/>
      <c r="K11" s="33"/>
      <c r="L11" s="19"/>
      <c r="M11" s="19"/>
      <c r="N11" s="19"/>
    </row>
    <row r="12" spans="1:15" x14ac:dyDescent="0.25">
      <c r="C12" s="235" t="s">
        <v>343</v>
      </c>
      <c r="D12" s="2"/>
      <c r="F12" s="211">
        <f>E53+E98</f>
        <v>37152</v>
      </c>
      <c r="I12" s="19"/>
      <c r="J12" s="19"/>
      <c r="K12" s="19"/>
      <c r="L12" s="19"/>
      <c r="M12" s="19"/>
      <c r="N12" s="19"/>
    </row>
    <row r="13" spans="1:15" ht="6.95" customHeight="1" x14ac:dyDescent="0.25">
      <c r="C13" s="2"/>
      <c r="D13" s="2"/>
      <c r="F13" s="211"/>
      <c r="I13" s="19"/>
      <c r="J13" s="19"/>
      <c r="K13" s="19"/>
      <c r="L13" s="19"/>
      <c r="M13" s="19"/>
      <c r="N13" s="19"/>
    </row>
    <row r="14" spans="1:15" x14ac:dyDescent="0.25">
      <c r="C14" s="235" t="s">
        <v>344</v>
      </c>
      <c r="D14" s="2"/>
      <c r="F14" s="211">
        <f>E58+E103</f>
        <v>408966.27</v>
      </c>
      <c r="I14" s="19"/>
      <c r="K14" s="250">
        <f>SUM(F10:F14)</f>
        <v>6029494.3164000008</v>
      </c>
      <c r="L14" s="19"/>
      <c r="M14" s="19"/>
      <c r="N14" s="19"/>
    </row>
    <row r="15" spans="1:15" x14ac:dyDescent="0.25">
      <c r="C15" s="57"/>
      <c r="D15" s="72"/>
      <c r="I15" s="19"/>
      <c r="J15" s="19"/>
      <c r="K15" s="19"/>
      <c r="L15" s="19"/>
      <c r="M15" s="19"/>
      <c r="N15" s="19"/>
    </row>
    <row r="16" spans="1:15" ht="18.75" x14ac:dyDescent="0.3">
      <c r="A16" s="488" t="s">
        <v>240</v>
      </c>
      <c r="B16" s="488"/>
      <c r="C16" s="488"/>
      <c r="D16" s="488"/>
      <c r="E16" s="488"/>
      <c r="F16" s="488"/>
      <c r="G16" s="488"/>
      <c r="I16" s="19"/>
      <c r="J16" s="19"/>
      <c r="K16" s="19"/>
      <c r="L16" s="19"/>
      <c r="M16" s="19"/>
      <c r="N16" s="19"/>
    </row>
    <row r="17" spans="1:14" ht="15.75" x14ac:dyDescent="0.25">
      <c r="C17" s="57"/>
      <c r="D17" s="72"/>
      <c r="I17" s="19"/>
      <c r="J17"/>
      <c r="K17"/>
      <c r="L17"/>
      <c r="M17"/>
      <c r="N17" s="19"/>
    </row>
    <row r="18" spans="1:14" ht="15.75" x14ac:dyDescent="0.25">
      <c r="A18" s="246" t="s">
        <v>228</v>
      </c>
      <c r="B18" s="81"/>
      <c r="C18" s="81"/>
      <c r="I18" s="19"/>
      <c r="J18"/>
      <c r="K18"/>
      <c r="L18"/>
      <c r="M18"/>
      <c r="N18" s="19"/>
    </row>
    <row r="19" spans="1:14" ht="15.75" x14ac:dyDescent="0.25">
      <c r="E19" s="73" t="s">
        <v>157</v>
      </c>
      <c r="F19" s="73" t="s">
        <v>158</v>
      </c>
      <c r="I19" s="19"/>
      <c r="J19"/>
      <c r="K19"/>
      <c r="L19"/>
      <c r="M19"/>
      <c r="N19" s="19"/>
    </row>
    <row r="20" spans="1:14" ht="15.75" x14ac:dyDescent="0.25">
      <c r="B20" s="74" t="s">
        <v>159</v>
      </c>
      <c r="C20" s="75" t="s">
        <v>160</v>
      </c>
      <c r="D20" s="75" t="s">
        <v>161</v>
      </c>
      <c r="E20" s="75">
        <f>B21</f>
        <v>20000</v>
      </c>
      <c r="F20" s="75">
        <f>B22</f>
        <v>20000</v>
      </c>
      <c r="G20" s="74" t="s">
        <v>162</v>
      </c>
      <c r="I20" s="19"/>
      <c r="J20"/>
      <c r="K20"/>
      <c r="L20"/>
      <c r="M20"/>
      <c r="N20" s="19"/>
    </row>
    <row r="21" spans="1:14" ht="15.75" x14ac:dyDescent="0.25">
      <c r="A21" s="76" t="s">
        <v>157</v>
      </c>
      <c r="B21" s="77">
        <v>20000</v>
      </c>
      <c r="C21" s="54">
        <f>86560+5953-572</f>
        <v>91941</v>
      </c>
      <c r="D21" s="54">
        <f>363173910</f>
        <v>363173910</v>
      </c>
      <c r="E21" s="54">
        <f>D21</f>
        <v>363173910</v>
      </c>
      <c r="F21" s="54">
        <v>0</v>
      </c>
      <c r="G21" s="54">
        <f>SUM(E21:F21)</f>
        <v>363173910</v>
      </c>
      <c r="I21" s="19"/>
      <c r="J21"/>
      <c r="K21"/>
      <c r="L21"/>
      <c r="M21"/>
      <c r="N21" s="19"/>
    </row>
    <row r="22" spans="1:14" ht="15.75" x14ac:dyDescent="0.25">
      <c r="A22" s="76" t="s">
        <v>158</v>
      </c>
      <c r="B22" s="78">
        <v>20000</v>
      </c>
      <c r="C22" s="79">
        <v>1936</v>
      </c>
      <c r="D22" s="79">
        <f>263113770-Resale!J6</f>
        <v>165772770</v>
      </c>
      <c r="E22" s="79">
        <f>C22*E20</f>
        <v>38720000</v>
      </c>
      <c r="F22" s="79">
        <f>D22-E22</f>
        <v>127052770</v>
      </c>
      <c r="G22" s="79">
        <f>SUM(E22:F22)</f>
        <v>165772770</v>
      </c>
      <c r="I22" s="19"/>
      <c r="J22"/>
      <c r="K22"/>
      <c r="L22"/>
      <c r="M22"/>
      <c r="N22" s="19"/>
    </row>
    <row r="23" spans="1:14" ht="15.75" x14ac:dyDescent="0.25">
      <c r="A23" s="76"/>
      <c r="B23" s="77"/>
      <c r="C23" s="54">
        <f>SUM(C21:C22)</f>
        <v>93877</v>
      </c>
      <c r="D23" s="54">
        <f>SUM(D21:D22)</f>
        <v>528946680</v>
      </c>
      <c r="E23" s="54">
        <f>SUM(E21:E22)</f>
        <v>401893910</v>
      </c>
      <c r="F23" s="54">
        <f>SUM(F21:F22)</f>
        <v>127052770</v>
      </c>
      <c r="G23" s="54">
        <f>SUM(G21:G22)</f>
        <v>528946680</v>
      </c>
      <c r="I23" s="19"/>
      <c r="J23"/>
      <c r="K23"/>
      <c r="L23"/>
      <c r="M23"/>
      <c r="N23" s="19"/>
    </row>
    <row r="24" spans="1:14" ht="15.75" x14ac:dyDescent="0.25">
      <c r="A24" s="76"/>
      <c r="B24" s="77"/>
      <c r="D24" s="77"/>
      <c r="E24" s="77"/>
      <c r="F24" s="77"/>
      <c r="G24" s="77"/>
      <c r="I24" s="19"/>
      <c r="J24"/>
      <c r="K24"/>
      <c r="L24"/>
      <c r="M24"/>
      <c r="N24" s="19"/>
    </row>
    <row r="25" spans="1:14" ht="15.75" x14ac:dyDescent="0.25">
      <c r="A25" s="80" t="s">
        <v>163</v>
      </c>
      <c r="B25" s="80"/>
      <c r="D25" s="77"/>
      <c r="E25" s="77"/>
      <c r="F25" s="77"/>
      <c r="G25" s="77"/>
      <c r="I25" s="19"/>
      <c r="J25"/>
      <c r="K25"/>
      <c r="L25"/>
      <c r="M25"/>
      <c r="N25" s="19"/>
    </row>
    <row r="26" spans="1:14" ht="15.75" x14ac:dyDescent="0.25">
      <c r="A26" s="76"/>
      <c r="C26" s="75" t="s">
        <v>160</v>
      </c>
      <c r="D26" s="74" t="s">
        <v>161</v>
      </c>
      <c r="E26" s="75" t="s">
        <v>164</v>
      </c>
      <c r="F26" s="75" t="s">
        <v>165</v>
      </c>
      <c r="I26" s="19"/>
      <c r="J26"/>
      <c r="K26"/>
      <c r="L26"/>
      <c r="M26"/>
      <c r="N26" s="19"/>
    </row>
    <row r="27" spans="1:14" ht="15.75" x14ac:dyDescent="0.25">
      <c r="A27" s="76" t="s">
        <v>157</v>
      </c>
      <c r="B27" s="77">
        <f>B21</f>
        <v>20000</v>
      </c>
      <c r="C27" s="54">
        <f>C21</f>
        <v>91941</v>
      </c>
      <c r="D27" s="54">
        <f>E23</f>
        <v>401893910</v>
      </c>
      <c r="E27" s="55">
        <v>5.61</v>
      </c>
      <c r="F27" s="72">
        <f>E27*(D27/1000)</f>
        <v>2254624.8350999998</v>
      </c>
      <c r="I27" s="19"/>
      <c r="J27"/>
      <c r="K27"/>
      <c r="L27"/>
      <c r="M27"/>
      <c r="N27" s="19"/>
    </row>
    <row r="28" spans="1:14" ht="15.75" x14ac:dyDescent="0.25">
      <c r="A28" s="76" t="s">
        <v>158</v>
      </c>
      <c r="B28" s="77">
        <f>B22</f>
        <v>20000</v>
      </c>
      <c r="C28" s="247">
        <f>C22</f>
        <v>1936</v>
      </c>
      <c r="D28" s="79">
        <f>F23</f>
        <v>127052770</v>
      </c>
      <c r="E28" s="82">
        <v>4.6100000000000003</v>
      </c>
      <c r="F28" s="79">
        <f>E28*(D28/1000)</f>
        <v>585713.26970000006</v>
      </c>
      <c r="I28" s="19"/>
      <c r="J28"/>
      <c r="K28"/>
      <c r="L28"/>
      <c r="M28"/>
      <c r="N28" s="19"/>
    </row>
    <row r="29" spans="1:14" ht="15.75" x14ac:dyDescent="0.25">
      <c r="A29" s="76"/>
      <c r="B29" s="77" t="s">
        <v>162</v>
      </c>
      <c r="C29" s="54">
        <f>SUM(C27:C28)</f>
        <v>93877</v>
      </c>
      <c r="D29" s="54">
        <f>SUM(D27:D28)</f>
        <v>528946680</v>
      </c>
      <c r="F29" s="72">
        <f>SUM(F27:F28)</f>
        <v>2840338.1047999999</v>
      </c>
      <c r="J29"/>
      <c r="K29"/>
      <c r="L29"/>
      <c r="M29"/>
    </row>
    <row r="30" spans="1:14" ht="15.75" x14ac:dyDescent="0.25">
      <c r="J30"/>
      <c r="K30"/>
      <c r="L30"/>
      <c r="M30"/>
    </row>
    <row r="31" spans="1:14" ht="15.75" x14ac:dyDescent="0.25">
      <c r="A31" s="246" t="s">
        <v>229</v>
      </c>
      <c r="B31" s="81"/>
      <c r="C31" s="81"/>
      <c r="J31"/>
      <c r="K31"/>
      <c r="L31"/>
      <c r="M31"/>
    </row>
    <row r="32" spans="1:14" ht="6.95" customHeight="1" x14ac:dyDescent="0.25">
      <c r="J32"/>
      <c r="K32"/>
      <c r="L32"/>
      <c r="M32"/>
    </row>
    <row r="33" spans="1:13" ht="15.75" x14ac:dyDescent="0.25">
      <c r="B33" s="74" t="s">
        <v>230</v>
      </c>
      <c r="C33" s="75" t="s">
        <v>160</v>
      </c>
      <c r="D33" s="74" t="s">
        <v>231</v>
      </c>
      <c r="E33" s="74" t="s">
        <v>165</v>
      </c>
      <c r="J33"/>
      <c r="K33"/>
      <c r="L33"/>
      <c r="M33"/>
    </row>
    <row r="34" spans="1:13" ht="15.75" x14ac:dyDescent="0.25">
      <c r="B34" s="248" t="s">
        <v>232</v>
      </c>
      <c r="C34" s="54">
        <v>86036</v>
      </c>
      <c r="D34" s="62">
        <v>2.97</v>
      </c>
      <c r="E34" s="72">
        <f>D34*C34</f>
        <v>255526.92</v>
      </c>
      <c r="J34"/>
      <c r="K34"/>
      <c r="L34"/>
      <c r="M34"/>
    </row>
    <row r="35" spans="1:13" ht="15.75" x14ac:dyDescent="0.25">
      <c r="B35" s="73" t="s">
        <v>233</v>
      </c>
      <c r="C35" s="54">
        <v>6385.9999999999991</v>
      </c>
      <c r="D35" s="53">
        <v>4.1500000000000004</v>
      </c>
      <c r="E35" s="54">
        <f t="shared" ref="E35:E41" si="0">D35*C35</f>
        <v>26501.899999999998</v>
      </c>
      <c r="J35"/>
      <c r="K35"/>
      <c r="L35"/>
      <c r="M35"/>
    </row>
    <row r="36" spans="1:13" ht="15.75" x14ac:dyDescent="0.25">
      <c r="B36" s="73" t="s">
        <v>234</v>
      </c>
      <c r="C36" s="54">
        <v>564</v>
      </c>
      <c r="D36" s="53">
        <v>5.34</v>
      </c>
      <c r="E36" s="54">
        <f t="shared" si="0"/>
        <v>3011.7599999999998</v>
      </c>
      <c r="J36"/>
      <c r="K36"/>
      <c r="L36"/>
      <c r="M36"/>
    </row>
    <row r="37" spans="1:13" ht="15.75" x14ac:dyDescent="0.25">
      <c r="B37" s="73" t="s">
        <v>235</v>
      </c>
      <c r="C37" s="54">
        <v>825</v>
      </c>
      <c r="D37" s="53">
        <v>8.61</v>
      </c>
      <c r="E37" s="54">
        <f t="shared" si="0"/>
        <v>7103.2499999999991</v>
      </c>
      <c r="J37"/>
      <c r="K37"/>
      <c r="L37"/>
      <c r="M37"/>
    </row>
    <row r="38" spans="1:13" ht="15.75" x14ac:dyDescent="0.25">
      <c r="B38" s="73" t="s">
        <v>236</v>
      </c>
      <c r="C38" s="54">
        <v>22</v>
      </c>
      <c r="D38" s="53">
        <v>32.65</v>
      </c>
      <c r="E38" s="54">
        <f t="shared" si="0"/>
        <v>718.3</v>
      </c>
      <c r="J38"/>
      <c r="K38"/>
      <c r="L38"/>
      <c r="M38"/>
    </row>
    <row r="39" spans="1:13" ht="15.75" x14ac:dyDescent="0.25">
      <c r="B39" s="73" t="s">
        <v>237</v>
      </c>
      <c r="C39" s="54">
        <v>0</v>
      </c>
      <c r="D39" s="53">
        <v>41.56</v>
      </c>
      <c r="E39" s="54">
        <f t="shared" si="0"/>
        <v>0</v>
      </c>
      <c r="J39"/>
      <c r="K39"/>
      <c r="L39"/>
      <c r="M39"/>
    </row>
    <row r="40" spans="1:13" ht="15.75" x14ac:dyDescent="0.25">
      <c r="B40" s="293" t="s">
        <v>238</v>
      </c>
      <c r="C40" s="83">
        <v>44</v>
      </c>
      <c r="D40" s="155">
        <v>62.34</v>
      </c>
      <c r="E40" s="83">
        <f t="shared" si="0"/>
        <v>2742.96</v>
      </c>
      <c r="J40"/>
      <c r="K40"/>
      <c r="L40"/>
      <c r="M40"/>
    </row>
    <row r="41" spans="1:13" ht="15.75" x14ac:dyDescent="0.25">
      <c r="B41" s="294" t="s">
        <v>339</v>
      </c>
      <c r="C41" s="79">
        <v>0</v>
      </c>
      <c r="D41" s="82">
        <v>86.09</v>
      </c>
      <c r="E41" s="79">
        <f t="shared" si="0"/>
        <v>0</v>
      </c>
      <c r="J41"/>
      <c r="K41"/>
      <c r="L41"/>
      <c r="M41"/>
    </row>
    <row r="42" spans="1:13" ht="15.75" x14ac:dyDescent="0.25">
      <c r="B42" s="73"/>
      <c r="C42" s="54">
        <f>SUM(C34:C41)</f>
        <v>93877</v>
      </c>
      <c r="D42" s="54"/>
      <c r="E42" s="72">
        <f>SUM(E34:E41)</f>
        <v>295605.09000000003</v>
      </c>
      <c r="J42"/>
      <c r="K42"/>
      <c r="L42"/>
      <c r="M42"/>
    </row>
    <row r="43" spans="1:13" x14ac:dyDescent="0.25">
      <c r="B43" s="73"/>
      <c r="C43" s="54"/>
      <c r="D43" s="54"/>
      <c r="E43" s="72"/>
    </row>
    <row r="44" spans="1:13" ht="17.25" x14ac:dyDescent="0.25">
      <c r="A44" s="487" t="s">
        <v>340</v>
      </c>
      <c r="B44" s="487"/>
      <c r="C44" s="487"/>
      <c r="D44" s="487"/>
      <c r="E44" s="487"/>
    </row>
    <row r="45" spans="1:13" ht="6.95" customHeight="1" x14ac:dyDescent="0.25"/>
    <row r="46" spans="1:13" x14ac:dyDescent="0.25">
      <c r="B46" s="74" t="s">
        <v>462</v>
      </c>
      <c r="C46" s="75" t="s">
        <v>160</v>
      </c>
      <c r="D46" s="74" t="s">
        <v>231</v>
      </c>
      <c r="E46" s="74" t="s">
        <v>165</v>
      </c>
    </row>
    <row r="47" spans="1:13" x14ac:dyDescent="0.25">
      <c r="B47" s="73" t="s">
        <v>235</v>
      </c>
      <c r="C47" s="54">
        <v>0</v>
      </c>
      <c r="D47" s="62">
        <v>12</v>
      </c>
      <c r="E47" s="72">
        <f>D47*C47</f>
        <v>0</v>
      </c>
    </row>
    <row r="48" spans="1:13" x14ac:dyDescent="0.25">
      <c r="B48" s="73" t="s">
        <v>237</v>
      </c>
      <c r="C48" s="54">
        <f>14*12</f>
        <v>168</v>
      </c>
      <c r="D48" s="53">
        <v>24</v>
      </c>
      <c r="E48" s="54">
        <f>C48*D48</f>
        <v>4032</v>
      </c>
    </row>
    <row r="49" spans="1:9" x14ac:dyDescent="0.25">
      <c r="B49" s="293" t="s">
        <v>238</v>
      </c>
      <c r="C49" s="54">
        <f>37*12</f>
        <v>444</v>
      </c>
      <c r="D49" s="53">
        <v>34</v>
      </c>
      <c r="E49" s="54">
        <f t="shared" ref="E49:E52" si="1">C49*D49</f>
        <v>15096</v>
      </c>
    </row>
    <row r="50" spans="1:9" x14ac:dyDescent="0.25">
      <c r="B50" s="295" t="s">
        <v>339</v>
      </c>
      <c r="C50" s="54">
        <f>12*12</f>
        <v>144</v>
      </c>
      <c r="D50" s="53">
        <v>45</v>
      </c>
      <c r="E50" s="54">
        <f t="shared" si="1"/>
        <v>6480</v>
      </c>
    </row>
    <row r="51" spans="1:9" x14ac:dyDescent="0.25">
      <c r="B51" s="73" t="s">
        <v>341</v>
      </c>
      <c r="C51" s="54">
        <f>3*12</f>
        <v>36</v>
      </c>
      <c r="D51" s="53">
        <v>55</v>
      </c>
      <c r="E51" s="54">
        <f t="shared" si="1"/>
        <v>1980</v>
      </c>
    </row>
    <row r="52" spans="1:9" x14ac:dyDescent="0.25">
      <c r="B52" s="74" t="s">
        <v>342</v>
      </c>
      <c r="C52" s="79">
        <v>0</v>
      </c>
      <c r="D52" s="82">
        <v>75</v>
      </c>
      <c r="E52" s="79">
        <f t="shared" si="1"/>
        <v>0</v>
      </c>
    </row>
    <row r="53" spans="1:9" x14ac:dyDescent="0.25">
      <c r="B53" s="73"/>
      <c r="C53" s="54">
        <f>SUM(C47:C52)</f>
        <v>792</v>
      </c>
      <c r="D53" s="54"/>
      <c r="E53" s="72">
        <f>SUM(E47:E52)</f>
        <v>27588</v>
      </c>
    </row>
    <row r="54" spans="1:9" x14ac:dyDescent="0.25">
      <c r="B54" s="73"/>
      <c r="C54" s="54"/>
      <c r="D54" s="54"/>
      <c r="E54" s="72"/>
    </row>
    <row r="55" spans="1:9" x14ac:dyDescent="0.25">
      <c r="A55" s="246" t="s">
        <v>239</v>
      </c>
      <c r="B55" s="81"/>
      <c r="C55" s="81"/>
    </row>
    <row r="56" spans="1:9" ht="6.95" customHeight="1" x14ac:dyDescent="0.25"/>
    <row r="57" spans="1:9" x14ac:dyDescent="0.25">
      <c r="C57" s="74" t="s">
        <v>243</v>
      </c>
      <c r="D57" s="75" t="s">
        <v>164</v>
      </c>
      <c r="E57" s="75" t="s">
        <v>165</v>
      </c>
    </row>
    <row r="58" spans="1:9" x14ac:dyDescent="0.25">
      <c r="B58" s="1" t="s">
        <v>203</v>
      </c>
      <c r="C58" s="54">
        <f>87643+9698</f>
        <v>97341</v>
      </c>
      <c r="D58" s="249">
        <v>3.75</v>
      </c>
      <c r="E58" s="250">
        <f>C58*D58</f>
        <v>365028.75</v>
      </c>
      <c r="H58" s="2"/>
      <c r="I58" s="2"/>
    </row>
    <row r="61" spans="1:9" ht="18.75" x14ac:dyDescent="0.3">
      <c r="A61" s="488" t="s">
        <v>241</v>
      </c>
      <c r="B61" s="488"/>
      <c r="C61" s="488"/>
      <c r="D61" s="488"/>
      <c r="E61" s="488"/>
      <c r="F61" s="488"/>
      <c r="G61" s="488"/>
    </row>
    <row r="63" spans="1:9" x14ac:dyDescent="0.25">
      <c r="A63" s="246" t="s">
        <v>228</v>
      </c>
      <c r="B63" s="81"/>
      <c r="C63" s="81"/>
    </row>
    <row r="64" spans="1:9" x14ac:dyDescent="0.25">
      <c r="E64" s="73" t="s">
        <v>157</v>
      </c>
      <c r="F64" s="73" t="s">
        <v>158</v>
      </c>
    </row>
    <row r="65" spans="1:13" x14ac:dyDescent="0.25">
      <c r="B65" s="74" t="s">
        <v>159</v>
      </c>
      <c r="C65" s="75" t="s">
        <v>160</v>
      </c>
      <c r="D65" s="75" t="s">
        <v>161</v>
      </c>
      <c r="E65" s="75">
        <f>B66</f>
        <v>20000</v>
      </c>
      <c r="F65" s="75">
        <f>B67</f>
        <v>20000</v>
      </c>
      <c r="G65" s="74" t="s">
        <v>162</v>
      </c>
    </row>
    <row r="66" spans="1:13" x14ac:dyDescent="0.25">
      <c r="A66" s="76" t="s">
        <v>157</v>
      </c>
      <c r="B66" s="77">
        <v>20000</v>
      </c>
      <c r="C66" s="54">
        <f>60717+3110-471</f>
        <v>63356</v>
      </c>
      <c r="D66" s="54">
        <f>243388200-Resale!J11</f>
        <v>243299200</v>
      </c>
      <c r="E66" s="54">
        <f>D66</f>
        <v>243299200</v>
      </c>
      <c r="F66" s="54">
        <v>0</v>
      </c>
      <c r="G66" s="54">
        <f>SUM(E66:F66)</f>
        <v>243299200</v>
      </c>
    </row>
    <row r="67" spans="1:13" x14ac:dyDescent="0.25">
      <c r="A67" s="76" t="s">
        <v>158</v>
      </c>
      <c r="B67" s="78">
        <v>20000</v>
      </c>
      <c r="C67" s="79">
        <v>1368</v>
      </c>
      <c r="D67" s="79">
        <f>105282760-Resale!J12</f>
        <v>96293760</v>
      </c>
      <c r="E67" s="79">
        <f>C67*E65</f>
        <v>27360000</v>
      </c>
      <c r="F67" s="79">
        <f>D67-E67</f>
        <v>68933760</v>
      </c>
      <c r="G67" s="79">
        <f>SUM(E67:F67)</f>
        <v>96293760</v>
      </c>
    </row>
    <row r="68" spans="1:13" x14ac:dyDescent="0.25">
      <c r="A68" s="76"/>
      <c r="B68" s="77"/>
      <c r="C68" s="54">
        <f>SUM(C66:C67)</f>
        <v>64724</v>
      </c>
      <c r="D68" s="54">
        <f>SUM(D66:D67)</f>
        <v>339592960</v>
      </c>
      <c r="E68" s="54">
        <f>SUM(E66:E67)</f>
        <v>270659200</v>
      </c>
      <c r="F68" s="54">
        <f>SUM(F66:F67)</f>
        <v>68933760</v>
      </c>
      <c r="G68" s="54">
        <f>SUM(G66:G67)</f>
        <v>339592960</v>
      </c>
    </row>
    <row r="69" spans="1:13" x14ac:dyDescent="0.25">
      <c r="A69" s="76"/>
      <c r="B69" s="77"/>
      <c r="D69" s="77"/>
      <c r="E69" s="77"/>
      <c r="F69" s="77"/>
      <c r="G69" s="77"/>
    </row>
    <row r="70" spans="1:13" x14ac:dyDescent="0.25">
      <c r="A70" s="80" t="s">
        <v>163</v>
      </c>
      <c r="B70" s="80"/>
      <c r="D70" s="77"/>
      <c r="E70" s="77"/>
      <c r="F70" s="77"/>
      <c r="G70" s="77"/>
    </row>
    <row r="71" spans="1:13" x14ac:dyDescent="0.25">
      <c r="A71" s="76"/>
      <c r="C71" s="75" t="s">
        <v>160</v>
      </c>
      <c r="D71" s="74" t="s">
        <v>161</v>
      </c>
      <c r="E71" s="75" t="s">
        <v>164</v>
      </c>
      <c r="F71" s="75" t="s">
        <v>165</v>
      </c>
    </row>
    <row r="72" spans="1:13" x14ac:dyDescent="0.25">
      <c r="A72" s="76" t="s">
        <v>157</v>
      </c>
      <c r="B72" s="77">
        <f>B66</f>
        <v>20000</v>
      </c>
      <c r="C72" s="54">
        <f>C66</f>
        <v>63356</v>
      </c>
      <c r="D72" s="54">
        <f>E68</f>
        <v>270659200</v>
      </c>
      <c r="E72" s="55">
        <v>6.72</v>
      </c>
      <c r="F72" s="72">
        <f>E72*(D72/1000)</f>
        <v>1818829.824</v>
      </c>
    </row>
    <row r="73" spans="1:13" x14ac:dyDescent="0.25">
      <c r="A73" s="76" t="s">
        <v>158</v>
      </c>
      <c r="B73" s="77">
        <f>B67</f>
        <v>20000</v>
      </c>
      <c r="C73" s="247">
        <f>C67</f>
        <v>1368</v>
      </c>
      <c r="D73" s="79">
        <f>F68</f>
        <v>68933760</v>
      </c>
      <c r="E73" s="82">
        <v>5.51</v>
      </c>
      <c r="F73" s="79">
        <f>E73*(D73/1000)</f>
        <v>379825.01759999996</v>
      </c>
    </row>
    <row r="74" spans="1:13" x14ac:dyDescent="0.25">
      <c r="A74" s="76"/>
      <c r="B74" s="77" t="s">
        <v>162</v>
      </c>
      <c r="C74" s="54">
        <f>SUM(C72:C73)</f>
        <v>64724</v>
      </c>
      <c r="D74" s="54">
        <f>SUM(D72:D73)</f>
        <v>339592960</v>
      </c>
      <c r="F74" s="72">
        <f>SUM(F72:F73)</f>
        <v>2198654.8415999999</v>
      </c>
    </row>
    <row r="76" spans="1:13" x14ac:dyDescent="0.25">
      <c r="A76" s="246" t="s">
        <v>229</v>
      </c>
      <c r="B76" s="81"/>
      <c r="C76" s="81"/>
    </row>
    <row r="78" spans="1:13" x14ac:dyDescent="0.25">
      <c r="B78" s="74" t="s">
        <v>230</v>
      </c>
      <c r="C78" s="75" t="s">
        <v>160</v>
      </c>
      <c r="D78" s="74" t="s">
        <v>231</v>
      </c>
      <c r="E78" s="74" t="s">
        <v>165</v>
      </c>
      <c r="L78" s="59"/>
      <c r="M78" s="59"/>
    </row>
    <row r="79" spans="1:13" x14ac:dyDescent="0.25">
      <c r="B79" s="248" t="s">
        <v>232</v>
      </c>
      <c r="C79" s="54">
        <v>58826.999999999993</v>
      </c>
      <c r="D79" s="53">
        <v>3.7</v>
      </c>
      <c r="E79" s="72">
        <f>D79*C79</f>
        <v>217659.9</v>
      </c>
      <c r="L79" s="2"/>
      <c r="M79" s="2"/>
    </row>
    <row r="80" spans="1:13" x14ac:dyDescent="0.25">
      <c r="B80" s="73" t="s">
        <v>233</v>
      </c>
      <c r="C80" s="54">
        <v>4636.0000000000009</v>
      </c>
      <c r="D80" s="53">
        <v>5.18</v>
      </c>
      <c r="E80" s="54">
        <f t="shared" ref="E80:E86" si="2">D80*C80</f>
        <v>24014.480000000003</v>
      </c>
      <c r="L80" s="2"/>
      <c r="M80" s="2"/>
    </row>
    <row r="81" spans="1:13" x14ac:dyDescent="0.25">
      <c r="B81" s="73" t="s">
        <v>234</v>
      </c>
      <c r="C81" s="54">
        <v>652</v>
      </c>
      <c r="D81" s="53">
        <v>6.66</v>
      </c>
      <c r="E81" s="54">
        <f t="shared" si="2"/>
        <v>4342.32</v>
      </c>
      <c r="L81" s="2"/>
      <c r="M81" s="2"/>
    </row>
    <row r="82" spans="1:13" x14ac:dyDescent="0.25">
      <c r="B82" s="73" t="s">
        <v>235</v>
      </c>
      <c r="C82" s="54">
        <v>575</v>
      </c>
      <c r="D82" s="53">
        <v>10.73</v>
      </c>
      <c r="E82" s="54">
        <f t="shared" si="2"/>
        <v>6169.75</v>
      </c>
      <c r="L82" s="2"/>
      <c r="M82" s="2"/>
    </row>
    <row r="83" spans="1:13" x14ac:dyDescent="0.25">
      <c r="B83" s="73" t="s">
        <v>236</v>
      </c>
      <c r="C83" s="54">
        <v>11</v>
      </c>
      <c r="D83" s="53">
        <v>40.69</v>
      </c>
      <c r="E83" s="54">
        <f t="shared" si="2"/>
        <v>447.59</v>
      </c>
      <c r="L83" s="2"/>
      <c r="M83" s="2"/>
    </row>
    <row r="84" spans="1:13" x14ac:dyDescent="0.25">
      <c r="B84" s="73" t="s">
        <v>237</v>
      </c>
      <c r="C84" s="54">
        <v>11.000000000000002</v>
      </c>
      <c r="D84" s="53">
        <v>51.79</v>
      </c>
      <c r="E84" s="54">
        <f t="shared" si="2"/>
        <v>569.69000000000005</v>
      </c>
      <c r="L84" s="2"/>
      <c r="M84" s="2"/>
    </row>
    <row r="85" spans="1:13" x14ac:dyDescent="0.25">
      <c r="B85" s="293" t="s">
        <v>238</v>
      </c>
      <c r="C85" s="83">
        <v>12</v>
      </c>
      <c r="D85" s="155">
        <v>77.67</v>
      </c>
      <c r="E85" s="83">
        <f t="shared" si="2"/>
        <v>932.04</v>
      </c>
      <c r="L85" s="2"/>
      <c r="M85" s="2"/>
    </row>
    <row r="86" spans="1:13" ht="17.25" x14ac:dyDescent="0.4">
      <c r="B86" s="74" t="s">
        <v>339</v>
      </c>
      <c r="C86" s="79">
        <v>0</v>
      </c>
      <c r="D86" s="82">
        <v>107.28</v>
      </c>
      <c r="E86" s="79">
        <f t="shared" si="2"/>
        <v>0</v>
      </c>
      <c r="L86" s="206"/>
      <c r="M86" s="206"/>
    </row>
    <row r="87" spans="1:13" x14ac:dyDescent="0.25">
      <c r="B87" s="73"/>
      <c r="C87" s="54">
        <f>SUM(C79:C86)</f>
        <v>64723.999999999993</v>
      </c>
      <c r="D87" s="54"/>
      <c r="E87" s="72">
        <f>SUM(E79:E86)</f>
        <v>254135.77000000002</v>
      </c>
      <c r="L87" s="2"/>
      <c r="M87" s="2"/>
    </row>
    <row r="88" spans="1:13" x14ac:dyDescent="0.25">
      <c r="C88" s="54"/>
      <c r="D88" s="54"/>
      <c r="E88" s="54"/>
    </row>
    <row r="89" spans="1:13" ht="17.25" x14ac:dyDescent="0.25">
      <c r="A89" s="487" t="s">
        <v>340</v>
      </c>
      <c r="B89" s="487"/>
      <c r="C89" s="487"/>
      <c r="D89" s="487"/>
      <c r="E89" s="487"/>
    </row>
    <row r="91" spans="1:13" x14ac:dyDescent="0.25">
      <c r="B91" s="74" t="s">
        <v>461</v>
      </c>
      <c r="C91" s="75" t="s">
        <v>160</v>
      </c>
      <c r="D91" s="74" t="s">
        <v>231</v>
      </c>
      <c r="E91" s="74" t="s">
        <v>165</v>
      </c>
      <c r="L91" s="59"/>
      <c r="M91" s="59"/>
    </row>
    <row r="92" spans="1:13" x14ac:dyDescent="0.25">
      <c r="B92" s="73" t="s">
        <v>235</v>
      </c>
      <c r="C92" s="54">
        <v>0</v>
      </c>
      <c r="D92" s="62">
        <v>12</v>
      </c>
      <c r="E92" s="54">
        <f t="shared" ref="E92:E97" si="3">C92*D92</f>
        <v>0</v>
      </c>
      <c r="L92" s="2"/>
      <c r="M92" s="2"/>
    </row>
    <row r="93" spans="1:13" x14ac:dyDescent="0.25">
      <c r="B93" s="73" t="s">
        <v>237</v>
      </c>
      <c r="C93" s="54">
        <f>3*12</f>
        <v>36</v>
      </c>
      <c r="D93" s="53">
        <v>24</v>
      </c>
      <c r="E93" s="54">
        <f t="shared" si="3"/>
        <v>864</v>
      </c>
      <c r="L93" s="2"/>
      <c r="M93" s="2"/>
    </row>
    <row r="94" spans="1:13" x14ac:dyDescent="0.25">
      <c r="B94" s="293" t="s">
        <v>238</v>
      </c>
      <c r="C94" s="54">
        <f>20*12</f>
        <v>240</v>
      </c>
      <c r="D94" s="53">
        <v>34</v>
      </c>
      <c r="E94" s="54">
        <f t="shared" si="3"/>
        <v>8160</v>
      </c>
      <c r="L94" s="2"/>
      <c r="M94" s="2"/>
    </row>
    <row r="95" spans="1:13" x14ac:dyDescent="0.25">
      <c r="B95" s="295" t="s">
        <v>339</v>
      </c>
      <c r="C95" s="54">
        <f>1*12</f>
        <v>12</v>
      </c>
      <c r="D95" s="53">
        <v>45</v>
      </c>
      <c r="E95" s="54">
        <f t="shared" si="3"/>
        <v>540</v>
      </c>
      <c r="L95" s="2"/>
      <c r="M95" s="2"/>
    </row>
    <row r="96" spans="1:13" x14ac:dyDescent="0.25">
      <c r="B96" s="73" t="s">
        <v>341</v>
      </c>
      <c r="C96" s="54">
        <v>0</v>
      </c>
      <c r="D96" s="53">
        <v>55</v>
      </c>
      <c r="E96" s="54">
        <f t="shared" si="3"/>
        <v>0</v>
      </c>
      <c r="L96" s="2"/>
      <c r="M96" s="2"/>
    </row>
    <row r="97" spans="1:13" ht="17.25" x14ac:dyDescent="0.4">
      <c r="B97" s="74" t="s">
        <v>342</v>
      </c>
      <c r="C97" s="79">
        <v>0</v>
      </c>
      <c r="D97" s="82">
        <v>75</v>
      </c>
      <c r="E97" s="79">
        <f t="shared" si="3"/>
        <v>0</v>
      </c>
      <c r="L97" s="206"/>
      <c r="M97" s="206"/>
    </row>
    <row r="98" spans="1:13" x14ac:dyDescent="0.25">
      <c r="B98" s="73"/>
      <c r="C98" s="54">
        <f>SUM(C92:C97)</f>
        <v>288</v>
      </c>
      <c r="D98" s="54"/>
      <c r="E98" s="72">
        <f>SUM(E92:E97)</f>
        <v>9564</v>
      </c>
      <c r="L98" s="2"/>
      <c r="M98" s="2"/>
    </row>
    <row r="99" spans="1:13" x14ac:dyDescent="0.25">
      <c r="C99" s="54"/>
      <c r="D99" s="54"/>
      <c r="E99" s="54"/>
    </row>
    <row r="100" spans="1:13" x14ac:dyDescent="0.25">
      <c r="A100" s="246" t="s">
        <v>239</v>
      </c>
      <c r="B100" s="81"/>
      <c r="C100" s="81"/>
    </row>
    <row r="102" spans="1:13" x14ac:dyDescent="0.25">
      <c r="C102" s="74" t="s">
        <v>161</v>
      </c>
      <c r="D102" s="75" t="s">
        <v>164</v>
      </c>
      <c r="E102" s="75" t="s">
        <v>165</v>
      </c>
    </row>
    <row r="103" spans="1:13" x14ac:dyDescent="0.25">
      <c r="B103" s="1" t="s">
        <v>203</v>
      </c>
      <c r="C103" s="2">
        <f>3635+5443</f>
        <v>9078</v>
      </c>
      <c r="D103" s="249">
        <v>4.84</v>
      </c>
      <c r="E103" s="250">
        <f>C103*D103</f>
        <v>43937.52</v>
      </c>
    </row>
  </sheetData>
  <mergeCells count="7">
    <mergeCell ref="A1:G1"/>
    <mergeCell ref="A2:G2"/>
    <mergeCell ref="A89:E89"/>
    <mergeCell ref="A16:G16"/>
    <mergeCell ref="A61:G61"/>
    <mergeCell ref="B4:D4"/>
    <mergeCell ref="A44:E44"/>
  </mergeCells>
  <printOptions horizontalCentered="1"/>
  <pageMargins left="0.7" right="0.7" top="0.5" bottom="0.5" header="0.3" footer="0.3"/>
  <pageSetup scale="82" fitToHeight="2" orientation="portrait" r:id="rId1"/>
  <headerFooter>
    <oddFooter>Page &amp;P of &amp;N</oddFooter>
  </headerFooter>
  <rowBreaks count="1" manualBreakCount="1">
    <brk id="58" max="6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U102"/>
  <sheetViews>
    <sheetView workbookViewId="0">
      <selection activeCell="A3" sqref="A3"/>
    </sheetView>
    <sheetView workbookViewId="1">
      <selection sqref="A1:G1"/>
    </sheetView>
  </sheetViews>
  <sheetFormatPr defaultRowHeight="15" x14ac:dyDescent="0.2"/>
  <cols>
    <col min="1" max="1" width="7.77734375" customWidth="1"/>
    <col min="2" max="2" width="8.21875" customWidth="1"/>
    <col min="3" max="4" width="10.5546875" customWidth="1"/>
    <col min="5" max="5" width="10.88671875" customWidth="1"/>
    <col min="6" max="7" width="11.77734375" customWidth="1"/>
    <col min="10" max="10" width="10.21875" bestFit="1" customWidth="1"/>
    <col min="14" max="14" width="11" bestFit="1" customWidth="1"/>
  </cols>
  <sheetData>
    <row r="1" spans="1:47" ht="18.75" customHeight="1" x14ac:dyDescent="0.3">
      <c r="A1" s="485" t="s">
        <v>463</v>
      </c>
      <c r="B1" s="485"/>
      <c r="C1" s="485"/>
      <c r="D1" s="485"/>
      <c r="E1" s="485"/>
      <c r="F1" s="485"/>
      <c r="G1" s="48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8.75" customHeight="1" x14ac:dyDescent="0.25">
      <c r="A2" s="486" t="s">
        <v>242</v>
      </c>
      <c r="B2" s="486"/>
      <c r="C2" s="486"/>
      <c r="D2" s="486"/>
      <c r="E2" s="486"/>
      <c r="F2" s="486"/>
      <c r="G2" s="48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5" customHeight="1" x14ac:dyDescent="0.25">
      <c r="A3" s="383"/>
      <c r="B3" s="383"/>
      <c r="C3" s="383"/>
      <c r="D3" s="2"/>
      <c r="E3" s="2"/>
      <c r="F3" s="383"/>
      <c r="G3" s="38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5" customHeight="1" x14ac:dyDescent="0.25">
      <c r="A4" s="1"/>
      <c r="B4" s="489" t="s">
        <v>338</v>
      </c>
      <c r="C4" s="489"/>
      <c r="D4" s="489"/>
      <c r="E4" s="1"/>
      <c r="F4" s="1"/>
      <c r="G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15" customHeight="1" x14ac:dyDescent="0.25">
      <c r="A5" s="1"/>
      <c r="B5" s="1"/>
      <c r="C5" s="74" t="s">
        <v>225</v>
      </c>
      <c r="D5" s="75" t="s">
        <v>160</v>
      </c>
      <c r="E5" s="75" t="s">
        <v>161</v>
      </c>
      <c r="F5" s="74" t="s">
        <v>180</v>
      </c>
      <c r="G5" s="1"/>
      <c r="J5" s="1"/>
      <c r="K5" s="1"/>
      <c r="L5" s="1"/>
      <c r="M5" s="437"/>
      <c r="N5" s="437"/>
      <c r="O5" s="437"/>
      <c r="P5" s="437"/>
      <c r="Q5" s="43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15" customHeight="1" x14ac:dyDescent="0.25">
      <c r="A6" s="1"/>
      <c r="B6" s="1"/>
      <c r="C6" s="2" t="s">
        <v>226</v>
      </c>
      <c r="D6" s="2">
        <f>C27</f>
        <v>158601</v>
      </c>
      <c r="E6" s="2">
        <f>D27</f>
        <v>868539640</v>
      </c>
      <c r="F6" s="72">
        <f>F27</f>
        <v>5395180.8914000001</v>
      </c>
      <c r="G6" s="1"/>
      <c r="J6" s="1"/>
      <c r="K6" s="1"/>
      <c r="L6" s="1"/>
      <c r="M6" s="437"/>
      <c r="N6" s="438"/>
      <c r="O6" s="437"/>
      <c r="P6" s="437"/>
      <c r="Q6" s="43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15" customHeight="1" x14ac:dyDescent="0.25">
      <c r="A7" s="1"/>
      <c r="B7" s="1"/>
      <c r="C7" s="2" t="s">
        <v>227</v>
      </c>
      <c r="D7" s="1"/>
      <c r="E7" s="1"/>
      <c r="F7" s="79">
        <f>E40</f>
        <v>688123.86</v>
      </c>
      <c r="G7" s="1"/>
      <c r="J7" s="1"/>
      <c r="K7" s="1"/>
      <c r="L7" s="1"/>
      <c r="M7" s="437"/>
      <c r="N7" s="437"/>
      <c r="O7" s="437"/>
      <c r="P7" s="437"/>
      <c r="Q7" s="43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" customHeight="1" x14ac:dyDescent="0.25">
      <c r="A8" s="1"/>
      <c r="B8" s="1"/>
      <c r="C8" s="2" t="s">
        <v>17</v>
      </c>
      <c r="D8" s="1"/>
      <c r="E8" s="1"/>
      <c r="F8" s="211">
        <f>SUM(F6:F7)</f>
        <v>6083304.7514000004</v>
      </c>
      <c r="G8" s="1"/>
      <c r="J8" s="1"/>
      <c r="K8" s="1"/>
      <c r="L8" s="1"/>
      <c r="M8" s="437"/>
      <c r="N8" s="438"/>
      <c r="O8" s="437"/>
      <c r="P8" s="437"/>
      <c r="Q8" s="437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15" customHeight="1" x14ac:dyDescent="0.4">
      <c r="A9" s="1"/>
      <c r="B9" s="1"/>
      <c r="C9" s="1"/>
      <c r="D9" s="2"/>
      <c r="E9" s="245" t="s">
        <v>464</v>
      </c>
      <c r="F9" s="241">
        <f>ExBA!F9*(1+SAO!I55)</f>
        <v>-5827.6355519999997</v>
      </c>
      <c r="G9" s="1"/>
      <c r="J9" s="1"/>
      <c r="K9" s="1"/>
      <c r="L9" s="1"/>
      <c r="M9" s="437"/>
      <c r="N9" s="437"/>
      <c r="O9" s="437"/>
      <c r="P9" s="437"/>
      <c r="Q9" s="437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15" customHeight="1" x14ac:dyDescent="0.25">
      <c r="A10" s="1"/>
      <c r="B10" s="1"/>
      <c r="C10" s="235" t="s">
        <v>145</v>
      </c>
      <c r="D10" s="2"/>
      <c r="E10" s="1"/>
      <c r="F10" s="211">
        <f>F8+F9</f>
        <v>6077477.1158480002</v>
      </c>
      <c r="G10" s="1"/>
      <c r="J10" s="1"/>
      <c r="K10" s="1"/>
      <c r="L10" s="1"/>
      <c r="M10" s="437"/>
      <c r="N10" s="437"/>
      <c r="O10" s="437"/>
      <c r="P10" s="437"/>
      <c r="Q10" s="437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6.95" customHeight="1" x14ac:dyDescent="0.25">
      <c r="A11" s="1"/>
      <c r="B11" s="1"/>
      <c r="C11" s="2"/>
      <c r="D11" s="2"/>
      <c r="E11" s="1"/>
      <c r="F11" s="211"/>
      <c r="G11" s="1"/>
      <c r="J11" s="1"/>
      <c r="K11" s="1"/>
      <c r="L11" s="1"/>
      <c r="M11" s="437"/>
      <c r="N11" s="438"/>
      <c r="O11" s="437"/>
      <c r="P11" s="437"/>
      <c r="Q11" s="437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5.75" x14ac:dyDescent="0.25">
      <c r="A12" s="1"/>
      <c r="B12" s="1"/>
      <c r="C12" s="235" t="s">
        <v>343</v>
      </c>
      <c r="D12" s="2"/>
      <c r="E12" s="1"/>
      <c r="F12" s="211">
        <f>E51</f>
        <v>37152</v>
      </c>
      <c r="G12" s="1"/>
      <c r="J12" s="1"/>
      <c r="K12" s="1"/>
      <c r="L12" s="1"/>
      <c r="M12" s="437"/>
      <c r="N12" s="438"/>
      <c r="O12" s="437"/>
      <c r="P12" s="437"/>
      <c r="Q12" s="437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6.95" customHeight="1" x14ac:dyDescent="0.25">
      <c r="A13" s="1"/>
      <c r="B13" s="1"/>
      <c r="C13" s="2"/>
      <c r="D13" s="2"/>
      <c r="E13" s="1"/>
      <c r="F13" s="211"/>
      <c r="G13" s="1"/>
      <c r="J13" s="1"/>
      <c r="K13" s="1"/>
      <c r="L13" s="1"/>
      <c r="M13" s="437"/>
      <c r="N13" s="438"/>
      <c r="O13" s="439"/>
      <c r="P13" s="437"/>
      <c r="Q13" s="437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5.75" x14ac:dyDescent="0.25">
      <c r="A14" s="1"/>
      <c r="B14" s="1"/>
      <c r="C14" s="235" t="s">
        <v>344</v>
      </c>
      <c r="D14" s="2"/>
      <c r="E14" s="1"/>
      <c r="F14" s="211">
        <f>E56</f>
        <v>444831.42</v>
      </c>
      <c r="J14" s="250"/>
      <c r="K14" s="1"/>
      <c r="L14" s="1"/>
      <c r="M14" s="437"/>
      <c r="N14" s="437"/>
      <c r="O14" s="437"/>
      <c r="P14" s="437"/>
      <c r="Q14" s="43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15.75" x14ac:dyDescent="0.25">
      <c r="A15" s="1"/>
      <c r="B15" s="1"/>
      <c r="C15" s="57"/>
      <c r="D15" s="72"/>
      <c r="E15" s="1"/>
      <c r="F15" s="1"/>
      <c r="G15" s="1"/>
      <c r="J15" s="19"/>
      <c r="K15" s="1"/>
      <c r="L15" s="1"/>
      <c r="M15" s="437"/>
      <c r="N15" s="438"/>
      <c r="O15" s="437"/>
      <c r="P15" s="437"/>
      <c r="Q15" s="437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17.25" x14ac:dyDescent="0.25">
      <c r="A16" s="490" t="s">
        <v>465</v>
      </c>
      <c r="B16" s="490"/>
      <c r="C16" s="490"/>
      <c r="D16" s="490"/>
      <c r="E16" s="1"/>
      <c r="F16" s="1"/>
      <c r="G16" s="1"/>
      <c r="J16" s="1"/>
      <c r="K16" s="1"/>
      <c r="L16" s="1"/>
      <c r="M16" s="437"/>
      <c r="N16" s="437"/>
      <c r="O16" s="437"/>
      <c r="P16" s="439"/>
      <c r="Q16" s="437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15.75" x14ac:dyDescent="0.25">
      <c r="A17" s="1"/>
      <c r="B17" s="1"/>
      <c r="C17" s="1"/>
      <c r="D17" s="1"/>
      <c r="E17" s="73" t="s">
        <v>157</v>
      </c>
      <c r="F17" s="73" t="s">
        <v>158</v>
      </c>
      <c r="G17" s="1"/>
      <c r="J17" s="1"/>
      <c r="K17" s="1"/>
      <c r="L17" s="1"/>
      <c r="M17" s="437"/>
      <c r="N17" s="437"/>
      <c r="O17" s="437"/>
      <c r="P17" s="437"/>
      <c r="Q17" s="437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15.75" x14ac:dyDescent="0.25">
      <c r="A18" s="1"/>
      <c r="B18" s="74" t="s">
        <v>159</v>
      </c>
      <c r="C18" s="75" t="s">
        <v>160</v>
      </c>
      <c r="D18" s="75" t="s">
        <v>161</v>
      </c>
      <c r="E18" s="75">
        <f>B19</f>
        <v>20000</v>
      </c>
      <c r="F18" s="75">
        <f>B20</f>
        <v>20000</v>
      </c>
      <c r="G18" s="74" t="s">
        <v>162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15.75" x14ac:dyDescent="0.25">
      <c r="A19" s="76" t="s">
        <v>157</v>
      </c>
      <c r="B19" s="77">
        <v>20000</v>
      </c>
      <c r="C19" s="54">
        <f>86560+5953-572+63356</f>
        <v>155297</v>
      </c>
      <c r="D19" s="54">
        <f>363173910+243388200-Resale!J11</f>
        <v>606473110</v>
      </c>
      <c r="E19" s="54">
        <f>D19</f>
        <v>606473110</v>
      </c>
      <c r="F19" s="54">
        <v>0</v>
      </c>
      <c r="G19" s="54">
        <f>SUM(E19:F19)</f>
        <v>606473110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.75" x14ac:dyDescent="0.25">
      <c r="A20" s="76" t="s">
        <v>158</v>
      </c>
      <c r="B20" s="78">
        <v>20000</v>
      </c>
      <c r="C20" s="79">
        <f>1936+1368</f>
        <v>3304</v>
      </c>
      <c r="D20" s="79">
        <f>263113770+105282760-Resale!J6-Resale!J12</f>
        <v>262066530</v>
      </c>
      <c r="E20" s="79">
        <f>C20*E18</f>
        <v>66080000</v>
      </c>
      <c r="F20" s="79">
        <f>D20-E20</f>
        <v>195986530</v>
      </c>
      <c r="G20" s="79">
        <f>SUM(E20:F20)</f>
        <v>262066530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5.75" x14ac:dyDescent="0.25">
      <c r="A21" s="76"/>
      <c r="B21" s="77"/>
      <c r="C21" s="54">
        <f>SUM(C19:C20)</f>
        <v>158601</v>
      </c>
      <c r="D21" s="54">
        <f>SUM(D19:D20)</f>
        <v>868539640</v>
      </c>
      <c r="E21" s="54">
        <f>SUM(E19:E20)</f>
        <v>672553110</v>
      </c>
      <c r="F21" s="54">
        <f>SUM(F19:F20)</f>
        <v>195986530</v>
      </c>
      <c r="G21" s="54">
        <f>SUM(G19:G20)</f>
        <v>868539640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6.95" customHeight="1" x14ac:dyDescent="0.25">
      <c r="A22" s="76"/>
      <c r="B22" s="77"/>
      <c r="C22" s="1"/>
      <c r="D22" s="77"/>
      <c r="E22" s="77"/>
      <c r="F22" s="77"/>
      <c r="G22" s="7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15.75" x14ac:dyDescent="0.25">
      <c r="A23" s="80" t="s">
        <v>163</v>
      </c>
      <c r="B23" s="80"/>
      <c r="C23" s="1"/>
      <c r="D23" s="77"/>
      <c r="E23" s="77"/>
      <c r="F23" s="77"/>
      <c r="G23" s="7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5.75" x14ac:dyDescent="0.25">
      <c r="A24" s="76"/>
      <c r="B24" s="1"/>
      <c r="C24" s="75" t="s">
        <v>160</v>
      </c>
      <c r="D24" s="74" t="s">
        <v>161</v>
      </c>
      <c r="E24" s="75" t="s">
        <v>164</v>
      </c>
      <c r="F24" s="75" t="s">
        <v>165</v>
      </c>
      <c r="G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5.75" x14ac:dyDescent="0.25">
      <c r="A25" s="76" t="s">
        <v>157</v>
      </c>
      <c r="B25" s="77">
        <f>B19</f>
        <v>20000</v>
      </c>
      <c r="C25" s="54">
        <f>C19</f>
        <v>155297</v>
      </c>
      <c r="D25" s="54">
        <f>E21</f>
        <v>672553110</v>
      </c>
      <c r="E25" s="55">
        <f>CalcRet!E27</f>
        <v>6.46</v>
      </c>
      <c r="F25" s="72">
        <f>E25*(D25/1000)</f>
        <v>4344693.0905999998</v>
      </c>
      <c r="G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15.75" x14ac:dyDescent="0.25">
      <c r="A26" s="76" t="s">
        <v>158</v>
      </c>
      <c r="B26" s="77">
        <f>B20</f>
        <v>20000</v>
      </c>
      <c r="C26" s="247">
        <f>C20</f>
        <v>3304</v>
      </c>
      <c r="D26" s="79">
        <f>F21</f>
        <v>195986530</v>
      </c>
      <c r="E26" s="82">
        <f>CalcRet!F27</f>
        <v>5.36</v>
      </c>
      <c r="F26" s="79">
        <f>E26*(D26/1000)</f>
        <v>1050487.8008000001</v>
      </c>
      <c r="G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5.75" x14ac:dyDescent="0.25">
      <c r="A27" s="76"/>
      <c r="B27" s="77" t="s">
        <v>162</v>
      </c>
      <c r="C27" s="54">
        <f>SUM(C25:C26)</f>
        <v>158601</v>
      </c>
      <c r="D27" s="54">
        <f>SUM(D25:D26)</f>
        <v>868539640</v>
      </c>
      <c r="E27" s="1"/>
      <c r="F27" s="72">
        <f>SUM(F25:F26)</f>
        <v>5395180.8914000001</v>
      </c>
      <c r="G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15.75" x14ac:dyDescent="0.25">
      <c r="A28" s="1"/>
      <c r="B28" s="1"/>
      <c r="C28" s="1"/>
      <c r="D28" s="1"/>
      <c r="E28" s="1"/>
      <c r="F28" s="1"/>
      <c r="G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15.75" x14ac:dyDescent="0.25">
      <c r="A29" s="246" t="s">
        <v>229</v>
      </c>
      <c r="B29" s="81"/>
      <c r="C29" s="81"/>
      <c r="D29" s="1"/>
      <c r="E29" s="1"/>
      <c r="F29" s="1"/>
      <c r="G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6.95" customHeight="1" x14ac:dyDescent="0.25">
      <c r="A30" s="1"/>
      <c r="B30" s="1"/>
      <c r="C30" s="1"/>
      <c r="D30" s="1"/>
      <c r="E30" s="1"/>
      <c r="F30" s="1"/>
      <c r="G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15.75" x14ac:dyDescent="0.25">
      <c r="A31" s="1"/>
      <c r="B31" s="74" t="s">
        <v>230</v>
      </c>
      <c r="C31" s="75" t="s">
        <v>160</v>
      </c>
      <c r="D31" s="74" t="s">
        <v>231</v>
      </c>
      <c r="E31" s="74" t="s">
        <v>165</v>
      </c>
      <c r="F31" s="1"/>
      <c r="G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15.75" x14ac:dyDescent="0.25">
      <c r="A32" s="1"/>
      <c r="B32" s="248" t="s">
        <v>232</v>
      </c>
      <c r="C32" s="2">
        <v>144863</v>
      </c>
      <c r="D32" s="62">
        <f>CalcRet!F39</f>
        <v>4.09</v>
      </c>
      <c r="E32" s="72">
        <f>D32*C32</f>
        <v>592489.66999999993</v>
      </c>
      <c r="F32" s="1"/>
      <c r="G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15.75" x14ac:dyDescent="0.25">
      <c r="A33" s="1"/>
      <c r="B33" s="73" t="s">
        <v>233</v>
      </c>
      <c r="C33" s="2">
        <v>11022</v>
      </c>
      <c r="D33" s="33">
        <f>CalcRet!F40</f>
        <v>5.73</v>
      </c>
      <c r="E33" s="54">
        <f t="shared" ref="E33:E39" si="0">D33*C33</f>
        <v>63156.060000000005</v>
      </c>
      <c r="F33" s="1"/>
      <c r="G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15.75" x14ac:dyDescent="0.25">
      <c r="A34" s="1"/>
      <c r="B34" s="73" t="s">
        <v>234</v>
      </c>
      <c r="C34" s="2">
        <v>1216</v>
      </c>
      <c r="D34" s="33">
        <f>CalcRet!F41</f>
        <v>7.36</v>
      </c>
      <c r="E34" s="54">
        <f t="shared" si="0"/>
        <v>8949.76</v>
      </c>
      <c r="F34" s="1"/>
      <c r="G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15.75" x14ac:dyDescent="0.25">
      <c r="A35" s="1"/>
      <c r="B35" s="73" t="s">
        <v>235</v>
      </c>
      <c r="C35" s="2">
        <v>1400</v>
      </c>
      <c r="D35" s="33">
        <f>CalcRet!F42</f>
        <v>11.86</v>
      </c>
      <c r="E35" s="54">
        <f t="shared" si="0"/>
        <v>16604</v>
      </c>
      <c r="F35" s="1"/>
      <c r="G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15.75" x14ac:dyDescent="0.25">
      <c r="A36" s="1"/>
      <c r="B36" s="73" t="s">
        <v>236</v>
      </c>
      <c r="C36" s="2">
        <v>33</v>
      </c>
      <c r="D36" s="33">
        <f>CalcRet!F43</f>
        <v>44.99</v>
      </c>
      <c r="E36" s="54">
        <f t="shared" si="0"/>
        <v>1484.67</v>
      </c>
      <c r="F36" s="1"/>
      <c r="G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ht="15.75" x14ac:dyDescent="0.25">
      <c r="A37" s="1"/>
      <c r="B37" s="73" t="s">
        <v>237</v>
      </c>
      <c r="C37" s="2">
        <v>11.000000000000002</v>
      </c>
      <c r="D37" s="33">
        <f>CalcRet!F44</f>
        <v>57.26</v>
      </c>
      <c r="E37" s="54">
        <f t="shared" si="0"/>
        <v>629.86000000000013</v>
      </c>
      <c r="F37" s="1"/>
      <c r="G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ht="15.75" x14ac:dyDescent="0.25">
      <c r="A38" s="1"/>
      <c r="B38" s="293" t="s">
        <v>238</v>
      </c>
      <c r="C38" s="2">
        <v>56</v>
      </c>
      <c r="D38" s="33">
        <f>CalcRet!F45</f>
        <v>85.89</v>
      </c>
      <c r="E38" s="83">
        <f t="shared" si="0"/>
        <v>4809.84</v>
      </c>
      <c r="F38" s="1"/>
      <c r="G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15.75" x14ac:dyDescent="0.25">
      <c r="A39" s="1"/>
      <c r="B39" s="294" t="s">
        <v>339</v>
      </c>
      <c r="C39" s="79">
        <v>0</v>
      </c>
      <c r="D39" s="396">
        <f>CalcRet!F46</f>
        <v>118.61</v>
      </c>
      <c r="E39" s="79">
        <f t="shared" si="0"/>
        <v>0</v>
      </c>
      <c r="F39" s="1"/>
      <c r="G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15.75" x14ac:dyDescent="0.25">
      <c r="A40" s="1"/>
      <c r="B40" s="73"/>
      <c r="C40" s="54">
        <f>SUM(C32:C39)</f>
        <v>158601</v>
      </c>
      <c r="D40" s="54"/>
      <c r="E40" s="72">
        <f>SUM(E32:E39)</f>
        <v>688123.86</v>
      </c>
      <c r="F40" s="1"/>
      <c r="G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ht="6.95" customHeight="1" x14ac:dyDescent="0.25">
      <c r="A41" s="1"/>
      <c r="B41" s="73"/>
      <c r="C41" s="54"/>
      <c r="D41" s="54"/>
      <c r="E41" s="72"/>
      <c r="F41" s="1"/>
      <c r="G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17.25" x14ac:dyDescent="0.25">
      <c r="A42" s="487" t="s">
        <v>340</v>
      </c>
      <c r="B42" s="487"/>
      <c r="C42" s="487"/>
      <c r="D42" s="487"/>
      <c r="E42" s="487"/>
      <c r="F42" s="1"/>
      <c r="G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6.95" customHeight="1" x14ac:dyDescent="0.25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15.75" x14ac:dyDescent="0.25">
      <c r="A44" s="1"/>
      <c r="B44" s="74" t="s">
        <v>462</v>
      </c>
      <c r="C44" s="75" t="s">
        <v>160</v>
      </c>
      <c r="D44" s="74" t="s">
        <v>231</v>
      </c>
      <c r="E44" s="74" t="s">
        <v>165</v>
      </c>
      <c r="F44" s="1"/>
      <c r="G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15.75" x14ac:dyDescent="0.25">
      <c r="A45" s="1"/>
      <c r="B45" s="73" t="s">
        <v>235</v>
      </c>
      <c r="C45" s="54">
        <v>0</v>
      </c>
      <c r="D45" s="33">
        <v>12</v>
      </c>
      <c r="E45" s="72">
        <f>D45*C45</f>
        <v>0</v>
      </c>
      <c r="F45" s="1"/>
      <c r="G45" s="1"/>
      <c r="I45" s="1"/>
      <c r="J45" s="1"/>
      <c r="K45" s="1"/>
      <c r="L45" s="33">
        <v>12</v>
      </c>
      <c r="M45" s="103">
        <f>ROUND(L45*(1+SAO!$I$55),2)</f>
        <v>13.05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15.75" x14ac:dyDescent="0.25">
      <c r="A46" s="1"/>
      <c r="B46" s="73" t="s">
        <v>237</v>
      </c>
      <c r="C46" s="54">
        <v>204</v>
      </c>
      <c r="D46" s="33">
        <v>24</v>
      </c>
      <c r="E46" s="54">
        <f>C46*D46</f>
        <v>4896</v>
      </c>
      <c r="F46" s="1"/>
      <c r="G46" s="1"/>
      <c r="I46" s="1"/>
      <c r="J46" s="1"/>
      <c r="K46" s="1"/>
      <c r="L46" s="33">
        <v>24</v>
      </c>
      <c r="M46" s="103">
        <f>ROUND(L46*(1+SAO!$I$55),2)</f>
        <v>26.1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15.75" x14ac:dyDescent="0.25">
      <c r="A47" s="1"/>
      <c r="B47" s="293" t="s">
        <v>238</v>
      </c>
      <c r="C47" s="54">
        <v>684</v>
      </c>
      <c r="D47" s="33">
        <v>34</v>
      </c>
      <c r="E47" s="54">
        <f t="shared" ref="E47:E50" si="1">C47*D47</f>
        <v>23256</v>
      </c>
      <c r="F47" s="1"/>
      <c r="G47" s="1"/>
      <c r="I47" s="1"/>
      <c r="J47" s="1"/>
      <c r="K47" s="1"/>
      <c r="L47" s="33">
        <v>34</v>
      </c>
      <c r="M47" s="103">
        <f>ROUND(L47*(1+SAO!$I$55),2)</f>
        <v>36.979999999999997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ht="15.75" x14ac:dyDescent="0.25">
      <c r="A48" s="1"/>
      <c r="B48" s="295" t="s">
        <v>339</v>
      </c>
      <c r="C48" s="54">
        <v>156</v>
      </c>
      <c r="D48" s="33">
        <v>45</v>
      </c>
      <c r="E48" s="54">
        <f t="shared" si="1"/>
        <v>7020</v>
      </c>
      <c r="F48" s="1"/>
      <c r="G48" s="1"/>
      <c r="I48" s="1"/>
      <c r="J48" s="1"/>
      <c r="K48" s="1"/>
      <c r="L48" s="33">
        <v>45</v>
      </c>
      <c r="M48" s="103">
        <f>ROUND(L48*(1+SAO!$I$55),2)</f>
        <v>48.95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15.75" x14ac:dyDescent="0.25">
      <c r="A49" s="1"/>
      <c r="B49" s="73" t="s">
        <v>341</v>
      </c>
      <c r="C49" s="54">
        <v>36</v>
      </c>
      <c r="D49" s="33">
        <v>55</v>
      </c>
      <c r="E49" s="54">
        <f t="shared" si="1"/>
        <v>1980</v>
      </c>
      <c r="F49" s="1"/>
      <c r="G49" s="1"/>
      <c r="I49" s="1"/>
      <c r="J49" s="1"/>
      <c r="K49" s="1"/>
      <c r="L49" s="33">
        <v>55</v>
      </c>
      <c r="M49" s="103">
        <f>ROUND(L49*(1+SAO!$I$55),2)</f>
        <v>59.82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15.75" x14ac:dyDescent="0.25">
      <c r="A50" s="1"/>
      <c r="B50" s="74" t="s">
        <v>342</v>
      </c>
      <c r="C50" s="79">
        <v>0</v>
      </c>
      <c r="D50" s="396">
        <v>75</v>
      </c>
      <c r="E50" s="79">
        <f t="shared" si="1"/>
        <v>0</v>
      </c>
      <c r="F50" s="1"/>
      <c r="G50" s="1"/>
      <c r="I50" s="1"/>
      <c r="J50" s="1"/>
      <c r="K50" s="1"/>
      <c r="L50" s="33">
        <v>75</v>
      </c>
      <c r="M50" s="103">
        <f>ROUND(L50*(1+SAO!$I$55),2)</f>
        <v>81.58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15.75" x14ac:dyDescent="0.25">
      <c r="A51" s="1"/>
      <c r="B51" s="73"/>
      <c r="C51" s="54">
        <f>SUM(C45:C50)</f>
        <v>1080</v>
      </c>
      <c r="D51" s="54"/>
      <c r="E51" s="72">
        <f>SUM(E45:E50)</f>
        <v>37152</v>
      </c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15.75" x14ac:dyDescent="0.25">
      <c r="A52" s="1"/>
      <c r="B52" s="73"/>
      <c r="C52" s="54"/>
      <c r="D52" s="54"/>
      <c r="E52" s="72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ht="15.75" x14ac:dyDescent="0.25">
      <c r="A53" s="246" t="s">
        <v>239</v>
      </c>
      <c r="B53" s="81"/>
      <c r="C53" s="81"/>
      <c r="D53" s="1"/>
      <c r="E53" s="1"/>
      <c r="F53" s="1"/>
      <c r="G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ht="6.95" customHeight="1" x14ac:dyDescent="0.25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ht="15.75" x14ac:dyDescent="0.25">
      <c r="A55" s="1"/>
      <c r="B55" s="1"/>
      <c r="C55" s="74" t="s">
        <v>243</v>
      </c>
      <c r="D55" s="75" t="s">
        <v>164</v>
      </c>
      <c r="E55" s="75" t="s">
        <v>165</v>
      </c>
      <c r="F55" s="1"/>
      <c r="G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ht="15.75" x14ac:dyDescent="0.25">
      <c r="A56" s="1"/>
      <c r="B56" s="1" t="s">
        <v>203</v>
      </c>
      <c r="C56" s="54">
        <f>87643+9698+9078</f>
        <v>106419</v>
      </c>
      <c r="D56" s="249">
        <f>Whol!G76</f>
        <v>4.18</v>
      </c>
      <c r="E56" s="250">
        <f>C56*D56</f>
        <v>444831.42</v>
      </c>
      <c r="F56" s="1"/>
      <c r="G56" s="1"/>
      <c r="J56" s="1"/>
      <c r="K56" s="10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ht="15.75" x14ac:dyDescent="0.25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ht="15.75" x14ac:dyDescent="0.25">
      <c r="J58" s="1"/>
      <c r="K58" s="10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ht="15.75" x14ac:dyDescent="0.25"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ht="15.75" x14ac:dyDescent="0.25"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ht="15.75" x14ac:dyDescent="0.25"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ht="15.75" x14ac:dyDescent="0.25"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ht="15.75" x14ac:dyDescent="0.25"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15.75" x14ac:dyDescent="0.25"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0:47" ht="15.75" x14ac:dyDescent="0.25"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0:47" ht="15.75" x14ac:dyDescent="0.25"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0:47" ht="15.75" x14ac:dyDescent="0.25"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0:47" ht="15.75" x14ac:dyDescent="0.25"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0:47" ht="15.75" x14ac:dyDescent="0.25"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0:47" ht="15.75" x14ac:dyDescent="0.25"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0:47" ht="15.75" x14ac:dyDescent="0.25"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0:47" ht="15.75" x14ac:dyDescent="0.25"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0:47" ht="15.75" x14ac:dyDescent="0.25"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0:47" ht="15.75" x14ac:dyDescent="0.25"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0:47" ht="15.75" x14ac:dyDescent="0.25"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0:47" ht="15.75" x14ac:dyDescent="0.25"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0:47" ht="15.75" x14ac:dyDescent="0.25"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0:47" ht="15.75" x14ac:dyDescent="0.25"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0:47" ht="15.75" x14ac:dyDescent="0.25"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0:47" ht="15.75" x14ac:dyDescent="0.25"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0:47" ht="15.75" x14ac:dyDescent="0.25"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0:47" ht="15.75" x14ac:dyDescent="0.25"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0:47" ht="15.75" x14ac:dyDescent="0.25"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0:47" ht="15.75" x14ac:dyDescent="0.25"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0:47" ht="15.75" x14ac:dyDescent="0.25"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0:47" ht="15.75" x14ac:dyDescent="0.25"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0:47" ht="15.75" x14ac:dyDescent="0.25"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0:47" ht="15.75" x14ac:dyDescent="0.25"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0:47" ht="15.75" x14ac:dyDescent="0.25"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0:47" ht="15.75" x14ac:dyDescent="0.25"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0:47" ht="15.75" x14ac:dyDescent="0.25"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0:47" ht="15.75" x14ac:dyDescent="0.25"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0:47" ht="15.75" x14ac:dyDescent="0.25"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0:47" ht="15.75" x14ac:dyDescent="0.25"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0:47" ht="15.75" x14ac:dyDescent="0.25"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0:47" ht="15.75" x14ac:dyDescent="0.25"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0:47" ht="15.75" x14ac:dyDescent="0.25"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0:47" ht="15.75" x14ac:dyDescent="0.25"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0:47" ht="15.75" x14ac:dyDescent="0.25"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0:47" ht="15.75" x14ac:dyDescent="0.25"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0:47" ht="15.75" x14ac:dyDescent="0.25"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0:47" ht="15.75" x14ac:dyDescent="0.25"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</sheetData>
  <mergeCells count="5">
    <mergeCell ref="A16:D16"/>
    <mergeCell ref="A1:G1"/>
    <mergeCell ref="A2:G2"/>
    <mergeCell ref="B4:D4"/>
    <mergeCell ref="A42:E42"/>
  </mergeCells>
  <printOptions horizontalCentered="1"/>
  <pageMargins left="0.7" right="0.7" top="0.5" bottom="0.75" header="0.3" footer="0.3"/>
  <pageSetup scale="86" orientation="portrait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EJ47"/>
  <sheetViews>
    <sheetView workbookViewId="0"/>
    <sheetView tabSelected="1" topLeftCell="J1" workbookViewId="1"/>
  </sheetViews>
  <sheetFormatPr defaultColWidth="8.88671875" defaultRowHeight="15" x14ac:dyDescent="0.25"/>
  <cols>
    <col min="1" max="2" width="9.6640625" style="106" customWidth="1"/>
    <col min="3" max="3" width="11.109375" style="106" customWidth="1"/>
    <col min="4" max="4" width="9.77734375" style="106" customWidth="1"/>
    <col min="5" max="5" width="9.6640625" style="106" customWidth="1"/>
    <col min="6" max="6" width="0" style="106" hidden="1" customWidth="1"/>
    <col min="7" max="10" width="9.6640625" style="106" customWidth="1"/>
    <col min="11" max="11" width="0.6640625" style="106" customWidth="1"/>
    <col min="12" max="140" width="9.6640625" style="106" customWidth="1"/>
    <col min="141" max="16384" width="8.88671875" style="33"/>
  </cols>
  <sheetData>
    <row r="2" spans="2:12" x14ac:dyDescent="0.25">
      <c r="B2" s="397"/>
      <c r="C2" s="398"/>
      <c r="D2" s="398"/>
      <c r="E2" s="398"/>
      <c r="F2" s="398"/>
      <c r="G2" s="398"/>
      <c r="H2" s="398"/>
      <c r="I2" s="398"/>
      <c r="J2" s="398"/>
      <c r="K2" s="399"/>
    </row>
    <row r="3" spans="2:12" ht="18.75" x14ac:dyDescent="0.3">
      <c r="B3" s="466" t="s">
        <v>492</v>
      </c>
      <c r="C3" s="467"/>
      <c r="D3" s="467"/>
      <c r="E3" s="467"/>
      <c r="F3" s="467"/>
      <c r="G3" s="467"/>
      <c r="H3" s="467"/>
      <c r="I3" s="467"/>
      <c r="J3" s="467"/>
      <c r="K3" s="468"/>
      <c r="L3" s="440"/>
    </row>
    <row r="4" spans="2:12" ht="21" x14ac:dyDescent="0.35">
      <c r="B4" s="493" t="s">
        <v>466</v>
      </c>
      <c r="C4" s="494"/>
      <c r="D4" s="494"/>
      <c r="E4" s="494"/>
      <c r="F4" s="494"/>
      <c r="G4" s="494"/>
      <c r="H4" s="494"/>
      <c r="I4" s="494"/>
      <c r="J4" s="494"/>
      <c r="K4" s="495"/>
    </row>
    <row r="5" spans="2:12" ht="18.75" x14ac:dyDescent="0.25">
      <c r="B5" s="496" t="s">
        <v>242</v>
      </c>
      <c r="C5" s="464"/>
      <c r="D5" s="464"/>
      <c r="E5" s="464"/>
      <c r="F5" s="464"/>
      <c r="G5" s="464"/>
      <c r="H5" s="464"/>
      <c r="I5" s="464"/>
      <c r="J5" s="464"/>
      <c r="K5" s="497"/>
    </row>
    <row r="6" spans="2:12" ht="18.75" x14ac:dyDescent="0.3">
      <c r="B6" s="503" t="s">
        <v>498</v>
      </c>
      <c r="C6" s="504"/>
      <c r="D6" s="504"/>
      <c r="E6" s="504"/>
      <c r="F6" s="504"/>
      <c r="G6" s="504"/>
      <c r="H6" s="504"/>
      <c r="I6" s="504"/>
      <c r="J6" s="504"/>
      <c r="K6" s="505"/>
    </row>
    <row r="7" spans="2:12" x14ac:dyDescent="0.25">
      <c r="B7" s="400"/>
      <c r="C7" s="401"/>
      <c r="D7" s="401"/>
      <c r="E7" s="401"/>
      <c r="F7" s="401"/>
      <c r="G7" s="401"/>
      <c r="H7" s="401"/>
      <c r="I7" s="401"/>
      <c r="J7" s="401"/>
      <c r="K7" s="402"/>
    </row>
    <row r="8" spans="2:12" x14ac:dyDescent="0.25">
      <c r="B8" s="397"/>
      <c r="C8" s="398"/>
      <c r="D8" s="398"/>
      <c r="E8" s="398"/>
      <c r="F8" s="398"/>
      <c r="G8" s="398"/>
      <c r="H8" s="398"/>
      <c r="I8" s="398"/>
      <c r="J8" s="398"/>
      <c r="K8" s="399"/>
    </row>
    <row r="9" spans="2:12" ht="21" x14ac:dyDescent="0.45">
      <c r="B9" s="498" t="s">
        <v>467</v>
      </c>
      <c r="C9" s="499"/>
      <c r="D9" s="159"/>
      <c r="E9" s="159"/>
      <c r="F9" s="159"/>
      <c r="G9" s="159"/>
      <c r="H9" s="159"/>
      <c r="I9" s="159"/>
      <c r="J9" s="159"/>
      <c r="K9" s="403"/>
    </row>
    <row r="10" spans="2:12" ht="6" customHeight="1" x14ac:dyDescent="0.45">
      <c r="B10" s="414"/>
      <c r="C10" s="415"/>
      <c r="D10" s="159"/>
      <c r="E10" s="159"/>
      <c r="F10" s="159"/>
      <c r="G10" s="159"/>
      <c r="H10" s="159"/>
      <c r="I10" s="159"/>
      <c r="J10" s="159"/>
      <c r="K10" s="403"/>
    </row>
    <row r="11" spans="2:12" ht="21" x14ac:dyDescent="0.45">
      <c r="B11" s="414"/>
      <c r="C11" s="415"/>
      <c r="D11" s="500" t="s">
        <v>240</v>
      </c>
      <c r="E11" s="501"/>
      <c r="F11" s="501"/>
      <c r="G11" s="502"/>
      <c r="H11" s="500" t="s">
        <v>241</v>
      </c>
      <c r="I11" s="501"/>
      <c r="J11" s="501"/>
      <c r="K11" s="429"/>
    </row>
    <row r="12" spans="2:12" ht="6" customHeight="1" x14ac:dyDescent="0.25">
      <c r="B12" s="404"/>
      <c r="C12" s="159"/>
      <c r="D12" s="404"/>
      <c r="E12" s="159"/>
      <c r="F12" s="159"/>
      <c r="G12" s="159"/>
      <c r="H12" s="404"/>
      <c r="I12" s="159"/>
      <c r="J12" s="159"/>
      <c r="K12" s="403"/>
    </row>
    <row r="13" spans="2:12" x14ac:dyDescent="0.25">
      <c r="B13" s="108"/>
      <c r="C13" s="419"/>
      <c r="D13" s="491" t="s">
        <v>468</v>
      </c>
      <c r="E13" s="491"/>
      <c r="F13" s="491"/>
      <c r="G13" s="491"/>
      <c r="H13" s="491"/>
      <c r="I13" s="491"/>
      <c r="J13" s="491"/>
      <c r="K13" s="420"/>
    </row>
    <row r="14" spans="2:12" ht="6" customHeight="1" x14ac:dyDescent="0.25">
      <c r="B14" s="418"/>
      <c r="C14" s="419"/>
      <c r="D14" s="419"/>
      <c r="E14" s="419"/>
      <c r="F14" s="419"/>
      <c r="G14" s="419"/>
      <c r="H14" s="419"/>
      <c r="I14" s="419"/>
      <c r="J14" s="419"/>
      <c r="K14" s="420"/>
    </row>
    <row r="15" spans="2:12" ht="6" customHeight="1" x14ac:dyDescent="0.25">
      <c r="B15" s="404"/>
      <c r="C15" s="159"/>
      <c r="D15" s="108"/>
      <c r="E15" s="33"/>
      <c r="F15" s="33"/>
      <c r="G15" s="33"/>
      <c r="H15" s="108"/>
      <c r="I15" s="33"/>
      <c r="J15" s="33"/>
      <c r="K15" s="51"/>
      <c r="L15" s="109"/>
    </row>
    <row r="16" spans="2:12" ht="17.25" x14ac:dyDescent="0.4">
      <c r="B16" s="404"/>
      <c r="C16" s="405" t="s">
        <v>469</v>
      </c>
      <c r="D16" s="426" t="s">
        <v>470</v>
      </c>
      <c r="E16" s="406" t="s">
        <v>11</v>
      </c>
      <c r="F16" s="406"/>
      <c r="G16" s="407" t="s">
        <v>471</v>
      </c>
      <c r="H16" s="426" t="s">
        <v>470</v>
      </c>
      <c r="I16" s="406" t="s">
        <v>11</v>
      </c>
      <c r="J16" s="406" t="s">
        <v>471</v>
      </c>
      <c r="K16" s="51"/>
    </row>
    <row r="17" spans="2:11" x14ac:dyDescent="0.25">
      <c r="B17" s="231"/>
      <c r="C17" s="408" t="s">
        <v>472</v>
      </c>
      <c r="D17" s="427">
        <v>5.61</v>
      </c>
      <c r="E17" s="409">
        <f>CalcRet!E27</f>
        <v>6.46</v>
      </c>
      <c r="F17" s="409" t="e">
        <f>#REF!*(1+#REF!)</f>
        <v>#REF!</v>
      </c>
      <c r="G17" s="410">
        <f>E17-D17</f>
        <v>0.84999999999999964</v>
      </c>
      <c r="H17" s="427">
        <v>6.72</v>
      </c>
      <c r="I17" s="409">
        <f>E17</f>
        <v>6.46</v>
      </c>
      <c r="J17" s="409">
        <f>I17-H17</f>
        <v>-0.25999999999999979</v>
      </c>
      <c r="K17" s="51"/>
    </row>
    <row r="18" spans="2:11" x14ac:dyDescent="0.25">
      <c r="B18" s="231"/>
      <c r="C18" s="408" t="s">
        <v>473</v>
      </c>
      <c r="D18" s="231">
        <v>4.6100000000000003</v>
      </c>
      <c r="E18" s="159">
        <f>CalcRet!F27</f>
        <v>5.36</v>
      </c>
      <c r="F18" s="159" t="e">
        <f>#REF!*(1+#REF!)</f>
        <v>#REF!</v>
      </c>
      <c r="G18" s="403">
        <f>E18-D18</f>
        <v>0.75</v>
      </c>
      <c r="H18" s="231">
        <v>5.51</v>
      </c>
      <c r="I18" s="159">
        <f>E18</f>
        <v>5.36</v>
      </c>
      <c r="J18" s="159">
        <f>I18-H18</f>
        <v>-0.14999999999999947</v>
      </c>
      <c r="K18" s="51"/>
    </row>
    <row r="19" spans="2:11" ht="6" customHeight="1" x14ac:dyDescent="0.25">
      <c r="B19" s="231"/>
      <c r="C19" s="408"/>
      <c r="D19" s="404"/>
      <c r="E19" s="159"/>
      <c r="F19" s="159"/>
      <c r="G19" s="159"/>
      <c r="H19" s="404"/>
      <c r="I19" s="159"/>
      <c r="J19" s="159"/>
      <c r="K19" s="403"/>
    </row>
    <row r="20" spans="2:11" x14ac:dyDescent="0.25">
      <c r="B20" s="108"/>
      <c r="C20" s="422"/>
      <c r="D20" s="491" t="s">
        <v>474</v>
      </c>
      <c r="E20" s="491"/>
      <c r="F20" s="491"/>
      <c r="G20" s="491"/>
      <c r="H20" s="491"/>
      <c r="I20" s="491"/>
      <c r="J20" s="491"/>
      <c r="K20" s="423"/>
    </row>
    <row r="21" spans="2:11" ht="6" customHeight="1" x14ac:dyDescent="0.25">
      <c r="B21" s="421"/>
      <c r="C21" s="422"/>
      <c r="D21" s="422"/>
      <c r="E21" s="422"/>
      <c r="F21" s="422"/>
      <c r="G21" s="422"/>
      <c r="H21" s="422"/>
      <c r="I21" s="422"/>
      <c r="J21" s="422"/>
      <c r="K21" s="423"/>
    </row>
    <row r="22" spans="2:11" ht="6" customHeight="1" x14ac:dyDescent="0.25">
      <c r="B22" s="404"/>
      <c r="C22" s="411"/>
      <c r="D22" s="430"/>
      <c r="E22" s="155"/>
      <c r="F22" s="159"/>
      <c r="G22" s="403"/>
      <c r="H22" s="404"/>
      <c r="I22" s="159"/>
      <c r="J22" s="159"/>
      <c r="K22" s="403"/>
    </row>
    <row r="23" spans="2:11" ht="17.25" x14ac:dyDescent="0.4">
      <c r="B23" s="231"/>
      <c r="C23" s="412" t="s">
        <v>10</v>
      </c>
      <c r="D23" s="426" t="s">
        <v>470</v>
      </c>
      <c r="E23" s="406" t="s">
        <v>11</v>
      </c>
      <c r="F23" s="406"/>
      <c r="G23" s="407" t="s">
        <v>471</v>
      </c>
      <c r="H23" s="426" t="s">
        <v>470</v>
      </c>
      <c r="I23" s="406" t="s">
        <v>11</v>
      </c>
      <c r="J23" s="406" t="s">
        <v>471</v>
      </c>
      <c r="K23" s="407"/>
    </row>
    <row r="24" spans="2:11" x14ac:dyDescent="0.25">
      <c r="B24" s="231"/>
      <c r="C24" s="408" t="s">
        <v>475</v>
      </c>
      <c r="D24" s="427">
        <v>2.97</v>
      </c>
      <c r="E24" s="409">
        <f>CalcRet!F39</f>
        <v>4.09</v>
      </c>
      <c r="F24" s="409" t="e">
        <f>#REF!*(1+#REF!)</f>
        <v>#REF!</v>
      </c>
      <c r="G24" s="410">
        <f>E24-D24</f>
        <v>1.1199999999999997</v>
      </c>
      <c r="H24" s="427">
        <v>3.7</v>
      </c>
      <c r="I24" s="409">
        <f>E24</f>
        <v>4.09</v>
      </c>
      <c r="J24" s="409">
        <f>I24-H24</f>
        <v>0.38999999999999968</v>
      </c>
      <c r="K24" s="410"/>
    </row>
    <row r="25" spans="2:11" x14ac:dyDescent="0.25">
      <c r="B25" s="231"/>
      <c r="C25" s="408" t="s">
        <v>111</v>
      </c>
      <c r="D25" s="404">
        <v>4.1500000000000004</v>
      </c>
      <c r="E25" s="424">
        <f>CalcRet!F40</f>
        <v>5.73</v>
      </c>
      <c r="F25" s="159" t="e">
        <f>#REF!*(1+#REF!)</f>
        <v>#REF!</v>
      </c>
      <c r="G25" s="403">
        <f t="shared" ref="G25:G31" si="0">E25-D25</f>
        <v>1.58</v>
      </c>
      <c r="H25" s="404">
        <v>5.18</v>
      </c>
      <c r="I25" s="424">
        <f>E25</f>
        <v>5.73</v>
      </c>
      <c r="J25" s="424">
        <f t="shared" ref="J25:J31" si="1">I25-H25</f>
        <v>0.55000000000000071</v>
      </c>
      <c r="K25" s="403"/>
    </row>
    <row r="26" spans="2:11" x14ac:dyDescent="0.25">
      <c r="B26" s="231"/>
      <c r="C26" s="408" t="s">
        <v>476</v>
      </c>
      <c r="D26" s="404">
        <v>5.34</v>
      </c>
      <c r="E26" s="424">
        <f>CalcRet!F41</f>
        <v>7.36</v>
      </c>
      <c r="F26" s="159"/>
      <c r="G26" s="403">
        <f t="shared" si="0"/>
        <v>2.0200000000000005</v>
      </c>
      <c r="H26" s="404">
        <v>6.66</v>
      </c>
      <c r="I26" s="424">
        <f t="shared" ref="I26:I31" si="2">E26</f>
        <v>7.36</v>
      </c>
      <c r="J26" s="424">
        <f t="shared" si="1"/>
        <v>0.70000000000000018</v>
      </c>
      <c r="K26" s="403"/>
    </row>
    <row r="27" spans="2:11" x14ac:dyDescent="0.25">
      <c r="B27" s="231"/>
      <c r="C27" s="408" t="s">
        <v>112</v>
      </c>
      <c r="D27" s="404">
        <v>8.61</v>
      </c>
      <c r="E27" s="424">
        <f>CalcRet!F42</f>
        <v>11.86</v>
      </c>
      <c r="F27" s="159" t="e">
        <f>#REF!*(1+#REF!)</f>
        <v>#REF!</v>
      </c>
      <c r="G27" s="403">
        <f t="shared" si="0"/>
        <v>3.25</v>
      </c>
      <c r="H27" s="404">
        <v>10.73</v>
      </c>
      <c r="I27" s="424">
        <f t="shared" si="2"/>
        <v>11.86</v>
      </c>
      <c r="J27" s="424">
        <f t="shared" si="1"/>
        <v>1.129999999999999</v>
      </c>
      <c r="K27" s="403"/>
    </row>
    <row r="28" spans="2:11" x14ac:dyDescent="0.25">
      <c r="B28" s="231"/>
      <c r="C28" s="408" t="s">
        <v>477</v>
      </c>
      <c r="D28" s="231">
        <v>32.65</v>
      </c>
      <c r="E28" s="424">
        <f>CalcRet!F43</f>
        <v>44.99</v>
      </c>
      <c r="F28" s="159" t="e">
        <f>#REF!*(1+#REF!)</f>
        <v>#REF!</v>
      </c>
      <c r="G28" s="403">
        <f t="shared" si="0"/>
        <v>12.340000000000003</v>
      </c>
      <c r="H28" s="231">
        <v>40.69</v>
      </c>
      <c r="I28" s="424">
        <f t="shared" si="2"/>
        <v>44.99</v>
      </c>
      <c r="J28" s="424">
        <f t="shared" si="1"/>
        <v>4.3000000000000043</v>
      </c>
      <c r="K28" s="403"/>
    </row>
    <row r="29" spans="2:11" x14ac:dyDescent="0.25">
      <c r="B29" s="231"/>
      <c r="C29" s="408" t="s">
        <v>185</v>
      </c>
      <c r="D29" s="404">
        <v>41.56</v>
      </c>
      <c r="E29" s="424">
        <f>CalcRet!F44</f>
        <v>57.26</v>
      </c>
      <c r="F29" s="159" t="e">
        <f>#REF!*(1+#REF!)</f>
        <v>#REF!</v>
      </c>
      <c r="G29" s="403">
        <f t="shared" si="0"/>
        <v>15.699999999999996</v>
      </c>
      <c r="H29" s="404">
        <v>51.79</v>
      </c>
      <c r="I29" s="424">
        <f t="shared" si="2"/>
        <v>57.26</v>
      </c>
      <c r="J29" s="424">
        <f t="shared" si="1"/>
        <v>5.4699999999999989</v>
      </c>
      <c r="K29" s="403"/>
    </row>
    <row r="30" spans="2:11" x14ac:dyDescent="0.25">
      <c r="B30" s="231"/>
      <c r="C30" s="408" t="s">
        <v>478</v>
      </c>
      <c r="D30" s="404">
        <v>62.34</v>
      </c>
      <c r="E30" s="424">
        <f>CalcRet!F45</f>
        <v>85.89</v>
      </c>
      <c r="F30" s="159" t="e">
        <f>#REF!*(1+#REF!)</f>
        <v>#REF!</v>
      </c>
      <c r="G30" s="403">
        <f t="shared" si="0"/>
        <v>23.549999999999997</v>
      </c>
      <c r="H30" s="404">
        <v>77.67</v>
      </c>
      <c r="I30" s="424">
        <f t="shared" si="2"/>
        <v>85.89</v>
      </c>
      <c r="J30" s="424">
        <f t="shared" si="1"/>
        <v>8.2199999999999989</v>
      </c>
      <c r="K30" s="403"/>
    </row>
    <row r="31" spans="2:11" x14ac:dyDescent="0.25">
      <c r="B31" s="231"/>
      <c r="C31" s="408" t="s">
        <v>479</v>
      </c>
      <c r="D31" s="404">
        <v>86.09</v>
      </c>
      <c r="E31" s="424">
        <f>CalcRet!F46</f>
        <v>118.61</v>
      </c>
      <c r="F31" s="159"/>
      <c r="G31" s="403">
        <f t="shared" si="0"/>
        <v>32.519999999999996</v>
      </c>
      <c r="H31" s="404">
        <v>107.28</v>
      </c>
      <c r="I31" s="424">
        <f t="shared" si="2"/>
        <v>118.61</v>
      </c>
      <c r="J31" s="424">
        <f t="shared" si="1"/>
        <v>11.329999999999998</v>
      </c>
      <c r="K31" s="403"/>
    </row>
    <row r="32" spans="2:11" x14ac:dyDescent="0.25">
      <c r="B32" s="413"/>
      <c r="C32" s="159"/>
      <c r="D32" s="231"/>
      <c r="E32" s="159"/>
      <c r="F32" s="159"/>
      <c r="G32" s="403"/>
      <c r="H32" s="404"/>
      <c r="I32" s="159"/>
      <c r="J32" s="159"/>
      <c r="K32" s="403"/>
    </row>
    <row r="33" spans="2:11" ht="21" x14ac:dyDescent="0.45">
      <c r="B33" s="498" t="s">
        <v>481</v>
      </c>
      <c r="C33" s="499"/>
      <c r="D33" s="159"/>
      <c r="E33" s="159"/>
      <c r="F33" s="159"/>
      <c r="G33" s="159"/>
      <c r="H33" s="159"/>
      <c r="I33" s="159"/>
      <c r="J33" s="159"/>
      <c r="K33" s="403"/>
    </row>
    <row r="34" spans="2:11" ht="6" customHeight="1" x14ac:dyDescent="0.45">
      <c r="B34" s="414"/>
      <c r="C34" s="415"/>
      <c r="D34" s="159"/>
      <c r="E34" s="159"/>
      <c r="F34" s="159"/>
      <c r="G34" s="159"/>
      <c r="H34" s="159"/>
      <c r="I34" s="159"/>
      <c r="J34" s="159"/>
      <c r="K34" s="403"/>
    </row>
    <row r="35" spans="2:11" ht="15" customHeight="1" x14ac:dyDescent="0.45">
      <c r="B35" s="414"/>
      <c r="C35" s="415"/>
      <c r="D35" s="404"/>
      <c r="E35" s="159"/>
      <c r="F35" s="159"/>
      <c r="G35" s="403"/>
      <c r="H35" s="404"/>
      <c r="I35" s="159"/>
      <c r="J35" s="159"/>
      <c r="K35" s="403"/>
    </row>
    <row r="36" spans="2:11" ht="15" customHeight="1" x14ac:dyDescent="0.45">
      <c r="B36" s="414"/>
      <c r="C36" s="53"/>
      <c r="D36" s="426" t="s">
        <v>470</v>
      </c>
      <c r="E36" s="406" t="s">
        <v>11</v>
      </c>
      <c r="F36" s="159"/>
      <c r="G36" s="407" t="s">
        <v>471</v>
      </c>
      <c r="H36" s="426" t="s">
        <v>470</v>
      </c>
      <c r="I36" s="406" t="s">
        <v>11</v>
      </c>
      <c r="J36" s="406" t="s">
        <v>471</v>
      </c>
      <c r="K36" s="407"/>
    </row>
    <row r="37" spans="2:11" ht="15" customHeight="1" x14ac:dyDescent="0.45">
      <c r="B37" s="414"/>
      <c r="C37" s="416" t="s">
        <v>480</v>
      </c>
      <c r="D37" s="428">
        <v>3.75</v>
      </c>
      <c r="E37" s="417">
        <f>Whol!G76</f>
        <v>4.18</v>
      </c>
      <c r="F37" s="159"/>
      <c r="G37" s="425">
        <f>E37-D37</f>
        <v>0.42999999999999972</v>
      </c>
      <c r="H37" s="428">
        <v>4.84</v>
      </c>
      <c r="I37" s="417">
        <f>E37</f>
        <v>4.18</v>
      </c>
      <c r="J37" s="417">
        <f>I37-H37</f>
        <v>-0.66000000000000014</v>
      </c>
      <c r="K37" s="425"/>
    </row>
    <row r="38" spans="2:11" ht="15" customHeight="1" x14ac:dyDescent="0.45">
      <c r="B38" s="414"/>
      <c r="C38" s="416"/>
      <c r="D38" s="428"/>
      <c r="E38" s="417"/>
      <c r="F38" s="159"/>
      <c r="G38" s="403"/>
      <c r="H38" s="404"/>
      <c r="I38" s="159"/>
      <c r="J38" s="159"/>
      <c r="K38" s="403"/>
    </row>
    <row r="39" spans="2:11" x14ac:dyDescent="0.25">
      <c r="B39" s="400"/>
      <c r="C39" s="401"/>
      <c r="D39" s="401"/>
      <c r="E39" s="401"/>
      <c r="F39" s="401"/>
      <c r="G39" s="401"/>
      <c r="H39" s="401"/>
      <c r="I39" s="401"/>
      <c r="J39" s="401"/>
      <c r="K39" s="402"/>
    </row>
    <row r="41" spans="2:11" ht="17.25" x14ac:dyDescent="0.4">
      <c r="C41" s="492" t="s">
        <v>483</v>
      </c>
      <c r="D41" s="492"/>
      <c r="E41" s="492"/>
    </row>
    <row r="42" spans="2:11" ht="6.95" customHeight="1" x14ac:dyDescent="0.25">
      <c r="C42" s="1"/>
    </row>
    <row r="43" spans="2:11" ht="17.25" x14ac:dyDescent="0.4">
      <c r="C43" s="1"/>
      <c r="D43" s="431" t="s">
        <v>110</v>
      </c>
      <c r="E43" s="431" t="s">
        <v>11</v>
      </c>
      <c r="G43" s="443" t="s">
        <v>497</v>
      </c>
    </row>
    <row r="44" spans="2:11" x14ac:dyDescent="0.25">
      <c r="C44" s="1" t="s">
        <v>482</v>
      </c>
      <c r="D44" s="432">
        <f>ExBA!F10</f>
        <v>5583376.0464000003</v>
      </c>
      <c r="E44" s="432">
        <f>PrBA!F10</f>
        <v>6077477.1158480002</v>
      </c>
      <c r="G44" s="436">
        <f>(E44-D44)/D44</f>
        <v>8.8495036934970905E-2</v>
      </c>
    </row>
    <row r="45" spans="2:11" x14ac:dyDescent="0.25">
      <c r="C45" s="1" t="s">
        <v>212</v>
      </c>
      <c r="D45" s="432">
        <f>ExBA!F12</f>
        <v>37152</v>
      </c>
      <c r="E45" s="432">
        <f>PrBA!F12</f>
        <v>37152</v>
      </c>
      <c r="G45" s="436">
        <f t="shared" ref="G45:G46" si="3">(E45-D45)/D45</f>
        <v>0</v>
      </c>
    </row>
    <row r="46" spans="2:11" ht="17.25" x14ac:dyDescent="0.4">
      <c r="C46" s="1" t="s">
        <v>39</v>
      </c>
      <c r="D46" s="433">
        <f>ExBA!F14</f>
        <v>408966.27</v>
      </c>
      <c r="E46" s="433">
        <f>PrBA!F14</f>
        <v>444831.42</v>
      </c>
      <c r="G46" s="436">
        <f t="shared" si="3"/>
        <v>8.7697085630069116E-2</v>
      </c>
    </row>
    <row r="47" spans="2:11" x14ac:dyDescent="0.25">
      <c r="D47" s="432">
        <f>SUM(D44:D46)</f>
        <v>6029494.3164000008</v>
      </c>
      <c r="E47" s="432">
        <f>SUM(E44:E46)</f>
        <v>6559460.5358480001</v>
      </c>
      <c r="G47" s="436">
        <f>(E47-D47)/D47</f>
        <v>8.7895632973151797E-2</v>
      </c>
    </row>
  </sheetData>
  <mergeCells count="11">
    <mergeCell ref="B3:K3"/>
    <mergeCell ref="D13:J13"/>
    <mergeCell ref="D20:J20"/>
    <mergeCell ref="C41:E41"/>
    <mergeCell ref="B4:K4"/>
    <mergeCell ref="B5:K5"/>
    <mergeCell ref="B9:C9"/>
    <mergeCell ref="B33:C33"/>
    <mergeCell ref="D11:G11"/>
    <mergeCell ref="H11:J11"/>
    <mergeCell ref="B6:K6"/>
  </mergeCells>
  <printOptions horizontalCentered="1"/>
  <pageMargins left="1" right="0.8" top="1.25" bottom="0.5" header="0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Z46"/>
  <sheetViews>
    <sheetView zoomScale="75" zoomScaleNormal="75" workbookViewId="0"/>
    <sheetView workbookViewId="1"/>
  </sheetViews>
  <sheetFormatPr defaultColWidth="8.88671875" defaultRowHeight="15" x14ac:dyDescent="0.25"/>
  <cols>
    <col min="1" max="1" width="2.33203125" style="1" customWidth="1"/>
    <col min="2" max="2" width="10.5546875" style="1" customWidth="1"/>
    <col min="3" max="3" width="10.109375" style="1" customWidth="1"/>
    <col min="4" max="4" width="10.33203125" style="1" customWidth="1"/>
    <col min="5" max="5" width="9.77734375" style="1" customWidth="1"/>
    <col min="6" max="6" width="12.109375" style="1" customWidth="1"/>
    <col min="7" max="7" width="9.77734375" style="1" customWidth="1"/>
    <col min="8" max="8" width="8.88671875" style="1"/>
    <col min="9" max="9" width="10.5546875" style="1" customWidth="1"/>
    <col min="10" max="10" width="9.5546875" style="1" customWidth="1"/>
    <col min="11" max="13" width="8.88671875" style="1"/>
    <col min="14" max="14" width="9.88671875" style="1" customWidth="1"/>
    <col min="15" max="15" width="10.109375" style="1" customWidth="1"/>
    <col min="16" max="16" width="9.21875" style="1" customWidth="1"/>
    <col min="17" max="17" width="10.5546875" style="1" customWidth="1"/>
    <col min="18" max="18" width="8.88671875" style="1"/>
    <col min="19" max="19" width="10.109375" style="1" customWidth="1"/>
    <col min="20" max="20" width="9" style="1" bestFit="1" customWidth="1"/>
    <col min="21" max="21" width="8.77734375" style="1" customWidth="1"/>
    <col min="22" max="23" width="10.44140625" style="1" customWidth="1"/>
    <col min="24" max="24" width="3.21875" style="1" customWidth="1"/>
    <col min="25" max="25" width="9.44140625" style="1" customWidth="1"/>
    <col min="26" max="26" width="12" style="1" customWidth="1"/>
    <col min="27" max="16384" width="8.88671875" style="1"/>
  </cols>
  <sheetData>
    <row r="2" spans="2:25" ht="18.75" x14ac:dyDescent="0.25">
      <c r="B2" s="137" t="s">
        <v>242</v>
      </c>
      <c r="E2" s="138"/>
      <c r="F2" s="138"/>
      <c r="G2" s="138"/>
    </row>
    <row r="3" spans="2:25" x14ac:dyDescent="0.25">
      <c r="D3" s="139"/>
      <c r="E3" s="138"/>
      <c r="F3" s="138"/>
      <c r="G3" s="138"/>
    </row>
    <row r="4" spans="2:25" x14ac:dyDescent="0.25">
      <c r="B4" s="251" t="s">
        <v>129</v>
      </c>
      <c r="C4" s="7"/>
      <c r="D4" s="7"/>
      <c r="E4" s="7"/>
      <c r="F4" s="7"/>
      <c r="I4" s="251" t="s">
        <v>245</v>
      </c>
      <c r="S4" s="251" t="s">
        <v>142</v>
      </c>
    </row>
    <row r="5" spans="2:25" x14ac:dyDescent="0.25">
      <c r="Q5" s="73" t="s">
        <v>16</v>
      </c>
    </row>
    <row r="6" spans="2:25" x14ac:dyDescent="0.25">
      <c r="B6" s="7" t="s">
        <v>130</v>
      </c>
      <c r="C6" s="7"/>
      <c r="D6" s="7">
        <v>1142746</v>
      </c>
      <c r="E6" s="7"/>
      <c r="F6" s="55"/>
      <c r="J6" s="73" t="s">
        <v>246</v>
      </c>
      <c r="K6" s="73" t="s">
        <v>246</v>
      </c>
      <c r="L6" s="73" t="s">
        <v>246</v>
      </c>
      <c r="M6" s="73" t="s">
        <v>247</v>
      </c>
      <c r="N6" s="73" t="s">
        <v>246</v>
      </c>
      <c r="O6" s="73" t="s">
        <v>246</v>
      </c>
      <c r="P6" s="73" t="s">
        <v>299</v>
      </c>
      <c r="Q6" s="73" t="s">
        <v>246</v>
      </c>
      <c r="S6" s="1" t="s">
        <v>248</v>
      </c>
      <c r="T6" s="59"/>
      <c r="U6" s="59"/>
      <c r="V6" s="59"/>
    </row>
    <row r="7" spans="2:25" x14ac:dyDescent="0.25">
      <c r="B7" s="7" t="s">
        <v>131</v>
      </c>
      <c r="C7" s="7"/>
      <c r="D7" s="7">
        <v>975028</v>
      </c>
      <c r="E7" s="7"/>
      <c r="F7" s="7"/>
      <c r="I7" s="74" t="s">
        <v>249</v>
      </c>
      <c r="J7" s="74" t="s">
        <v>250</v>
      </c>
      <c r="K7" s="74" t="s">
        <v>251</v>
      </c>
      <c r="L7" s="74" t="s">
        <v>297</v>
      </c>
      <c r="M7" s="74" t="s">
        <v>252</v>
      </c>
      <c r="N7" s="74" t="s">
        <v>206</v>
      </c>
      <c r="O7" s="74" t="s">
        <v>253</v>
      </c>
      <c r="P7" s="74" t="s">
        <v>300</v>
      </c>
      <c r="Q7" s="74" t="s">
        <v>205</v>
      </c>
      <c r="S7" s="252" t="s">
        <v>254</v>
      </c>
      <c r="T7" s="54"/>
      <c r="U7" s="54"/>
      <c r="V7" s="54"/>
    </row>
    <row r="8" spans="2:25" ht="17.25" x14ac:dyDescent="0.4">
      <c r="B8" s="7" t="s">
        <v>132</v>
      </c>
      <c r="C8" s="7"/>
      <c r="D8" s="7"/>
      <c r="E8" s="7"/>
      <c r="F8" s="7"/>
      <c r="I8" s="54" t="s">
        <v>283</v>
      </c>
      <c r="J8" s="53" t="s">
        <v>296</v>
      </c>
      <c r="K8" s="53">
        <v>0</v>
      </c>
      <c r="L8" s="53">
        <v>0</v>
      </c>
      <c r="M8" s="53">
        <f>(112590.8/2080)*1.03</f>
        <v>55.754098076923086</v>
      </c>
      <c r="N8" s="54">
        <v>100000</v>
      </c>
      <c r="O8" s="54">
        <f>K8*M8*1.5</f>
        <v>0</v>
      </c>
      <c r="P8" s="54">
        <v>0</v>
      </c>
      <c r="Q8" s="54">
        <f>SUM(N8:P8)</f>
        <v>100000</v>
      </c>
      <c r="S8" s="253" t="s">
        <v>255</v>
      </c>
      <c r="T8" s="54"/>
      <c r="U8" s="54"/>
      <c r="V8" s="140"/>
    </row>
    <row r="9" spans="2:25" x14ac:dyDescent="0.25">
      <c r="B9" s="1" t="s">
        <v>134</v>
      </c>
      <c r="C9" s="7">
        <v>0</v>
      </c>
      <c r="D9" s="7"/>
      <c r="E9" s="7"/>
      <c r="F9" s="7"/>
      <c r="I9" s="54" t="s">
        <v>284</v>
      </c>
      <c r="J9" s="53" t="s">
        <v>296</v>
      </c>
      <c r="K9" s="53">
        <v>0</v>
      </c>
      <c r="L9" s="53">
        <v>0</v>
      </c>
      <c r="M9" s="53">
        <v>24.63</v>
      </c>
      <c r="N9" s="54">
        <v>88545.600000000006</v>
      </c>
      <c r="O9" s="54">
        <f>K9*M9*1.5</f>
        <v>0</v>
      </c>
      <c r="P9" s="54">
        <v>0</v>
      </c>
      <c r="Q9" s="54">
        <f t="shared" ref="Q9:Q21" si="0">SUM(N9:P9)</f>
        <v>88545.600000000006</v>
      </c>
      <c r="U9" s="254"/>
      <c r="V9" s="54"/>
    </row>
    <row r="10" spans="2:25" x14ac:dyDescent="0.25">
      <c r="B10" s="7" t="s">
        <v>133</v>
      </c>
      <c r="C10" s="7">
        <v>14537</v>
      </c>
      <c r="D10" s="7"/>
      <c r="E10" s="7"/>
      <c r="F10" s="7"/>
      <c r="I10" s="54" t="s">
        <v>285</v>
      </c>
      <c r="J10" s="53">
        <v>2080</v>
      </c>
      <c r="K10" s="53">
        <v>2</v>
      </c>
      <c r="L10" s="53">
        <v>0</v>
      </c>
      <c r="M10" s="33">
        <v>19.25</v>
      </c>
      <c r="N10" s="83">
        <f t="shared" ref="N10:N20" si="1">J10*M10</f>
        <v>40040</v>
      </c>
      <c r="O10" s="33">
        <f>K10*(1.5*M10)+L10*(2*M10)</f>
        <v>57.75</v>
      </c>
      <c r="P10" s="33">
        <v>300</v>
      </c>
      <c r="Q10" s="54">
        <f t="shared" si="0"/>
        <v>40397.75</v>
      </c>
      <c r="U10" s="254"/>
      <c r="V10" s="54"/>
    </row>
    <row r="11" spans="2:25" x14ac:dyDescent="0.25">
      <c r="B11" s="7" t="s">
        <v>135</v>
      </c>
      <c r="C11" s="7">
        <v>92</v>
      </c>
      <c r="D11" s="7"/>
      <c r="E11" s="7"/>
      <c r="F11" s="7"/>
      <c r="I11" s="54" t="s">
        <v>286</v>
      </c>
      <c r="J11" s="53">
        <v>2080</v>
      </c>
      <c r="K11" s="53">
        <v>1</v>
      </c>
      <c r="L11" s="53">
        <v>0</v>
      </c>
      <c r="M11" s="33">
        <v>18.5</v>
      </c>
      <c r="N11" s="83">
        <f t="shared" si="1"/>
        <v>38480</v>
      </c>
      <c r="O11" s="33">
        <f t="shared" ref="O11:O21" si="2">K11*(1.5*M11)+L11*(2*M11)</f>
        <v>27.75</v>
      </c>
      <c r="P11" s="33">
        <v>300</v>
      </c>
      <c r="Q11" s="54">
        <f t="shared" si="0"/>
        <v>38807.75</v>
      </c>
      <c r="S11" s="251" t="s">
        <v>432</v>
      </c>
      <c r="U11" s="254"/>
      <c r="V11" s="54"/>
      <c r="W11" s="251" t="s">
        <v>437</v>
      </c>
    </row>
    <row r="12" spans="2:25" x14ac:dyDescent="0.25">
      <c r="B12" s="7" t="s">
        <v>136</v>
      </c>
      <c r="C12" s="60">
        <v>0</v>
      </c>
      <c r="D12" s="7"/>
      <c r="E12" s="7"/>
      <c r="F12" s="7"/>
      <c r="I12" s="54" t="s">
        <v>287</v>
      </c>
      <c r="J12" s="53">
        <v>2080</v>
      </c>
      <c r="K12" s="53">
        <v>2</v>
      </c>
      <c r="L12" s="53">
        <v>0</v>
      </c>
      <c r="M12" s="33">
        <v>19.75</v>
      </c>
      <c r="N12" s="83">
        <f t="shared" si="1"/>
        <v>41080</v>
      </c>
      <c r="O12" s="33">
        <f t="shared" si="2"/>
        <v>59.25</v>
      </c>
      <c r="P12" s="33">
        <v>137.69999999999999</v>
      </c>
      <c r="Q12" s="54">
        <f t="shared" si="0"/>
        <v>41276.949999999997</v>
      </c>
      <c r="U12" s="254"/>
      <c r="V12" s="54"/>
    </row>
    <row r="13" spans="2:25" ht="17.25" x14ac:dyDescent="0.4">
      <c r="B13" s="7"/>
      <c r="C13" s="7"/>
      <c r="D13" s="7">
        <f>SUM(C9:C12)</f>
        <v>14629</v>
      </c>
      <c r="E13" s="7"/>
      <c r="F13" s="7"/>
      <c r="I13" s="54" t="s">
        <v>288</v>
      </c>
      <c r="J13" s="53">
        <v>2080</v>
      </c>
      <c r="K13" s="53">
        <v>0</v>
      </c>
      <c r="L13" s="53">
        <v>0</v>
      </c>
      <c r="M13" s="33">
        <v>19.25</v>
      </c>
      <c r="N13" s="83">
        <f t="shared" si="1"/>
        <v>40040</v>
      </c>
      <c r="O13" s="33">
        <f t="shared" si="2"/>
        <v>0</v>
      </c>
      <c r="P13" s="33">
        <v>175</v>
      </c>
      <c r="Q13" s="54">
        <f t="shared" si="0"/>
        <v>40215</v>
      </c>
      <c r="S13" s="465" t="s">
        <v>430</v>
      </c>
      <c r="T13" s="465"/>
      <c r="U13" s="69" t="s">
        <v>264</v>
      </c>
      <c r="V13" s="1" t="s">
        <v>264</v>
      </c>
      <c r="W13" s="356" t="s">
        <v>431</v>
      </c>
      <c r="Y13" s="356" t="s">
        <v>433</v>
      </c>
    </row>
    <row r="14" spans="2:25" x14ac:dyDescent="0.25">
      <c r="B14" s="7" t="s">
        <v>137</v>
      </c>
      <c r="C14" s="7">
        <v>0</v>
      </c>
      <c r="D14" s="7"/>
      <c r="E14" s="7"/>
      <c r="F14" s="7"/>
      <c r="I14" s="54" t="s">
        <v>298</v>
      </c>
      <c r="J14" s="53">
        <v>2080</v>
      </c>
      <c r="K14" s="53">
        <v>22.75</v>
      </c>
      <c r="L14" s="53">
        <v>0</v>
      </c>
      <c r="M14" s="53">
        <v>29.35</v>
      </c>
      <c r="N14" s="83">
        <f t="shared" si="1"/>
        <v>61048</v>
      </c>
      <c r="O14" s="33">
        <f t="shared" si="2"/>
        <v>1001.5687500000001</v>
      </c>
      <c r="P14" s="33">
        <v>0</v>
      </c>
      <c r="Q14" s="54">
        <f t="shared" si="0"/>
        <v>62049.568749999999</v>
      </c>
      <c r="S14" s="54">
        <f>8300+15000</f>
        <v>23300</v>
      </c>
      <c r="T14" s="1" t="s">
        <v>306</v>
      </c>
      <c r="U14" s="69"/>
      <c r="W14" s="33">
        <v>26548.63</v>
      </c>
      <c r="Y14" s="33">
        <v>53151.75</v>
      </c>
    </row>
    <row r="15" spans="2:25" ht="17.25" x14ac:dyDescent="0.4">
      <c r="B15" s="7" t="s">
        <v>138</v>
      </c>
      <c r="C15" s="7">
        <v>16512</v>
      </c>
      <c r="D15" s="7"/>
      <c r="E15" s="7"/>
      <c r="F15" s="7"/>
      <c r="I15" s="54" t="s">
        <v>289</v>
      </c>
      <c r="J15" s="53">
        <v>2080</v>
      </c>
      <c r="K15" s="53">
        <v>41</v>
      </c>
      <c r="L15" s="53">
        <v>12.5</v>
      </c>
      <c r="M15" s="53">
        <v>25.94</v>
      </c>
      <c r="N15" s="83">
        <f t="shared" si="1"/>
        <v>53955.200000000004</v>
      </c>
      <c r="O15" s="33">
        <f t="shared" si="2"/>
        <v>2243.8100000000004</v>
      </c>
      <c r="P15" s="33">
        <v>0</v>
      </c>
      <c r="Q15" s="54">
        <f t="shared" si="0"/>
        <v>56199.01</v>
      </c>
      <c r="S15" s="86">
        <v>45000</v>
      </c>
      <c r="T15" s="1" t="s">
        <v>307</v>
      </c>
      <c r="U15" s="234"/>
      <c r="W15" s="365">
        <v>0.03</v>
      </c>
      <c r="Y15" s="365">
        <f>0.11/3</f>
        <v>3.6666666666666667E-2</v>
      </c>
    </row>
    <row r="16" spans="2:25" x14ac:dyDescent="0.25">
      <c r="B16" s="1" t="s">
        <v>256</v>
      </c>
      <c r="C16" s="60">
        <v>136577</v>
      </c>
      <c r="D16" s="7"/>
      <c r="E16" s="7"/>
      <c r="F16" s="7"/>
      <c r="I16" s="54" t="s">
        <v>290</v>
      </c>
      <c r="J16" s="53">
        <v>2080</v>
      </c>
      <c r="K16" s="53">
        <v>108.5</v>
      </c>
      <c r="L16" s="53">
        <v>18.5</v>
      </c>
      <c r="M16" s="53">
        <v>22.39</v>
      </c>
      <c r="N16" s="83">
        <f t="shared" si="1"/>
        <v>46571.200000000004</v>
      </c>
      <c r="O16" s="33">
        <f t="shared" si="2"/>
        <v>4472.4025000000001</v>
      </c>
      <c r="P16" s="33">
        <v>0</v>
      </c>
      <c r="Q16" s="54">
        <f t="shared" si="0"/>
        <v>51043.602500000008</v>
      </c>
      <c r="R16" s="103"/>
      <c r="S16" s="19">
        <f>S14+S15</f>
        <v>68300</v>
      </c>
      <c r="W16" s="62">
        <f>W14*W15</f>
        <v>796.45889999999997</v>
      </c>
      <c r="Y16" s="62">
        <f>Y14*Y15</f>
        <v>1948.8975</v>
      </c>
    </row>
    <row r="17" spans="2:26" ht="17.25" x14ac:dyDescent="0.4">
      <c r="B17" s="7"/>
      <c r="C17" s="7"/>
      <c r="D17" s="7">
        <f>SUM(C14:C16)</f>
        <v>153089</v>
      </c>
      <c r="E17" s="56">
        <f>D17/D6</f>
        <v>0.13396590318408466</v>
      </c>
      <c r="F17" s="7" t="s">
        <v>139</v>
      </c>
      <c r="I17" s="54" t="s">
        <v>291</v>
      </c>
      <c r="J17" s="53">
        <v>2080</v>
      </c>
      <c r="K17" s="53">
        <v>128.5</v>
      </c>
      <c r="L17" s="53">
        <v>46</v>
      </c>
      <c r="M17" s="53">
        <v>30.18</v>
      </c>
      <c r="N17" s="83">
        <f t="shared" si="1"/>
        <v>62774.400000000001</v>
      </c>
      <c r="O17" s="33">
        <f t="shared" si="2"/>
        <v>8593.7549999999992</v>
      </c>
      <c r="P17" s="33">
        <v>3120</v>
      </c>
      <c r="Q17" s="54">
        <f t="shared" si="0"/>
        <v>74488.154999999999</v>
      </c>
      <c r="S17" s="140">
        <v>3</v>
      </c>
      <c r="T17" s="1" t="s">
        <v>490</v>
      </c>
    </row>
    <row r="18" spans="2:26" x14ac:dyDescent="0.25">
      <c r="B18" s="57" t="s">
        <v>140</v>
      </c>
      <c r="C18" s="7">
        <f>SUM(D7:D17)</f>
        <v>1142746</v>
      </c>
      <c r="E18" s="141">
        <v>0.15</v>
      </c>
      <c r="F18" s="7" t="s">
        <v>141</v>
      </c>
      <c r="I18" s="54" t="s">
        <v>292</v>
      </c>
      <c r="J18" s="53">
        <v>2080</v>
      </c>
      <c r="K18" s="53">
        <v>22.5</v>
      </c>
      <c r="L18" s="53">
        <v>5</v>
      </c>
      <c r="M18" s="53">
        <v>23.59</v>
      </c>
      <c r="N18" s="83">
        <f t="shared" si="1"/>
        <v>49067.199999999997</v>
      </c>
      <c r="O18" s="33">
        <f t="shared" si="2"/>
        <v>1032.0625</v>
      </c>
      <c r="P18" s="33">
        <v>0</v>
      </c>
      <c r="Q18" s="54">
        <f t="shared" si="0"/>
        <v>50099.262499999997</v>
      </c>
      <c r="R18" s="103"/>
      <c r="S18" s="71">
        <f>S16/S17</f>
        <v>22766.666666666668</v>
      </c>
      <c r="T18" s="234" t="s">
        <v>143</v>
      </c>
    </row>
    <row r="19" spans="2:26" x14ac:dyDescent="0.25">
      <c r="B19" s="58"/>
      <c r="C19" s="7"/>
      <c r="D19" s="7"/>
      <c r="E19" s="259">
        <f>E17-E18</f>
        <v>-1.6034096815915333E-2</v>
      </c>
      <c r="F19" s="260" t="s">
        <v>257</v>
      </c>
      <c r="I19" s="54" t="s">
        <v>293</v>
      </c>
      <c r="J19" s="53">
        <v>2080</v>
      </c>
      <c r="K19" s="53">
        <v>5</v>
      </c>
      <c r="L19" s="53">
        <v>5</v>
      </c>
      <c r="M19" s="53">
        <v>27.29</v>
      </c>
      <c r="N19" s="83">
        <f t="shared" si="1"/>
        <v>56763.199999999997</v>
      </c>
      <c r="O19" s="33">
        <f t="shared" si="2"/>
        <v>477.57499999999999</v>
      </c>
      <c r="P19" s="33">
        <v>4255</v>
      </c>
      <c r="Q19" s="54">
        <f t="shared" si="0"/>
        <v>61495.774999999994</v>
      </c>
    </row>
    <row r="20" spans="2:26" x14ac:dyDescent="0.25">
      <c r="I20" s="54" t="s">
        <v>294</v>
      </c>
      <c r="J20" s="53">
        <v>2080</v>
      </c>
      <c r="K20" s="53">
        <v>47.5</v>
      </c>
      <c r="L20" s="53">
        <v>5.5</v>
      </c>
      <c r="M20" s="53">
        <v>21</v>
      </c>
      <c r="N20" s="83">
        <f t="shared" si="1"/>
        <v>43680</v>
      </c>
      <c r="O20" s="33">
        <f t="shared" si="2"/>
        <v>1727.25</v>
      </c>
      <c r="P20" s="33">
        <v>0</v>
      </c>
      <c r="Q20" s="54">
        <f t="shared" si="0"/>
        <v>45407.25</v>
      </c>
    </row>
    <row r="21" spans="2:26" ht="17.25" x14ac:dyDescent="0.4">
      <c r="I21" s="83" t="s">
        <v>295</v>
      </c>
      <c r="J21" s="53">
        <v>2080</v>
      </c>
      <c r="K21" s="155">
        <v>23</v>
      </c>
      <c r="L21" s="155">
        <v>0</v>
      </c>
      <c r="M21" s="155">
        <v>20</v>
      </c>
      <c r="N21" s="83">
        <f t="shared" ref="N21" si="3">J21*M21</f>
        <v>41600</v>
      </c>
      <c r="O21" s="33">
        <f t="shared" si="2"/>
        <v>690</v>
      </c>
      <c r="P21" s="33">
        <v>0</v>
      </c>
      <c r="Q21" s="140">
        <f t="shared" si="0"/>
        <v>42290</v>
      </c>
    </row>
    <row r="22" spans="2:26" x14ac:dyDescent="0.25">
      <c r="B22" s="251" t="s">
        <v>258</v>
      </c>
      <c r="C22" s="53"/>
      <c r="D22" s="53"/>
      <c r="E22" s="54"/>
      <c r="I22" s="54"/>
      <c r="J22" s="54"/>
      <c r="K22" s="54"/>
      <c r="L22" s="54"/>
      <c r="M22" s="53"/>
      <c r="N22" s="54"/>
      <c r="O22" s="54"/>
      <c r="P22" s="76" t="s">
        <v>434</v>
      </c>
      <c r="Q22" s="257">
        <f>SUM(Q8:Q21)</f>
        <v>792315.67374999996</v>
      </c>
      <c r="S22" s="251" t="s">
        <v>308</v>
      </c>
    </row>
    <row r="23" spans="2:26" ht="17.25" x14ac:dyDescent="0.4">
      <c r="B23" s="7"/>
      <c r="C23" s="53"/>
      <c r="D23" s="53"/>
      <c r="E23" s="54"/>
      <c r="H23" s="54"/>
      <c r="I23" s="54"/>
      <c r="J23" s="54"/>
      <c r="K23" s="54"/>
      <c r="L23" s="54"/>
      <c r="M23" s="53"/>
      <c r="N23" s="54"/>
      <c r="O23" s="207"/>
      <c r="P23" s="207"/>
      <c r="Q23" s="140"/>
      <c r="T23" s="59">
        <v>2019</v>
      </c>
      <c r="U23" s="59" t="s">
        <v>312</v>
      </c>
      <c r="V23" s="59">
        <v>2022</v>
      </c>
    </row>
    <row r="24" spans="2:26" ht="17.25" x14ac:dyDescent="0.4">
      <c r="C24" s="265" t="s">
        <v>16</v>
      </c>
      <c r="D24" s="265" t="s">
        <v>262</v>
      </c>
      <c r="E24" s="265" t="s">
        <v>263</v>
      </c>
      <c r="F24" s="265" t="s">
        <v>246</v>
      </c>
      <c r="H24" s="54"/>
      <c r="I24" s="262"/>
      <c r="J24" s="54"/>
      <c r="K24" s="54"/>
      <c r="L24" s="54"/>
      <c r="Q24" s="261" t="s">
        <v>121</v>
      </c>
      <c r="S24" s="73" t="s">
        <v>309</v>
      </c>
      <c r="T24" s="19">
        <v>29596</v>
      </c>
      <c r="U24" s="364">
        <f>0.173+V29</f>
        <v>0.18148765625544064</v>
      </c>
      <c r="V24" s="103">
        <f>T24*(1+U24)</f>
        <v>34967.30867453602</v>
      </c>
      <c r="Y24" s="19"/>
      <c r="Z24" s="103"/>
    </row>
    <row r="25" spans="2:26" ht="17.25" x14ac:dyDescent="0.4">
      <c r="C25" s="265" t="s">
        <v>263</v>
      </c>
      <c r="D25" s="265" t="s">
        <v>266</v>
      </c>
      <c r="E25" s="265" t="s">
        <v>267</v>
      </c>
      <c r="F25" s="265" t="s">
        <v>261</v>
      </c>
      <c r="H25" s="54"/>
      <c r="I25" s="258" t="s">
        <v>301</v>
      </c>
      <c r="L25" s="54"/>
      <c r="M25" s="1" t="s">
        <v>435</v>
      </c>
      <c r="Q25" s="257">
        <f>Q22*1.06</f>
        <v>839854.614175</v>
      </c>
      <c r="S25" s="73" t="s">
        <v>310</v>
      </c>
      <c r="T25" s="86">
        <v>23889</v>
      </c>
      <c r="U25" s="364">
        <f>0.138+V29</f>
        <v>0.14648765625544066</v>
      </c>
      <c r="V25" s="271">
        <f>T25*(1+U25)</f>
        <v>27388.443620286223</v>
      </c>
      <c r="Y25" s="19"/>
      <c r="Z25" s="103"/>
    </row>
    <row r="26" spans="2:26" ht="17.25" x14ac:dyDescent="0.4">
      <c r="B26" s="7" t="s">
        <v>269</v>
      </c>
      <c r="C26" s="53">
        <f>5*688.4</f>
        <v>3442</v>
      </c>
      <c r="D26" s="266">
        <v>0.22</v>
      </c>
      <c r="E26" s="53">
        <f>-C26*D26</f>
        <v>-757.24</v>
      </c>
      <c r="F26" s="53">
        <f>C26+E26</f>
        <v>2684.76</v>
      </c>
      <c r="H26" s="54"/>
      <c r="I26" s="58">
        <v>259840</v>
      </c>
      <c r="J26" s="67" t="s">
        <v>305</v>
      </c>
      <c r="K26" s="53"/>
      <c r="L26" s="54"/>
      <c r="M26" s="1" t="s">
        <v>259</v>
      </c>
      <c r="Q26" s="140">
        <f>-SAO!F20</f>
        <v>-749184</v>
      </c>
      <c r="T26" s="19">
        <f>SUM(T24:T25)</f>
        <v>53485</v>
      </c>
      <c r="U26" s="19"/>
      <c r="V26" s="103">
        <f>SUM(V24:V25)</f>
        <v>62355.752294822247</v>
      </c>
      <c r="Y26" s="2"/>
      <c r="Z26" s="2"/>
    </row>
    <row r="27" spans="2:26" ht="18" thickBot="1" x14ac:dyDescent="0.3">
      <c r="B27" s="7" t="s">
        <v>304</v>
      </c>
      <c r="C27" s="53">
        <f>2*1445.64</f>
        <v>2891.28</v>
      </c>
      <c r="D27" s="266">
        <v>0.34</v>
      </c>
      <c r="E27" s="53">
        <f t="shared" ref="E27:E29" si="4">-C27*D27</f>
        <v>-983.03520000000015</v>
      </c>
      <c r="F27" s="53">
        <f t="shared" ref="F27:F29" si="5">C27+E27</f>
        <v>1908.2447999999999</v>
      </c>
      <c r="H27" s="54"/>
      <c r="I27" s="243">
        <v>102389</v>
      </c>
      <c r="J27" s="67" t="s">
        <v>302</v>
      </c>
      <c r="K27" s="53"/>
      <c r="L27" s="54"/>
      <c r="M27" s="263" t="s">
        <v>260</v>
      </c>
      <c r="N27" s="263"/>
      <c r="O27" s="263"/>
      <c r="P27" s="263"/>
      <c r="Q27" s="264">
        <f>Q25+Q26</f>
        <v>90670.614174999995</v>
      </c>
      <c r="T27" s="19"/>
      <c r="U27" s="19"/>
      <c r="V27" s="19"/>
    </row>
    <row r="28" spans="2:26" ht="15.75" thickTop="1" x14ac:dyDescent="0.25">
      <c r="B28" s="7" t="s">
        <v>270</v>
      </c>
      <c r="C28" s="53">
        <f>6*1996.36</f>
        <v>11978.16</v>
      </c>
      <c r="D28" s="266">
        <v>0.34</v>
      </c>
      <c r="E28" s="53">
        <f t="shared" si="4"/>
        <v>-4072.5744000000004</v>
      </c>
      <c r="F28" s="53">
        <f t="shared" si="5"/>
        <v>7905.5855999999994</v>
      </c>
      <c r="H28" s="54"/>
      <c r="I28" s="58">
        <f>SUM(I26:I27)</f>
        <v>362229</v>
      </c>
      <c r="J28" s="67" t="s">
        <v>265</v>
      </c>
      <c r="K28" s="53"/>
      <c r="L28" s="54"/>
      <c r="Q28" s="1" t="s">
        <v>264</v>
      </c>
      <c r="T28" s="1" t="s">
        <v>311</v>
      </c>
      <c r="U28" s="19">
        <f>975028*0.05</f>
        <v>48751.4</v>
      </c>
    </row>
    <row r="29" spans="2:26" ht="17.25" x14ac:dyDescent="0.4">
      <c r="B29" s="7" t="s">
        <v>272</v>
      </c>
      <c r="C29" s="53">
        <v>559.16</v>
      </c>
      <c r="D29" s="266">
        <v>0.6</v>
      </c>
      <c r="E29" s="53">
        <f t="shared" si="4"/>
        <v>-335.49599999999998</v>
      </c>
      <c r="F29" s="268">
        <f t="shared" si="5"/>
        <v>223.66399999999999</v>
      </c>
      <c r="H29" s="54"/>
      <c r="I29" s="54"/>
      <c r="J29" s="54"/>
      <c r="K29" s="54"/>
      <c r="L29" s="54"/>
      <c r="M29" s="1" t="s">
        <v>268</v>
      </c>
      <c r="Q29" s="72">
        <f>Q25</f>
        <v>839854.614175</v>
      </c>
      <c r="T29" s="1" t="s">
        <v>181</v>
      </c>
      <c r="U29" s="19">
        <f>SAO!M11-24000</f>
        <v>5743800</v>
      </c>
      <c r="V29" s="32">
        <f>U28/U29</f>
        <v>8.4876562554406492E-3</v>
      </c>
    </row>
    <row r="30" spans="2:26" x14ac:dyDescent="0.25">
      <c r="B30" s="7"/>
      <c r="E30" s="269" t="s">
        <v>274</v>
      </c>
      <c r="F30" s="53">
        <f>SUM(F26:F29)</f>
        <v>12722.254400000002</v>
      </c>
      <c r="G30" s="54">
        <f>C31*12</f>
        <v>0</v>
      </c>
      <c r="H30" s="54"/>
      <c r="I30" s="54"/>
      <c r="J30" s="54"/>
      <c r="K30" s="54"/>
      <c r="L30" s="54"/>
      <c r="M30" s="1" t="s">
        <v>501</v>
      </c>
      <c r="Q30" s="267">
        <f>7.65%+0.01</f>
        <v>8.6499999999999994E-2</v>
      </c>
    </row>
    <row r="31" spans="2:26" x14ac:dyDescent="0.25">
      <c r="B31" s="7"/>
      <c r="C31" s="53"/>
      <c r="E31" s="269" t="s">
        <v>276</v>
      </c>
      <c r="F31" s="53">
        <f>F30*12</f>
        <v>152667.0528</v>
      </c>
      <c r="H31" s="54"/>
      <c r="I31" s="54"/>
      <c r="J31" s="54"/>
      <c r="K31" s="54"/>
      <c r="L31" s="54"/>
      <c r="M31" s="1" t="s">
        <v>271</v>
      </c>
      <c r="Q31" s="54">
        <f>+Q29*Q30</f>
        <v>72647.424126137499</v>
      </c>
      <c r="R31" s="249"/>
      <c r="S31" s="54"/>
      <c r="T31" s="54"/>
    </row>
    <row r="32" spans="2:26" ht="17.25" x14ac:dyDescent="0.4">
      <c r="B32" s="7"/>
      <c r="C32" s="53"/>
      <c r="E32" s="269" t="s">
        <v>277</v>
      </c>
      <c r="F32" s="268">
        <v>-222141.15</v>
      </c>
      <c r="H32" s="54"/>
      <c r="I32" s="54"/>
      <c r="J32" s="54"/>
      <c r="K32" s="54"/>
      <c r="L32" s="54"/>
      <c r="M32" s="1" t="s">
        <v>273</v>
      </c>
      <c r="Q32" s="16">
        <f>-(31756.3+18995.46+10117.68)</f>
        <v>-60869.439999999995</v>
      </c>
      <c r="S32" s="251" t="s">
        <v>426</v>
      </c>
      <c r="T32" s="54"/>
    </row>
    <row r="33" spans="2:22" ht="15.75" thickBot="1" x14ac:dyDescent="0.3">
      <c r="B33" s="7"/>
      <c r="C33" s="53"/>
      <c r="D33" s="256"/>
      <c r="E33" s="254" t="s">
        <v>278</v>
      </c>
      <c r="F33" s="256">
        <f>F31+F32</f>
        <v>-69474.097199999989</v>
      </c>
      <c r="H33" s="54"/>
      <c r="I33" s="54"/>
      <c r="J33" s="54"/>
      <c r="K33" s="54"/>
      <c r="L33" s="54"/>
      <c r="M33" s="234" t="s">
        <v>275</v>
      </c>
      <c r="Q33" s="302">
        <f>+Q31+Q32</f>
        <v>11777.984126137504</v>
      </c>
      <c r="T33" s="363">
        <v>2021</v>
      </c>
      <c r="U33" s="59" t="s">
        <v>428</v>
      </c>
      <c r="V33" s="59" t="s">
        <v>429</v>
      </c>
    </row>
    <row r="34" spans="2:22" ht="15.75" thickTop="1" x14ac:dyDescent="0.25">
      <c r="B34" s="7"/>
      <c r="C34" s="53"/>
      <c r="D34" s="53"/>
      <c r="E34" s="53"/>
      <c r="F34" s="53"/>
      <c r="H34" s="54"/>
      <c r="I34" s="54"/>
      <c r="J34" s="54"/>
      <c r="K34" s="54"/>
      <c r="L34" s="54"/>
      <c r="R34" s="54"/>
      <c r="S34" s="1" t="s">
        <v>427</v>
      </c>
      <c r="T34" s="33">
        <v>15573.6</v>
      </c>
      <c r="U34" s="32">
        <v>0.03</v>
      </c>
      <c r="V34" s="62">
        <f>T34*U34</f>
        <v>467.20799999999997</v>
      </c>
    </row>
    <row r="35" spans="2:22" x14ac:dyDescent="0.25">
      <c r="B35" s="7"/>
      <c r="C35" s="53"/>
      <c r="D35" s="53"/>
      <c r="E35" s="53"/>
      <c r="F35" s="53"/>
      <c r="H35" s="54"/>
      <c r="I35" s="54"/>
      <c r="J35" s="54"/>
      <c r="K35" s="54"/>
      <c r="L35" s="54"/>
      <c r="M35" s="1" t="s">
        <v>268</v>
      </c>
      <c r="Q35" s="72">
        <f>Q25</f>
        <v>839854.614175</v>
      </c>
      <c r="R35" s="54"/>
    </row>
    <row r="36" spans="2:22" x14ac:dyDescent="0.25">
      <c r="B36" s="7"/>
      <c r="C36" s="53"/>
      <c r="D36" s="53"/>
      <c r="E36" s="53"/>
      <c r="F36" s="53"/>
      <c r="H36" s="54"/>
      <c r="I36" s="54"/>
      <c r="J36" s="54"/>
      <c r="K36" s="54"/>
      <c r="L36" s="54"/>
      <c r="M36" s="1" t="s">
        <v>279</v>
      </c>
      <c r="Q36" s="267">
        <v>0.13669999999999999</v>
      </c>
      <c r="R36" s="54"/>
      <c r="V36" s="270"/>
    </row>
    <row r="37" spans="2:22" x14ac:dyDescent="0.25">
      <c r="B37" s="251" t="s">
        <v>348</v>
      </c>
      <c r="F37" s="53"/>
      <c r="H37" s="54"/>
      <c r="I37" s="54"/>
      <c r="J37" s="54"/>
      <c r="K37" s="54"/>
      <c r="L37" s="54"/>
      <c r="M37" s="1" t="s">
        <v>280</v>
      </c>
      <c r="Q37" s="54">
        <f>+Q35*Q36</f>
        <v>114808.12575772249</v>
      </c>
    </row>
    <row r="38" spans="2:22" ht="17.25" x14ac:dyDescent="0.4">
      <c r="F38" s="265"/>
      <c r="H38" s="54"/>
      <c r="I38" s="54"/>
      <c r="J38" s="54"/>
      <c r="K38" s="54"/>
      <c r="L38" s="54"/>
      <c r="M38" s="1" t="s">
        <v>281</v>
      </c>
      <c r="Q38" s="79">
        <f>-I27</f>
        <v>-102389</v>
      </c>
    </row>
    <row r="39" spans="2:22" ht="18" thickBot="1" x14ac:dyDescent="0.45">
      <c r="B39" s="19"/>
      <c r="C39" s="104" t="s">
        <v>349</v>
      </c>
      <c r="D39" s="104" t="s">
        <v>350</v>
      </c>
      <c r="E39" s="104" t="s">
        <v>16</v>
      </c>
      <c r="F39" s="19"/>
      <c r="I39" s="54"/>
      <c r="J39" s="54"/>
      <c r="K39" s="54"/>
      <c r="L39" s="54"/>
      <c r="M39" s="263" t="s">
        <v>282</v>
      </c>
      <c r="N39" s="263"/>
      <c r="O39" s="263"/>
      <c r="P39" s="263"/>
      <c r="Q39" s="264">
        <f>+Q37+Q38</f>
        <v>12419.12575772249</v>
      </c>
    </row>
    <row r="40" spans="2:22" ht="15.75" thickTop="1" x14ac:dyDescent="0.25">
      <c r="B40" s="19" t="s">
        <v>352</v>
      </c>
      <c r="C40" s="299">
        <v>725752.4</v>
      </c>
      <c r="D40" s="157">
        <v>2.77</v>
      </c>
      <c r="E40" s="19">
        <f>D40*C40</f>
        <v>2010334.148</v>
      </c>
      <c r="F40" s="19"/>
      <c r="O40" s="54"/>
      <c r="P40" s="54"/>
      <c r="Q40" s="54"/>
    </row>
    <row r="41" spans="2:22" x14ac:dyDescent="0.25">
      <c r="B41" s="19" t="s">
        <v>351</v>
      </c>
      <c r="C41" s="299">
        <v>6450.9</v>
      </c>
      <c r="D41" s="157">
        <v>3.48</v>
      </c>
      <c r="E41" s="19">
        <f t="shared" ref="E41:E42" si="6">D41*C41</f>
        <v>22449.131999999998</v>
      </c>
      <c r="F41" s="19"/>
      <c r="O41" s="54"/>
      <c r="P41" s="54"/>
      <c r="Q41" s="54"/>
    </row>
    <row r="42" spans="2:22" ht="17.25" x14ac:dyDescent="0.4">
      <c r="B42" s="19" t="s">
        <v>353</v>
      </c>
      <c r="C42" s="301">
        <v>410543</v>
      </c>
      <c r="D42" s="157">
        <v>3.16</v>
      </c>
      <c r="E42" s="86">
        <f t="shared" si="6"/>
        <v>1297315.8800000001</v>
      </c>
      <c r="F42" s="19"/>
    </row>
    <row r="43" spans="2:22" x14ac:dyDescent="0.25">
      <c r="B43" s="19"/>
      <c r="C43" s="19">
        <f>SUM(C40:C42)</f>
        <v>1142746.3</v>
      </c>
      <c r="D43" s="19"/>
      <c r="E43" s="19">
        <f>SUM(E40:E42)</f>
        <v>3330099.16</v>
      </c>
      <c r="F43" s="19"/>
    </row>
    <row r="44" spans="2:22" ht="17.25" x14ac:dyDescent="0.4">
      <c r="B44" s="19"/>
      <c r="C44" s="19"/>
      <c r="D44" s="157"/>
      <c r="E44" s="86">
        <f>-SAO!F24</f>
        <v>-3149551</v>
      </c>
      <c r="F44" s="19"/>
    </row>
    <row r="45" spans="2:22" x14ac:dyDescent="0.25">
      <c r="B45" s="19"/>
      <c r="C45" s="19"/>
      <c r="D45" s="300" t="s">
        <v>355</v>
      </c>
      <c r="E45" s="19">
        <f>E43+E44</f>
        <v>180548.16000000015</v>
      </c>
      <c r="F45" s="19"/>
    </row>
    <row r="46" spans="2:22" x14ac:dyDescent="0.25">
      <c r="B46" s="19"/>
      <c r="C46" s="19"/>
      <c r="D46" s="19"/>
      <c r="E46" s="19"/>
      <c r="F46" s="19"/>
    </row>
  </sheetData>
  <mergeCells count="1">
    <mergeCell ref="S13:T1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F027-46EF-40BC-81BE-0FF80083A380}">
  <dimension ref="B3:J15"/>
  <sheetViews>
    <sheetView workbookViewId="0"/>
    <sheetView workbookViewId="1"/>
  </sheetViews>
  <sheetFormatPr defaultColWidth="8.88671875" defaultRowHeight="15" x14ac:dyDescent="0.25"/>
  <cols>
    <col min="1" max="1" width="2.77734375" style="19" customWidth="1"/>
    <col min="2" max="2" width="1.77734375" style="19" customWidth="1"/>
    <col min="3" max="3" width="9.6640625" style="19" customWidth="1"/>
    <col min="4" max="4" width="10.21875" style="19" bestFit="1" customWidth="1"/>
    <col min="5" max="5" width="9.77734375" style="19" bestFit="1" customWidth="1"/>
    <col min="6" max="8" width="8.88671875" style="19"/>
    <col min="9" max="9" width="10.21875" style="19" customWidth="1"/>
    <col min="10" max="10" width="10.109375" style="19" customWidth="1"/>
    <col min="11" max="16384" width="8.88671875" style="19"/>
  </cols>
  <sheetData>
    <row r="3" spans="2:10" x14ac:dyDescent="0.25">
      <c r="B3" s="352" t="s">
        <v>374</v>
      </c>
    </row>
    <row r="4" spans="2:10" x14ac:dyDescent="0.25">
      <c r="C4" s="19" t="s">
        <v>375</v>
      </c>
      <c r="D4" s="19">
        <v>4954000</v>
      </c>
    </row>
    <row r="5" spans="2:10" x14ac:dyDescent="0.25">
      <c r="C5" s="19" t="s">
        <v>375</v>
      </c>
      <c r="D5" s="19">
        <v>4744000</v>
      </c>
      <c r="I5" s="435" t="s">
        <v>484</v>
      </c>
      <c r="J5" s="19">
        <v>0</v>
      </c>
    </row>
    <row r="6" spans="2:10" x14ac:dyDescent="0.25">
      <c r="C6" s="19" t="s">
        <v>376</v>
      </c>
      <c r="D6" s="19">
        <v>87643000</v>
      </c>
      <c r="I6" s="61" t="s">
        <v>485</v>
      </c>
      <c r="J6" s="19">
        <f>D8</f>
        <v>97341000</v>
      </c>
    </row>
    <row r="7" spans="2:10" ht="17.25" x14ac:dyDescent="0.4">
      <c r="C7" s="19" t="s">
        <v>351</v>
      </c>
      <c r="D7" s="86">
        <v>0</v>
      </c>
    </row>
    <row r="8" spans="2:10" x14ac:dyDescent="0.25">
      <c r="D8" s="19">
        <f>SUM(D4:D7)</f>
        <v>97341000</v>
      </c>
    </row>
    <row r="9" spans="2:10" x14ac:dyDescent="0.25">
      <c r="B9" s="353" t="s">
        <v>310</v>
      </c>
    </row>
    <row r="10" spans="2:10" x14ac:dyDescent="0.25">
      <c r="C10" s="19" t="s">
        <v>377</v>
      </c>
      <c r="D10" s="19">
        <v>98000</v>
      </c>
    </row>
    <row r="11" spans="2:10" x14ac:dyDescent="0.25">
      <c r="C11" s="19" t="s">
        <v>377</v>
      </c>
      <c r="D11" s="19">
        <v>5293000</v>
      </c>
      <c r="I11" s="435" t="s">
        <v>484</v>
      </c>
      <c r="J11" s="19">
        <f>4000+17000+13000+3000+52000</f>
        <v>89000</v>
      </c>
    </row>
    <row r="12" spans="2:10" x14ac:dyDescent="0.25">
      <c r="C12" s="19" t="s">
        <v>377</v>
      </c>
      <c r="D12" s="19">
        <v>52000</v>
      </c>
      <c r="I12" s="61" t="s">
        <v>485</v>
      </c>
      <c r="J12" s="19">
        <f>D14-J11</f>
        <v>8989000</v>
      </c>
    </row>
    <row r="13" spans="2:10" ht="17.25" x14ac:dyDescent="0.4">
      <c r="C13" s="19" t="s">
        <v>378</v>
      </c>
      <c r="D13" s="86">
        <v>3635000</v>
      </c>
    </row>
    <row r="14" spans="2:10" x14ac:dyDescent="0.25">
      <c r="D14" s="19">
        <f>SUM(D10:D13)</f>
        <v>9078000</v>
      </c>
    </row>
    <row r="15" spans="2:10" x14ac:dyDescent="0.25">
      <c r="E15" s="19">
        <f>D8+D14</f>
        <v>106419000</v>
      </c>
      <c r="J15" s="19">
        <f>SUM(J6:J12)</f>
        <v>106419000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56"/>
  <sheetViews>
    <sheetView workbookViewId="0"/>
    <sheetView workbookViewId="1"/>
  </sheetViews>
  <sheetFormatPr defaultRowHeight="15" x14ac:dyDescent="0.2"/>
  <cols>
    <col min="2" max="2" width="4.109375" customWidth="1"/>
    <col min="3" max="3" width="21.33203125" customWidth="1"/>
    <col min="4" max="4" width="9.21875" customWidth="1"/>
    <col min="5" max="5" width="9.5546875" customWidth="1"/>
    <col min="6" max="6" width="5.77734375" customWidth="1"/>
    <col min="7" max="7" width="9.77734375" customWidth="1"/>
    <col min="8" max="8" width="5.77734375" customWidth="1"/>
    <col min="9" max="9" width="9.77734375" customWidth="1"/>
    <col min="10" max="10" width="10.6640625" customWidth="1"/>
    <col min="11" max="11" width="1.5546875" customWidth="1"/>
  </cols>
  <sheetData>
    <row r="2" spans="2:11" x14ac:dyDescent="0.2">
      <c r="B2" s="9"/>
      <c r="C2" s="10"/>
      <c r="D2" s="10"/>
      <c r="E2" s="10"/>
      <c r="F2" s="10"/>
      <c r="G2" s="10"/>
      <c r="H2" s="10"/>
      <c r="I2" s="10"/>
      <c r="J2" s="10"/>
      <c r="K2" s="11"/>
    </row>
    <row r="3" spans="2:11" ht="18.75" x14ac:dyDescent="0.3">
      <c r="B3" s="466" t="s">
        <v>114</v>
      </c>
      <c r="C3" s="467"/>
      <c r="D3" s="467"/>
      <c r="E3" s="467"/>
      <c r="F3" s="467"/>
      <c r="G3" s="467"/>
      <c r="H3" s="467"/>
      <c r="I3" s="467"/>
      <c r="J3" s="467"/>
      <c r="K3" s="468"/>
    </row>
    <row r="4" spans="2:11" ht="18.75" x14ac:dyDescent="0.3">
      <c r="B4" s="469" t="s">
        <v>146</v>
      </c>
      <c r="C4" s="470"/>
      <c r="D4" s="470"/>
      <c r="E4" s="470"/>
      <c r="F4" s="470"/>
      <c r="G4" s="470"/>
      <c r="H4" s="470"/>
      <c r="I4" s="470"/>
      <c r="J4" s="470"/>
      <c r="K4" s="471"/>
    </row>
    <row r="5" spans="2:11" ht="18.75" x14ac:dyDescent="0.3">
      <c r="B5" s="444"/>
      <c r="C5" s="476" t="s">
        <v>242</v>
      </c>
      <c r="D5" s="476"/>
      <c r="E5" s="476"/>
      <c r="F5" s="476"/>
      <c r="G5" s="476"/>
      <c r="H5" s="476"/>
      <c r="I5" s="476"/>
      <c r="J5" s="476"/>
      <c r="K5" s="445"/>
    </row>
    <row r="6" spans="2:11" ht="18.75" x14ac:dyDescent="0.3">
      <c r="B6" s="346"/>
      <c r="C6" s="347"/>
      <c r="D6" s="347"/>
      <c r="E6" s="347"/>
      <c r="F6" s="347"/>
      <c r="G6" s="347"/>
      <c r="H6" s="347"/>
      <c r="I6" s="347"/>
      <c r="J6" s="347"/>
      <c r="K6" s="348"/>
    </row>
    <row r="7" spans="2:11" ht="8.1" customHeight="1" x14ac:dyDescent="0.3">
      <c r="B7" s="237"/>
      <c r="C7" s="238"/>
      <c r="D7" s="238"/>
      <c r="E7" s="238"/>
      <c r="F7" s="238"/>
      <c r="G7" s="238"/>
      <c r="H7" s="238"/>
      <c r="I7" s="238"/>
      <c r="J7" s="238"/>
      <c r="K7" s="239"/>
    </row>
    <row r="8" spans="2:11" ht="18" x14ac:dyDescent="0.4">
      <c r="B8" s="70"/>
      <c r="C8" s="83"/>
      <c r="D8" s="83"/>
      <c r="E8" s="83"/>
      <c r="F8" s="304"/>
      <c r="G8" s="241"/>
      <c r="H8" s="304"/>
      <c r="I8" s="278"/>
      <c r="J8" s="87" t="s">
        <v>147</v>
      </c>
      <c r="K8" s="12"/>
    </row>
    <row r="9" spans="2:11" ht="18" x14ac:dyDescent="0.4">
      <c r="B9" s="472" t="s">
        <v>148</v>
      </c>
      <c r="C9" s="473"/>
      <c r="D9" s="87" t="s">
        <v>149</v>
      </c>
      <c r="E9" s="87" t="s">
        <v>150</v>
      </c>
      <c r="F9" s="473" t="s">
        <v>168</v>
      </c>
      <c r="G9" s="473"/>
      <c r="H9" s="305" t="s">
        <v>123</v>
      </c>
      <c r="I9" s="306"/>
      <c r="J9" s="87" t="s">
        <v>151</v>
      </c>
      <c r="K9" s="12"/>
    </row>
    <row r="10" spans="2:11" ht="18" x14ac:dyDescent="0.4">
      <c r="B10" s="288" t="s">
        <v>152</v>
      </c>
      <c r="C10" s="289" t="s">
        <v>153</v>
      </c>
      <c r="D10" s="289" t="s">
        <v>154</v>
      </c>
      <c r="E10" s="289" t="s">
        <v>395</v>
      </c>
      <c r="F10" s="307" t="s">
        <v>155</v>
      </c>
      <c r="G10" s="289" t="s">
        <v>156</v>
      </c>
      <c r="H10" s="307" t="s">
        <v>155</v>
      </c>
      <c r="I10" s="289" t="s">
        <v>156</v>
      </c>
      <c r="J10" s="289" t="s">
        <v>143</v>
      </c>
      <c r="K10" s="12"/>
    </row>
    <row r="11" spans="2:11" ht="15.75" x14ac:dyDescent="0.25">
      <c r="B11" s="89"/>
      <c r="C11" s="236"/>
      <c r="D11" s="236"/>
      <c r="E11" s="236"/>
      <c r="F11" s="90"/>
      <c r="G11" s="236"/>
      <c r="H11" s="90"/>
      <c r="I11" s="236"/>
      <c r="J11" s="236"/>
      <c r="K11" s="12"/>
    </row>
    <row r="12" spans="2:11" ht="15.75" x14ac:dyDescent="0.25">
      <c r="B12" s="474" t="s">
        <v>317</v>
      </c>
      <c r="C12" s="475"/>
      <c r="D12" s="274"/>
      <c r="E12" s="273"/>
      <c r="F12" s="275"/>
      <c r="G12" s="273"/>
      <c r="H12" s="275"/>
      <c r="I12" s="273"/>
      <c r="J12" s="273"/>
      <c r="K12" s="12"/>
    </row>
    <row r="13" spans="2:11" x14ac:dyDescent="0.2">
      <c r="B13" s="276"/>
      <c r="C13" s="273" t="s">
        <v>318</v>
      </c>
      <c r="D13" s="274" t="s">
        <v>194</v>
      </c>
      <c r="E13" s="273">
        <f>1483930-E14-E15</f>
        <v>1331433.78</v>
      </c>
      <c r="F13" s="275" t="s">
        <v>195</v>
      </c>
      <c r="G13" s="273">
        <f>50983-G14-G15</f>
        <v>37837.61</v>
      </c>
      <c r="H13" s="275">
        <v>37.5</v>
      </c>
      <c r="I13" s="273">
        <f>E13/H13</f>
        <v>35504.900800000003</v>
      </c>
      <c r="J13" s="273">
        <f>I13-G13</f>
        <v>-2332.7091999999975</v>
      </c>
      <c r="K13" s="12"/>
    </row>
    <row r="14" spans="2:11" x14ac:dyDescent="0.2">
      <c r="B14" s="276"/>
      <c r="C14" s="273" t="s">
        <v>319</v>
      </c>
      <c r="D14" s="274" t="s">
        <v>194</v>
      </c>
      <c r="E14" s="273">
        <f>10500+8658+35894+27850+27172+2000+1000</f>
        <v>113074</v>
      </c>
      <c r="F14" s="275">
        <v>10</v>
      </c>
      <c r="G14" s="273">
        <v>11082.39</v>
      </c>
      <c r="H14" s="275">
        <v>20</v>
      </c>
      <c r="I14" s="273">
        <f t="shared" ref="I14:I41" si="0">E14/H14</f>
        <v>5653.7</v>
      </c>
      <c r="J14" s="273">
        <f t="shared" ref="J14:J41" si="1">I14-G14</f>
        <v>-5428.69</v>
      </c>
      <c r="K14" s="12"/>
    </row>
    <row r="15" spans="2:11" x14ac:dyDescent="0.2">
      <c r="B15" s="276"/>
      <c r="C15" s="273" t="s">
        <v>320</v>
      </c>
      <c r="D15" s="274" t="s">
        <v>194</v>
      </c>
      <c r="E15" s="273">
        <f>14923+17125+7374.22</f>
        <v>39422.22</v>
      </c>
      <c r="F15" s="275">
        <v>10</v>
      </c>
      <c r="G15" s="273">
        <f>1492+571</f>
        <v>2063</v>
      </c>
      <c r="H15" s="275">
        <v>10</v>
      </c>
      <c r="I15" s="273">
        <f>G15</f>
        <v>2063</v>
      </c>
      <c r="J15" s="273">
        <f t="shared" si="1"/>
        <v>0</v>
      </c>
      <c r="K15" s="12"/>
    </row>
    <row r="16" spans="2:11" x14ac:dyDescent="0.2">
      <c r="B16" s="276"/>
      <c r="C16" s="273"/>
      <c r="D16" s="274"/>
      <c r="E16" s="273"/>
      <c r="F16" s="275"/>
      <c r="G16" s="273"/>
      <c r="H16" s="275"/>
      <c r="I16" s="273"/>
      <c r="J16" s="273"/>
      <c r="K16" s="12"/>
    </row>
    <row r="17" spans="2:11" ht="15.75" x14ac:dyDescent="0.25">
      <c r="B17" s="474" t="s">
        <v>321</v>
      </c>
      <c r="C17" s="475"/>
      <c r="D17" s="274"/>
      <c r="E17" s="273"/>
      <c r="F17" s="275"/>
      <c r="G17" s="273"/>
      <c r="H17" s="275"/>
      <c r="I17" s="273"/>
      <c r="J17" s="273"/>
      <c r="K17" s="12"/>
    </row>
    <row r="18" spans="2:11" x14ac:dyDescent="0.2">
      <c r="B18" s="276"/>
      <c r="C18" s="273" t="s">
        <v>322</v>
      </c>
      <c r="D18" s="274" t="s">
        <v>194</v>
      </c>
      <c r="E18" s="273">
        <f>4130469-E19-E20</f>
        <v>3921792</v>
      </c>
      <c r="F18" s="275" t="s">
        <v>195</v>
      </c>
      <c r="G18" s="273">
        <f>114646-G19-G20</f>
        <v>95623</v>
      </c>
      <c r="H18" s="275">
        <v>45</v>
      </c>
      <c r="I18" s="273">
        <f t="shared" ref="I18:I20" si="2">E18/H18</f>
        <v>87150.933333333334</v>
      </c>
      <c r="J18" s="273">
        <f t="shared" ref="J18:J19" si="3">I18-G18</f>
        <v>-8472.0666666666657</v>
      </c>
      <c r="K18" s="12"/>
    </row>
    <row r="19" spans="2:11" x14ac:dyDescent="0.2">
      <c r="B19" s="276"/>
      <c r="C19" s="273" t="s">
        <v>356</v>
      </c>
      <c r="D19" s="303" t="s">
        <v>358</v>
      </c>
      <c r="E19" s="273">
        <f>68350+84976</f>
        <v>153326</v>
      </c>
      <c r="F19" s="275">
        <v>10</v>
      </c>
      <c r="G19" s="273">
        <f>6835+8498</f>
        <v>15333</v>
      </c>
      <c r="H19" s="275">
        <v>15</v>
      </c>
      <c r="I19" s="273">
        <f t="shared" si="2"/>
        <v>10221.733333333334</v>
      </c>
      <c r="J19" s="273">
        <f t="shared" si="3"/>
        <v>-5111.2666666666664</v>
      </c>
      <c r="K19" s="12"/>
    </row>
    <row r="20" spans="2:11" x14ac:dyDescent="0.2">
      <c r="B20" s="276"/>
      <c r="C20" s="273" t="s">
        <v>357</v>
      </c>
      <c r="D20" s="303" t="s">
        <v>359</v>
      </c>
      <c r="E20" s="273">
        <f>27370+27981</f>
        <v>55351</v>
      </c>
      <c r="F20" s="275">
        <v>10</v>
      </c>
      <c r="G20" s="273">
        <f>1825+1865</f>
        <v>3690</v>
      </c>
      <c r="H20" s="275">
        <v>15</v>
      </c>
      <c r="I20" s="273">
        <f t="shared" si="2"/>
        <v>3690.0666666666666</v>
      </c>
      <c r="J20" s="273">
        <v>0</v>
      </c>
      <c r="K20" s="12"/>
    </row>
    <row r="21" spans="2:11" x14ac:dyDescent="0.2">
      <c r="B21" s="276"/>
      <c r="C21" s="273"/>
      <c r="D21" s="274"/>
      <c r="E21" s="273"/>
      <c r="F21" s="275"/>
      <c r="G21" s="273"/>
      <c r="H21" s="275"/>
      <c r="I21" s="273"/>
      <c r="J21" s="273"/>
      <c r="K21" s="12"/>
    </row>
    <row r="22" spans="2:11" ht="15.75" x14ac:dyDescent="0.25">
      <c r="B22" s="474" t="s">
        <v>323</v>
      </c>
      <c r="C22" s="475"/>
      <c r="D22" s="274"/>
      <c r="E22" s="273"/>
      <c r="F22" s="275"/>
      <c r="G22" s="273"/>
      <c r="H22" s="275"/>
      <c r="I22" s="273"/>
      <c r="J22" s="273"/>
      <c r="K22" s="12"/>
    </row>
    <row r="23" spans="2:11" x14ac:dyDescent="0.2">
      <c r="B23" s="276"/>
      <c r="C23" s="273" t="s">
        <v>324</v>
      </c>
      <c r="D23" s="274" t="s">
        <v>194</v>
      </c>
      <c r="E23" s="273">
        <v>11534829</v>
      </c>
      <c r="F23" s="275" t="s">
        <v>195</v>
      </c>
      <c r="G23" s="273">
        <v>243572</v>
      </c>
      <c r="H23" s="275">
        <v>62.5</v>
      </c>
      <c r="I23" s="273">
        <f t="shared" ref="I23" si="4">E23/H23</f>
        <v>184557.264</v>
      </c>
      <c r="J23" s="273">
        <f t="shared" ref="J23" si="5">I23-G23</f>
        <v>-59014.736000000004</v>
      </c>
      <c r="K23" s="12"/>
    </row>
    <row r="24" spans="2:11" x14ac:dyDescent="0.2">
      <c r="B24" s="276"/>
      <c r="C24" s="273"/>
      <c r="D24" s="274"/>
      <c r="E24" s="273"/>
      <c r="F24" s="275"/>
      <c r="G24" s="273"/>
      <c r="H24" s="275"/>
      <c r="I24" s="273"/>
      <c r="J24" s="273"/>
      <c r="K24" s="12"/>
    </row>
    <row r="25" spans="2:11" ht="15.75" x14ac:dyDescent="0.25">
      <c r="B25" s="474" t="s">
        <v>325</v>
      </c>
      <c r="C25" s="475"/>
      <c r="D25" s="274"/>
      <c r="E25" s="273"/>
      <c r="F25" s="275"/>
      <c r="G25" s="273"/>
      <c r="H25" s="275"/>
      <c r="I25" s="273"/>
      <c r="J25" s="273"/>
      <c r="K25" s="12"/>
    </row>
    <row r="26" spans="2:11" x14ac:dyDescent="0.2">
      <c r="B26" s="276"/>
      <c r="C26" s="273" t="s">
        <v>361</v>
      </c>
      <c r="D26" s="274" t="s">
        <v>194</v>
      </c>
      <c r="E26" s="273">
        <v>4838095.59</v>
      </c>
      <c r="F26" s="275" t="s">
        <v>195</v>
      </c>
      <c r="G26" s="273">
        <v>132933.48000000001</v>
      </c>
      <c r="H26" s="275">
        <v>40</v>
      </c>
      <c r="I26" s="273">
        <f t="shared" ref="I26" si="6">E26/H26</f>
        <v>120952.38975</v>
      </c>
      <c r="J26" s="273">
        <f t="shared" ref="J26" si="7">I26-G26</f>
        <v>-11981.090250000008</v>
      </c>
      <c r="K26" s="12"/>
    </row>
    <row r="27" spans="2:11" x14ac:dyDescent="0.2">
      <c r="B27" s="276"/>
      <c r="C27" s="273" t="s">
        <v>360</v>
      </c>
      <c r="D27" s="274" t="s">
        <v>194</v>
      </c>
      <c r="E27" s="273">
        <v>884474.66999999993</v>
      </c>
      <c r="F27" s="275">
        <v>20</v>
      </c>
      <c r="G27" s="273">
        <v>38276.710000000079</v>
      </c>
      <c r="H27" s="275">
        <v>20</v>
      </c>
      <c r="I27" s="273">
        <f t="shared" ref="I27" si="8">E27/H27</f>
        <v>44223.733499999995</v>
      </c>
      <c r="J27" s="273">
        <f t="shared" ref="J27" si="9">I27-G27</f>
        <v>5947.0234999999157</v>
      </c>
      <c r="K27" s="12"/>
    </row>
    <row r="28" spans="2:11" x14ac:dyDescent="0.2">
      <c r="B28" s="276"/>
      <c r="C28" s="273"/>
      <c r="D28" s="274"/>
      <c r="E28" s="273"/>
      <c r="F28" s="275"/>
      <c r="G28" s="273"/>
      <c r="H28" s="275"/>
      <c r="I28" s="273"/>
      <c r="J28" s="273"/>
      <c r="K28" s="12"/>
    </row>
    <row r="29" spans="2:11" ht="15.75" x14ac:dyDescent="0.25">
      <c r="B29" s="474" t="s">
        <v>326</v>
      </c>
      <c r="C29" s="475"/>
      <c r="D29" s="274"/>
      <c r="E29" s="273"/>
      <c r="F29" s="275"/>
      <c r="G29" s="273"/>
      <c r="H29" s="275"/>
      <c r="I29" s="273"/>
      <c r="J29" s="273"/>
      <c r="K29" s="12"/>
    </row>
    <row r="30" spans="2:11" x14ac:dyDescent="0.2">
      <c r="B30" s="276"/>
      <c r="C30" s="273" t="s">
        <v>198</v>
      </c>
      <c r="D30" s="274" t="s">
        <v>194</v>
      </c>
      <c r="E30" s="273">
        <v>1029700</v>
      </c>
      <c r="F30" s="275">
        <v>40</v>
      </c>
      <c r="G30" s="273">
        <v>24951</v>
      </c>
      <c r="H30" s="275">
        <v>50</v>
      </c>
      <c r="I30" s="273">
        <f t="shared" si="0"/>
        <v>20594</v>
      </c>
      <c r="J30" s="273">
        <f t="shared" si="1"/>
        <v>-4357</v>
      </c>
      <c r="K30" s="12"/>
    </row>
    <row r="31" spans="2:11" x14ac:dyDescent="0.2">
      <c r="B31" s="276"/>
      <c r="C31" s="273"/>
      <c r="D31" s="274"/>
      <c r="E31" s="273"/>
      <c r="F31" s="275"/>
      <c r="G31" s="273"/>
      <c r="H31" s="275"/>
      <c r="I31" s="273"/>
      <c r="J31" s="273"/>
      <c r="K31" s="12"/>
    </row>
    <row r="32" spans="2:11" ht="15.75" x14ac:dyDescent="0.25">
      <c r="B32" s="474" t="s">
        <v>327</v>
      </c>
      <c r="C32" s="475"/>
      <c r="D32" s="274"/>
      <c r="E32" s="273"/>
      <c r="F32" s="275"/>
      <c r="G32" s="273"/>
      <c r="H32" s="275"/>
      <c r="I32" s="273"/>
      <c r="J32" s="273"/>
      <c r="K32" s="12"/>
    </row>
    <row r="33" spans="2:11" x14ac:dyDescent="0.2">
      <c r="B33" s="276"/>
      <c r="C33" s="273" t="s">
        <v>197</v>
      </c>
      <c r="D33" s="274" t="s">
        <v>194</v>
      </c>
      <c r="E33" s="273">
        <v>71432.139999999985</v>
      </c>
      <c r="F33" s="275" t="s">
        <v>195</v>
      </c>
      <c r="G33" s="273">
        <v>4652.0199999999995</v>
      </c>
      <c r="H33" s="275">
        <v>37.5</v>
      </c>
      <c r="I33" s="273">
        <f t="shared" ref="I33:I34" si="10">E33/H33</f>
        <v>1904.8570666666662</v>
      </c>
      <c r="J33" s="273">
        <f t="shared" ref="J33:J34" si="11">I33-G33</f>
        <v>-2747.1629333333331</v>
      </c>
      <c r="K33" s="12"/>
    </row>
    <row r="34" spans="2:11" x14ac:dyDescent="0.2">
      <c r="B34" s="276"/>
      <c r="C34" s="273" t="s">
        <v>328</v>
      </c>
      <c r="D34" s="274" t="s">
        <v>194</v>
      </c>
      <c r="E34" s="273">
        <v>11690</v>
      </c>
      <c r="F34" s="275" t="s">
        <v>195</v>
      </c>
      <c r="G34" s="273">
        <v>1169</v>
      </c>
      <c r="H34" s="275">
        <v>22.5</v>
      </c>
      <c r="I34" s="273">
        <f t="shared" si="10"/>
        <v>519.55555555555554</v>
      </c>
      <c r="J34" s="273">
        <f t="shared" si="11"/>
        <v>-649.44444444444446</v>
      </c>
      <c r="K34" s="12"/>
    </row>
    <row r="35" spans="2:11" x14ac:dyDescent="0.2">
      <c r="B35" s="276"/>
      <c r="C35" s="273"/>
      <c r="D35" s="274"/>
      <c r="E35" s="273"/>
      <c r="F35" s="275"/>
      <c r="G35" s="273"/>
      <c r="H35" s="275"/>
      <c r="I35" s="273"/>
      <c r="J35" s="273"/>
      <c r="K35" s="12"/>
    </row>
    <row r="36" spans="2:11" ht="15.75" x14ac:dyDescent="0.25">
      <c r="B36" s="474" t="s">
        <v>329</v>
      </c>
      <c r="C36" s="475"/>
      <c r="D36" s="274"/>
      <c r="E36" s="273"/>
      <c r="F36" s="275"/>
      <c r="G36" s="273"/>
      <c r="H36" s="275"/>
      <c r="I36" s="273"/>
      <c r="J36" s="273"/>
      <c r="K36" s="12"/>
    </row>
    <row r="37" spans="2:11" ht="15.75" x14ac:dyDescent="0.25">
      <c r="B37" s="287"/>
      <c r="C37" s="273" t="s">
        <v>331</v>
      </c>
      <c r="D37" s="274" t="s">
        <v>194</v>
      </c>
      <c r="E37" s="273">
        <v>59583.31</v>
      </c>
      <c r="F37" s="275" t="s">
        <v>195</v>
      </c>
      <c r="G37" s="273">
        <v>6726.29</v>
      </c>
      <c r="H37" s="275">
        <v>10</v>
      </c>
      <c r="I37" s="273">
        <f>E37/H37</f>
        <v>5958.3310000000001</v>
      </c>
      <c r="J37" s="273">
        <f>I37-G37</f>
        <v>-767.95899999999983</v>
      </c>
      <c r="K37" s="12"/>
    </row>
    <row r="38" spans="2:11" ht="15.75" x14ac:dyDescent="0.25">
      <c r="B38" s="277"/>
      <c r="C38" s="273" t="s">
        <v>330</v>
      </c>
      <c r="D38" s="274" t="s">
        <v>194</v>
      </c>
      <c r="E38" s="273">
        <v>2374.8000000000002</v>
      </c>
      <c r="F38" s="275" t="s">
        <v>195</v>
      </c>
      <c r="G38" s="273">
        <v>448.9</v>
      </c>
      <c r="H38" s="275">
        <v>22.5</v>
      </c>
      <c r="I38" s="273">
        <f t="shared" ref="I38" si="12">E38/H38</f>
        <v>105.54666666666668</v>
      </c>
      <c r="J38" s="273">
        <f t="shared" ref="J38" si="13">I38-G38</f>
        <v>-343.3533333333333</v>
      </c>
      <c r="K38" s="12"/>
    </row>
    <row r="39" spans="2:11" x14ac:dyDescent="0.2">
      <c r="B39" s="276"/>
      <c r="C39" s="273"/>
      <c r="D39" s="274"/>
      <c r="E39" s="273"/>
      <c r="F39" s="275"/>
      <c r="G39" s="273"/>
      <c r="H39" s="275"/>
      <c r="I39" s="273"/>
      <c r="J39" s="273"/>
      <c r="K39" s="12"/>
    </row>
    <row r="40" spans="2:11" ht="15.75" x14ac:dyDescent="0.25">
      <c r="B40" s="474" t="s">
        <v>332</v>
      </c>
      <c r="C40" s="475"/>
      <c r="D40" s="274"/>
      <c r="E40" s="273"/>
      <c r="F40" s="275"/>
      <c r="G40" s="273"/>
      <c r="H40" s="275"/>
      <c r="I40" s="273"/>
      <c r="J40" s="273"/>
      <c r="K40" s="12"/>
    </row>
    <row r="41" spans="2:11" x14ac:dyDescent="0.2">
      <c r="B41" s="276"/>
      <c r="C41" s="273" t="s">
        <v>333</v>
      </c>
      <c r="D41" s="274" t="s">
        <v>194</v>
      </c>
      <c r="E41" s="273">
        <v>182019.9</v>
      </c>
      <c r="F41" s="275">
        <v>5</v>
      </c>
      <c r="G41" s="273">
        <v>19949</v>
      </c>
      <c r="H41" s="275">
        <v>7</v>
      </c>
      <c r="I41" s="273">
        <f t="shared" si="0"/>
        <v>26002.842857142856</v>
      </c>
      <c r="J41" s="273">
        <f t="shared" si="1"/>
        <v>6053.8428571428558</v>
      </c>
      <c r="K41" s="12"/>
    </row>
    <row r="42" spans="2:11" x14ac:dyDescent="0.2">
      <c r="B42" s="276"/>
      <c r="C42" s="273"/>
      <c r="D42" s="274"/>
      <c r="E42" s="273"/>
      <c r="F42" s="275"/>
      <c r="G42" s="273"/>
      <c r="H42" s="275"/>
      <c r="I42" s="273"/>
      <c r="J42" s="273"/>
      <c r="K42" s="12"/>
    </row>
    <row r="43" spans="2:11" ht="15.75" x14ac:dyDescent="0.25">
      <c r="B43" s="474" t="s">
        <v>334</v>
      </c>
      <c r="C43" s="475"/>
      <c r="D43" s="274"/>
      <c r="E43" s="273"/>
      <c r="F43" s="275"/>
      <c r="G43" s="273"/>
      <c r="H43" s="275"/>
      <c r="I43" s="273"/>
      <c r="J43" s="273"/>
      <c r="K43" s="12"/>
    </row>
    <row r="44" spans="2:11" x14ac:dyDescent="0.2">
      <c r="B44" s="276"/>
      <c r="C44" s="273" t="s">
        <v>362</v>
      </c>
      <c r="D44" s="274">
        <v>39948</v>
      </c>
      <c r="E44" s="273">
        <v>12645</v>
      </c>
      <c r="F44" s="275">
        <v>20</v>
      </c>
      <c r="G44" s="273">
        <f>E44/F44</f>
        <v>632.25</v>
      </c>
      <c r="H44" s="275">
        <v>17.5</v>
      </c>
      <c r="I44" s="273">
        <f t="shared" ref="I44:I45" si="14">E44/H44</f>
        <v>722.57142857142856</v>
      </c>
      <c r="J44" s="273">
        <f t="shared" ref="J44:J45" si="15">I44-G44</f>
        <v>90.321428571428555</v>
      </c>
      <c r="K44" s="12"/>
    </row>
    <row r="45" spans="2:11" x14ac:dyDescent="0.2">
      <c r="B45" s="276"/>
      <c r="C45" s="273" t="s">
        <v>335</v>
      </c>
      <c r="D45" s="274" t="s">
        <v>194</v>
      </c>
      <c r="E45" s="273">
        <v>14971</v>
      </c>
      <c r="F45" s="275">
        <v>7</v>
      </c>
      <c r="G45" s="273">
        <v>2139</v>
      </c>
      <c r="H45" s="275">
        <v>10</v>
      </c>
      <c r="I45" s="273">
        <f t="shared" si="14"/>
        <v>1497.1</v>
      </c>
      <c r="J45" s="273">
        <f t="shared" si="15"/>
        <v>-641.90000000000009</v>
      </c>
      <c r="K45" s="12"/>
    </row>
    <row r="46" spans="2:11" x14ac:dyDescent="0.2">
      <c r="B46" s="276"/>
      <c r="C46" s="273"/>
      <c r="D46" s="274"/>
      <c r="E46" s="273"/>
      <c r="F46" s="275"/>
      <c r="G46" s="273"/>
      <c r="H46" s="275"/>
      <c r="I46" s="273"/>
      <c r="J46" s="273"/>
      <c r="K46" s="12"/>
    </row>
    <row r="47" spans="2:11" ht="15.75" x14ac:dyDescent="0.25">
      <c r="B47" s="474" t="s">
        <v>336</v>
      </c>
      <c r="C47" s="475"/>
      <c r="D47" s="274"/>
      <c r="E47" s="273"/>
      <c r="F47" s="275"/>
      <c r="G47" s="273"/>
      <c r="H47" s="275"/>
      <c r="I47" s="273"/>
      <c r="J47" s="273"/>
      <c r="K47" s="12"/>
    </row>
    <row r="48" spans="2:11" x14ac:dyDescent="0.2">
      <c r="B48" s="276"/>
      <c r="C48" s="273" t="s">
        <v>193</v>
      </c>
      <c r="D48" s="274" t="s">
        <v>194</v>
      </c>
      <c r="E48" s="273">
        <v>69978</v>
      </c>
      <c r="F48" s="275" t="s">
        <v>195</v>
      </c>
      <c r="G48" s="273">
        <v>4606</v>
      </c>
      <c r="H48" s="275">
        <v>12.5</v>
      </c>
      <c r="I48" s="273">
        <f t="shared" ref="I48" si="16">E48/H48</f>
        <v>5598.24</v>
      </c>
      <c r="J48" s="273">
        <f t="shared" ref="J48" si="17">I48-G48</f>
        <v>992.23999999999978</v>
      </c>
      <c r="K48" s="12"/>
    </row>
    <row r="49" spans="2:11" x14ac:dyDescent="0.2">
      <c r="B49" s="276"/>
      <c r="C49" s="273"/>
      <c r="D49" s="274"/>
      <c r="E49" s="273"/>
      <c r="F49" s="275"/>
      <c r="G49" s="273"/>
      <c r="H49" s="275"/>
      <c r="I49" s="273"/>
      <c r="J49" s="273"/>
      <c r="K49" s="12"/>
    </row>
    <row r="50" spans="2:11" ht="15.75" x14ac:dyDescent="0.25">
      <c r="B50" s="474" t="s">
        <v>337</v>
      </c>
      <c r="C50" s="475"/>
      <c r="D50" s="274"/>
      <c r="E50" s="273"/>
      <c r="F50" s="275"/>
      <c r="G50" s="273"/>
      <c r="H50" s="275"/>
      <c r="I50" s="273"/>
      <c r="J50" s="273"/>
      <c r="K50" s="12"/>
    </row>
    <row r="51" spans="2:11" x14ac:dyDescent="0.2">
      <c r="B51" s="276"/>
      <c r="C51" s="273" t="s">
        <v>193</v>
      </c>
      <c r="D51" s="274" t="s">
        <v>194</v>
      </c>
      <c r="E51" s="273">
        <v>2204977</v>
      </c>
      <c r="F51" s="275">
        <v>20</v>
      </c>
      <c r="G51" s="273">
        <v>109317</v>
      </c>
      <c r="H51" s="275">
        <v>10</v>
      </c>
      <c r="I51" s="273">
        <f t="shared" ref="I51" si="18">E51/H51</f>
        <v>220497.7</v>
      </c>
      <c r="J51" s="273">
        <f t="shared" ref="J51" si="19">I51-G51</f>
        <v>111180.70000000001</v>
      </c>
      <c r="K51" s="12"/>
    </row>
    <row r="52" spans="2:11" ht="17.25" x14ac:dyDescent="0.2">
      <c r="B52" s="276"/>
      <c r="C52" s="273"/>
      <c r="D52" s="274"/>
      <c r="E52" s="273"/>
      <c r="F52" s="275"/>
      <c r="G52" s="273"/>
      <c r="H52" s="275"/>
      <c r="I52" s="273"/>
      <c r="J52" s="278"/>
      <c r="K52" s="12"/>
    </row>
    <row r="53" spans="2:11" ht="17.25" x14ac:dyDescent="0.2">
      <c r="B53" s="276"/>
      <c r="C53" s="279" t="s">
        <v>128</v>
      </c>
      <c r="D53" s="279"/>
      <c r="E53" s="273"/>
      <c r="F53" s="275"/>
      <c r="G53" s="280">
        <f>SUM(G13:G51)</f>
        <v>755001.65000000014</v>
      </c>
      <c r="H53" s="275"/>
      <c r="I53" s="280">
        <f>SUM(I13:I51)</f>
        <v>777418.4659579366</v>
      </c>
      <c r="J53" s="281">
        <f>SUM(J13:J51)</f>
        <v>22416.749291269778</v>
      </c>
      <c r="K53" s="12"/>
    </row>
    <row r="54" spans="2:11" x14ac:dyDescent="0.2">
      <c r="B54" s="282"/>
      <c r="C54" s="283"/>
      <c r="D54" s="284"/>
      <c r="E54" s="283"/>
      <c r="F54" s="285"/>
      <c r="G54" s="283"/>
      <c r="H54" s="285"/>
      <c r="I54" s="283"/>
      <c r="J54" s="283"/>
      <c r="K54" s="13"/>
    </row>
    <row r="56" spans="2:11" ht="15.75" x14ac:dyDescent="0.25">
      <c r="C56" s="7" t="s">
        <v>394</v>
      </c>
    </row>
  </sheetData>
  <mergeCells count="16">
    <mergeCell ref="B17:C17"/>
    <mergeCell ref="B22:C22"/>
    <mergeCell ref="B25:C25"/>
    <mergeCell ref="B29:C29"/>
    <mergeCell ref="B50:C50"/>
    <mergeCell ref="B32:C32"/>
    <mergeCell ref="B36:C36"/>
    <mergeCell ref="B40:C40"/>
    <mergeCell ref="B43:C43"/>
    <mergeCell ref="B47:C47"/>
    <mergeCell ref="B3:K3"/>
    <mergeCell ref="B4:K4"/>
    <mergeCell ref="B9:C9"/>
    <mergeCell ref="F9:G9"/>
    <mergeCell ref="B12:C12"/>
    <mergeCell ref="C5:J5"/>
  </mergeCells>
  <printOptions horizontalCentered="1"/>
  <pageMargins left="0.7" right="0.45" top="0.75" bottom="0.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3"/>
  <sheetViews>
    <sheetView workbookViewId="0"/>
    <sheetView workbookViewId="1"/>
  </sheetViews>
  <sheetFormatPr defaultRowHeight="15" x14ac:dyDescent="0.2"/>
  <cols>
    <col min="2" max="2" width="2.6640625" customWidth="1"/>
    <col min="3" max="5" width="9.6640625" customWidth="1"/>
    <col min="6" max="6" width="9.21875" customWidth="1"/>
    <col min="7" max="8" width="9.6640625" customWidth="1"/>
    <col min="9" max="9" width="2.77734375" customWidth="1"/>
    <col min="11" max="11" width="9.88671875" bestFit="1" customWidth="1"/>
    <col min="12" max="12" width="9" bestFit="1" customWidth="1"/>
    <col min="15" max="15" width="10" customWidth="1"/>
  </cols>
  <sheetData>
    <row r="1" spans="1:23" ht="15.75" x14ac:dyDescent="0.25">
      <c r="A1" s="1"/>
      <c r="B1" s="112"/>
      <c r="C1" s="113"/>
      <c r="D1" s="113"/>
      <c r="E1" s="113"/>
      <c r="F1" s="113"/>
      <c r="G1" s="113"/>
      <c r="H1" s="113"/>
      <c r="I1" s="114"/>
      <c r="J1" s="1"/>
      <c r="K1" s="1"/>
      <c r="L1" s="1"/>
      <c r="M1" s="1"/>
    </row>
    <row r="2" spans="1:23" ht="18.75" x14ac:dyDescent="0.3">
      <c r="A2" s="1"/>
      <c r="B2" s="115"/>
      <c r="C2" s="477" t="s">
        <v>372</v>
      </c>
      <c r="D2" s="477"/>
      <c r="E2" s="477"/>
      <c r="F2" s="477"/>
      <c r="G2" s="477"/>
      <c r="H2" s="477"/>
      <c r="I2" s="166"/>
      <c r="J2" s="1"/>
      <c r="K2" s="1"/>
      <c r="L2" s="1"/>
      <c r="M2" s="1"/>
    </row>
    <row r="3" spans="1:23" ht="18.75" x14ac:dyDescent="0.3">
      <c r="A3" s="1"/>
      <c r="B3" s="115"/>
      <c r="C3" s="3" t="s">
        <v>59</v>
      </c>
      <c r="D3" s="174"/>
      <c r="E3" s="174"/>
      <c r="F3" s="174"/>
      <c r="G3" s="174"/>
      <c r="H3" s="174"/>
      <c r="I3" s="16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x14ac:dyDescent="0.25">
      <c r="A4" s="1"/>
      <c r="B4" s="115"/>
      <c r="C4" s="476" t="s">
        <v>242</v>
      </c>
      <c r="D4" s="476"/>
      <c r="E4" s="476"/>
      <c r="F4" s="476"/>
      <c r="G4" s="476"/>
      <c r="H4" s="476"/>
      <c r="I4" s="345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x14ac:dyDescent="0.25">
      <c r="A5" s="1"/>
      <c r="B5" s="133"/>
      <c r="C5" s="349"/>
      <c r="D5" s="349"/>
      <c r="E5" s="349"/>
      <c r="F5" s="349"/>
      <c r="G5" s="349"/>
      <c r="H5" s="349"/>
      <c r="I5" s="350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"/>
      <c r="B6" s="115"/>
      <c r="C6" s="171"/>
      <c r="D6" s="171"/>
      <c r="E6" s="171"/>
      <c r="F6" s="171"/>
      <c r="G6" s="171"/>
      <c r="H6" s="171"/>
      <c r="I6" s="16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x14ac:dyDescent="0.25">
      <c r="A7" s="1"/>
      <c r="B7" s="115"/>
      <c r="C7" s="172" t="s">
        <v>60</v>
      </c>
      <c r="D7" s="172"/>
      <c r="E7" s="170"/>
      <c r="F7" s="170"/>
      <c r="G7" s="170"/>
      <c r="H7" s="170"/>
      <c r="I7" s="16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.95" customHeight="1" x14ac:dyDescent="0.25">
      <c r="A8" s="1"/>
      <c r="B8" s="115"/>
      <c r="C8" s="173"/>
      <c r="D8" s="173"/>
      <c r="E8" s="173"/>
      <c r="F8" s="173"/>
      <c r="G8" s="173"/>
      <c r="H8" s="173"/>
      <c r="I8" s="16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/>
      <c r="B9" s="115"/>
      <c r="C9" s="146"/>
      <c r="D9" s="4" t="s">
        <v>61</v>
      </c>
      <c r="E9" s="4"/>
      <c r="F9" s="4"/>
      <c r="G9" s="147" t="s">
        <v>62</v>
      </c>
      <c r="H9" s="4"/>
      <c r="I9" s="166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"/>
      <c r="V9" s="1"/>
      <c r="W9" s="1"/>
    </row>
    <row r="10" spans="1:23" ht="15.75" x14ac:dyDescent="0.25">
      <c r="A10" s="1"/>
      <c r="B10" s="115"/>
      <c r="C10" s="148" t="s">
        <v>63</v>
      </c>
      <c r="D10" s="149" t="s">
        <v>64</v>
      </c>
      <c r="E10" s="149" t="s">
        <v>65</v>
      </c>
      <c r="F10" s="149" t="s">
        <v>66</v>
      </c>
      <c r="G10" s="150" t="s">
        <v>65</v>
      </c>
      <c r="H10" s="149" t="s">
        <v>66</v>
      </c>
      <c r="I10" s="166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"/>
      <c r="V10" s="1"/>
      <c r="W10" s="1"/>
    </row>
    <row r="11" spans="1:23" ht="15.75" x14ac:dyDescent="0.25">
      <c r="A11" s="1"/>
      <c r="B11" s="115"/>
      <c r="C11" s="148" t="s">
        <v>67</v>
      </c>
      <c r="D11" s="148" t="s">
        <v>68</v>
      </c>
      <c r="E11" s="148" t="s">
        <v>69</v>
      </c>
      <c r="F11" s="148" t="s">
        <v>70</v>
      </c>
      <c r="G11" s="151" t="s">
        <v>69</v>
      </c>
      <c r="H11" s="148" t="s">
        <v>70</v>
      </c>
      <c r="I11" s="166"/>
      <c r="J11" s="19"/>
      <c r="K11" s="1"/>
      <c r="L11" s="19"/>
      <c r="M11" s="19"/>
      <c r="N11" s="19"/>
      <c r="O11" s="19"/>
      <c r="P11" s="19"/>
      <c r="Q11" s="19"/>
      <c r="R11" s="19"/>
      <c r="S11" s="19"/>
      <c r="T11" s="19"/>
      <c r="U11" s="1"/>
      <c r="V11" s="1"/>
      <c r="W11" s="1"/>
    </row>
    <row r="12" spans="1:23" ht="15.75" x14ac:dyDescent="0.25">
      <c r="A12" s="1"/>
      <c r="B12" s="115"/>
      <c r="C12" s="119">
        <v>20</v>
      </c>
      <c r="D12" s="146">
        <v>210</v>
      </c>
      <c r="E12" s="154">
        <f>D12/5280</f>
        <v>3.9772727272727272E-2</v>
      </c>
      <c r="F12" s="155">
        <f>E12*C12</f>
        <v>0.79545454545454541</v>
      </c>
      <c r="G12" s="152"/>
      <c r="H12" s="146"/>
      <c r="I12" s="166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"/>
      <c r="V12" s="1"/>
      <c r="W12" s="1"/>
    </row>
    <row r="13" spans="1:23" ht="18" x14ac:dyDescent="0.4">
      <c r="A13" s="1"/>
      <c r="B13" s="115"/>
      <c r="C13" s="119">
        <v>16</v>
      </c>
      <c r="D13" s="153">
        <f>948+920</f>
        <v>1868</v>
      </c>
      <c r="E13" s="154">
        <f>D13/5280</f>
        <v>0.35378787878787876</v>
      </c>
      <c r="F13" s="155">
        <f>E13*C13</f>
        <v>5.6606060606060602</v>
      </c>
      <c r="G13" s="156"/>
      <c r="H13" s="50"/>
      <c r="I13" s="166"/>
      <c r="J13" s="19"/>
      <c r="K13" s="153"/>
      <c r="L13" s="19"/>
      <c r="M13" s="148" t="s">
        <v>67</v>
      </c>
      <c r="N13" s="104" t="s">
        <v>379</v>
      </c>
      <c r="O13" s="104" t="s">
        <v>380</v>
      </c>
      <c r="P13" s="19"/>
      <c r="Q13" s="19"/>
      <c r="R13" s="19"/>
      <c r="S13" s="19"/>
      <c r="T13" s="19"/>
      <c r="U13" s="1"/>
      <c r="V13" s="1"/>
      <c r="W13" s="1"/>
    </row>
    <row r="14" spans="1:23" ht="15.75" x14ac:dyDescent="0.25">
      <c r="A14" s="1"/>
      <c r="B14" s="115"/>
      <c r="C14" s="119">
        <v>12</v>
      </c>
      <c r="D14" s="153">
        <f>19934+15396</f>
        <v>35330</v>
      </c>
      <c r="E14" s="154">
        <f t="shared" ref="E14:E22" si="0">D14/5280</f>
        <v>6.6912878787878789</v>
      </c>
      <c r="F14" s="155">
        <f t="shared" ref="F14:F19" si="1">E14*C14</f>
        <v>80.295454545454547</v>
      </c>
      <c r="G14" s="156">
        <f>O14/5280</f>
        <v>3.5037878787878789</v>
      </c>
      <c r="H14" s="50">
        <f t="shared" ref="H14:H20" si="2">G14*C14</f>
        <v>42.045454545454547</v>
      </c>
      <c r="I14" s="166"/>
      <c r="J14" s="19"/>
      <c r="K14" s="19"/>
      <c r="L14" s="19"/>
      <c r="M14" s="119">
        <v>12</v>
      </c>
      <c r="N14" s="157">
        <f>1.75+1.95</f>
        <v>3.7</v>
      </c>
      <c r="O14" s="19">
        <f>N14*5000</f>
        <v>18500</v>
      </c>
      <c r="P14" s="19"/>
      <c r="Q14" s="19"/>
      <c r="R14" s="19"/>
      <c r="S14" s="19"/>
      <c r="T14" s="19"/>
      <c r="U14" s="1"/>
      <c r="V14" s="1"/>
      <c r="W14" s="1"/>
    </row>
    <row r="15" spans="1:23" ht="15.75" x14ac:dyDescent="0.25">
      <c r="A15" s="1"/>
      <c r="B15" s="115"/>
      <c r="C15" s="119">
        <v>10</v>
      </c>
      <c r="D15" s="153">
        <f>84450+31459+6786</f>
        <v>122695</v>
      </c>
      <c r="E15" s="154">
        <f t="shared" si="0"/>
        <v>23.237689393939394</v>
      </c>
      <c r="F15" s="155">
        <f t="shared" si="1"/>
        <v>232.37689393939394</v>
      </c>
      <c r="G15" s="156">
        <f t="shared" ref="G15:G20" si="3">O15/5280</f>
        <v>17.045454545454547</v>
      </c>
      <c r="H15" s="50">
        <f t="shared" si="2"/>
        <v>170.45454545454547</v>
      </c>
      <c r="I15" s="166"/>
      <c r="J15" s="19"/>
      <c r="K15" s="19"/>
      <c r="L15" s="19"/>
      <c r="M15" s="119">
        <v>10</v>
      </c>
      <c r="N15" s="157">
        <f>6.55+7.05+4.4</f>
        <v>18</v>
      </c>
      <c r="O15" s="19">
        <f t="shared" ref="O15:O20" si="4">N15*5000</f>
        <v>90000</v>
      </c>
      <c r="P15" s="19"/>
      <c r="Q15" s="19"/>
      <c r="R15" s="19"/>
      <c r="S15" s="19"/>
      <c r="T15" s="19"/>
      <c r="U15" s="1"/>
      <c r="V15" s="1"/>
      <c r="W15" s="1"/>
    </row>
    <row r="16" spans="1:23" ht="15.75" x14ac:dyDescent="0.25">
      <c r="A16" s="1"/>
      <c r="B16" s="115"/>
      <c r="C16" s="119">
        <v>8</v>
      </c>
      <c r="D16" s="153">
        <f>113890+234599+60553</f>
        <v>409042</v>
      </c>
      <c r="E16" s="154">
        <f t="shared" si="0"/>
        <v>77.470075757575756</v>
      </c>
      <c r="F16" s="155">
        <f t="shared" si="1"/>
        <v>619.76060606060605</v>
      </c>
      <c r="G16" s="156">
        <f t="shared" si="3"/>
        <v>12.121212121212119</v>
      </c>
      <c r="H16" s="50">
        <f t="shared" si="2"/>
        <v>96.969696969696955</v>
      </c>
      <c r="I16" s="166"/>
      <c r="J16" s="19"/>
      <c r="K16" s="19"/>
      <c r="L16" s="19"/>
      <c r="M16" s="119">
        <v>8</v>
      </c>
      <c r="N16" s="157">
        <f>6.05+0.3+2.3+3.4+0.75</f>
        <v>12.799999999999999</v>
      </c>
      <c r="O16" s="19">
        <f t="shared" si="4"/>
        <v>63999.999999999993</v>
      </c>
      <c r="P16" s="19"/>
      <c r="Q16" s="19"/>
      <c r="R16" s="19"/>
      <c r="S16" s="19"/>
      <c r="T16" s="19"/>
      <c r="U16" s="1"/>
      <c r="V16" s="1"/>
      <c r="W16" s="1"/>
    </row>
    <row r="17" spans="1:23" ht="15.75" x14ac:dyDescent="0.25">
      <c r="A17" s="1"/>
      <c r="B17" s="115"/>
      <c r="C17" s="119">
        <v>6</v>
      </c>
      <c r="D17" s="153">
        <f>121173+341820+78797</f>
        <v>541790</v>
      </c>
      <c r="E17" s="154">
        <f t="shared" si="0"/>
        <v>102.61174242424242</v>
      </c>
      <c r="F17" s="155">
        <f t="shared" si="1"/>
        <v>615.6704545454545</v>
      </c>
      <c r="G17" s="156">
        <f t="shared" si="3"/>
        <v>10.890151515151516</v>
      </c>
      <c r="H17" s="50">
        <f t="shared" si="2"/>
        <v>65.340909090909093</v>
      </c>
      <c r="I17" s="166"/>
      <c r="J17" s="19"/>
      <c r="K17" s="19"/>
      <c r="L17" s="19"/>
      <c r="M17" s="119">
        <v>6</v>
      </c>
      <c r="N17" s="157">
        <f>1.95+3.1+6.45</f>
        <v>11.5</v>
      </c>
      <c r="O17" s="19">
        <f t="shared" si="4"/>
        <v>57500</v>
      </c>
      <c r="P17" s="19"/>
      <c r="Q17" s="19"/>
      <c r="R17" s="19"/>
      <c r="S17" s="19"/>
      <c r="T17" s="19"/>
      <c r="U17" s="1"/>
      <c r="V17" s="1"/>
      <c r="W17" s="1"/>
    </row>
    <row r="18" spans="1:23" ht="15.75" x14ac:dyDescent="0.25">
      <c r="A18" s="1"/>
      <c r="B18" s="115"/>
      <c r="C18" s="119">
        <v>4</v>
      </c>
      <c r="D18" s="153">
        <f>102689+407765</f>
        <v>510454</v>
      </c>
      <c r="E18" s="154">
        <f t="shared" si="0"/>
        <v>96.676893939393935</v>
      </c>
      <c r="F18" s="155">
        <f t="shared" si="1"/>
        <v>386.70757575757574</v>
      </c>
      <c r="G18" s="156">
        <f t="shared" si="3"/>
        <v>0</v>
      </c>
      <c r="H18" s="50">
        <f t="shared" si="2"/>
        <v>0</v>
      </c>
      <c r="I18" s="166"/>
      <c r="J18" s="19"/>
      <c r="K18" s="19"/>
      <c r="L18" s="19"/>
      <c r="M18" s="119">
        <v>4</v>
      </c>
      <c r="N18" s="157">
        <v>0</v>
      </c>
      <c r="O18" s="19">
        <f t="shared" si="4"/>
        <v>0</v>
      </c>
      <c r="P18" s="19"/>
      <c r="Q18" s="19"/>
      <c r="R18" s="19"/>
      <c r="S18" s="19"/>
      <c r="T18" s="19"/>
      <c r="U18" s="1"/>
      <c r="V18" s="1"/>
      <c r="W18" s="1"/>
    </row>
    <row r="19" spans="1:23" ht="15.75" x14ac:dyDescent="0.25">
      <c r="A19" s="1"/>
      <c r="B19" s="115"/>
      <c r="C19" s="119">
        <v>3</v>
      </c>
      <c r="D19" s="153">
        <f>87716+221466</f>
        <v>309182</v>
      </c>
      <c r="E19" s="154">
        <f t="shared" si="0"/>
        <v>58.557196969696967</v>
      </c>
      <c r="F19" s="155">
        <f t="shared" si="1"/>
        <v>175.6715909090909</v>
      </c>
      <c r="G19" s="156">
        <f t="shared" si="3"/>
        <v>2.2253787878787881</v>
      </c>
      <c r="H19" s="50">
        <f t="shared" si="2"/>
        <v>6.6761363636363642</v>
      </c>
      <c r="I19" s="166"/>
      <c r="J19" s="19"/>
      <c r="K19" s="19"/>
      <c r="L19" s="19"/>
      <c r="M19" s="119">
        <v>3</v>
      </c>
      <c r="N19" s="157">
        <f>0.9+1.45</f>
        <v>2.35</v>
      </c>
      <c r="O19" s="19">
        <f t="shared" si="4"/>
        <v>11750</v>
      </c>
      <c r="P19" s="19"/>
      <c r="Q19" s="19"/>
      <c r="R19" s="19"/>
      <c r="S19" s="19"/>
      <c r="T19" s="19"/>
      <c r="U19" s="1"/>
      <c r="V19" s="1"/>
      <c r="W19" s="1"/>
    </row>
    <row r="20" spans="1:23" ht="18" x14ac:dyDescent="0.4">
      <c r="A20" s="1"/>
      <c r="B20" s="115"/>
      <c r="C20" s="351">
        <v>2.5</v>
      </c>
      <c r="D20" s="153">
        <v>102840</v>
      </c>
      <c r="E20" s="154">
        <f t="shared" si="0"/>
        <v>19.477272727272727</v>
      </c>
      <c r="F20" s="155">
        <f t="shared" ref="F20:F22" si="5">E20*C20</f>
        <v>48.693181818181813</v>
      </c>
      <c r="G20" s="156">
        <f t="shared" si="3"/>
        <v>1.0890151515151516</v>
      </c>
      <c r="H20" s="50">
        <f t="shared" si="2"/>
        <v>2.7225378787878789</v>
      </c>
      <c r="I20" s="166"/>
      <c r="J20" s="19"/>
      <c r="K20" s="19"/>
      <c r="L20" s="19"/>
      <c r="M20" s="351">
        <v>2.5</v>
      </c>
      <c r="N20" s="384">
        <v>1.1499999999999999</v>
      </c>
      <c r="O20" s="86">
        <f t="shared" si="4"/>
        <v>5750</v>
      </c>
      <c r="P20" s="19"/>
      <c r="Q20" s="19"/>
      <c r="R20" s="19"/>
      <c r="S20" s="19"/>
      <c r="T20" s="19"/>
      <c r="U20" s="1"/>
      <c r="V20" s="1"/>
      <c r="W20" s="1"/>
    </row>
    <row r="21" spans="1:23" ht="15.75" x14ac:dyDescent="0.25">
      <c r="A21" s="1"/>
      <c r="B21" s="115"/>
      <c r="C21" s="119">
        <v>2</v>
      </c>
      <c r="D21" s="153">
        <f>44320+31333</f>
        <v>75653</v>
      </c>
      <c r="E21" s="154">
        <f t="shared" si="0"/>
        <v>14.328219696969697</v>
      </c>
      <c r="F21" s="155">
        <f t="shared" si="5"/>
        <v>28.656439393939394</v>
      </c>
      <c r="G21" s="156"/>
      <c r="H21" s="50"/>
      <c r="I21" s="166"/>
      <c r="J21" s="19"/>
      <c r="K21" s="19"/>
      <c r="L21" s="19"/>
      <c r="M21" s="19"/>
      <c r="N21" s="157">
        <f>SUM(N14:N20)</f>
        <v>49.5</v>
      </c>
      <c r="O21" s="19">
        <f>SUM(O14:O20)</f>
        <v>247500</v>
      </c>
      <c r="P21" s="19"/>
      <c r="Q21" s="19"/>
      <c r="R21" s="19"/>
      <c r="S21" s="19"/>
      <c r="T21" s="19"/>
      <c r="U21" s="1"/>
      <c r="V21" s="1"/>
      <c r="W21" s="1"/>
    </row>
    <row r="22" spans="1:23" ht="15.75" x14ac:dyDescent="0.25">
      <c r="A22" s="1"/>
      <c r="B22" s="115"/>
      <c r="C22" s="351">
        <v>1.5</v>
      </c>
      <c r="D22" s="153">
        <v>600</v>
      </c>
      <c r="E22" s="154">
        <f t="shared" si="0"/>
        <v>0.11363636363636363</v>
      </c>
      <c r="F22" s="155">
        <f t="shared" si="5"/>
        <v>0.17045454545454544</v>
      </c>
      <c r="G22" s="156"/>
      <c r="H22" s="50"/>
      <c r="I22" s="166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"/>
      <c r="V22" s="1"/>
      <c r="W22" s="1"/>
    </row>
    <row r="23" spans="1:23" ht="6.95" customHeight="1" x14ac:dyDescent="0.25">
      <c r="A23" s="1"/>
      <c r="B23" s="115"/>
      <c r="C23" s="119"/>
      <c r="D23" s="153"/>
      <c r="E23" s="158"/>
      <c r="F23" s="159"/>
      <c r="G23" s="156"/>
      <c r="H23" s="50"/>
      <c r="I23" s="166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"/>
      <c r="V23" s="1"/>
      <c r="W23" s="1"/>
    </row>
    <row r="24" spans="1:23" ht="15.75" x14ac:dyDescent="0.25">
      <c r="A24" s="1"/>
      <c r="B24" s="115"/>
      <c r="C24" s="119" t="s">
        <v>17</v>
      </c>
      <c r="D24" s="153">
        <f>SUM(D12:D23)</f>
        <v>2109664</v>
      </c>
      <c r="E24" s="88">
        <f>SUM(E13:E23)</f>
        <v>399.51780303030307</v>
      </c>
      <c r="F24" s="155">
        <f>SUM(F13:F23)</f>
        <v>2193.6632575757576</v>
      </c>
      <c r="G24" s="108">
        <f>SUM(G13:G23)</f>
        <v>46.875</v>
      </c>
      <c r="H24" s="50">
        <f>SUM(H13:H23)</f>
        <v>384.20928030303025</v>
      </c>
      <c r="I24" s="166"/>
      <c r="J24" s="19"/>
      <c r="K24" s="157"/>
      <c r="L24" s="19"/>
      <c r="M24" s="19"/>
      <c r="N24" s="19"/>
      <c r="O24" s="19"/>
      <c r="P24" s="19"/>
      <c r="Q24" s="19"/>
      <c r="R24" s="19"/>
      <c r="S24" s="19"/>
      <c r="T24" s="19"/>
      <c r="U24" s="1"/>
      <c r="V24" s="1"/>
      <c r="W24" s="1"/>
    </row>
    <row r="25" spans="1:23" ht="15.75" x14ac:dyDescent="0.25">
      <c r="A25" s="1"/>
      <c r="B25" s="115"/>
      <c r="C25" s="142"/>
      <c r="D25" s="142"/>
      <c r="E25" s="142"/>
      <c r="F25" s="160"/>
      <c r="G25" s="142"/>
      <c r="H25" s="142"/>
      <c r="I25" s="166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"/>
      <c r="V25" s="1"/>
      <c r="W25" s="1"/>
    </row>
    <row r="26" spans="1:23" ht="15.75" x14ac:dyDescent="0.25">
      <c r="A26" s="1"/>
      <c r="B26" s="115"/>
      <c r="C26" s="142"/>
      <c r="D26" s="142"/>
      <c r="E26" s="142"/>
      <c r="F26" s="142"/>
      <c r="G26" s="142"/>
      <c r="H26" s="142"/>
      <c r="I26" s="166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"/>
      <c r="V26" s="1"/>
      <c r="W26" s="1"/>
    </row>
    <row r="27" spans="1:23" ht="15.75" x14ac:dyDescent="0.25">
      <c r="A27" s="1"/>
      <c r="B27" s="115"/>
      <c r="C27" s="175"/>
      <c r="D27" s="143" t="s">
        <v>71</v>
      </c>
      <c r="E27" s="143"/>
      <c r="F27" s="143"/>
      <c r="G27" s="143"/>
      <c r="H27" s="161"/>
      <c r="I27" s="166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"/>
      <c r="V27" s="1"/>
      <c r="W27" s="1"/>
    </row>
    <row r="28" spans="1:23" ht="6.95" customHeight="1" x14ac:dyDescent="0.25">
      <c r="A28" s="1"/>
      <c r="B28" s="115"/>
      <c r="C28" s="117"/>
      <c r="D28" s="145"/>
      <c r="E28" s="145"/>
      <c r="F28" s="145"/>
      <c r="G28" s="145"/>
      <c r="H28" s="142"/>
      <c r="I28" s="166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"/>
      <c r="V28" s="1"/>
      <c r="W28" s="1"/>
    </row>
    <row r="29" spans="1:23" ht="15.75" x14ac:dyDescent="0.25">
      <c r="A29" s="1"/>
      <c r="B29" s="115"/>
      <c r="C29" s="117"/>
      <c r="D29" s="142"/>
      <c r="E29" s="142"/>
      <c r="F29" s="148" t="s">
        <v>18</v>
      </c>
      <c r="G29" s="148"/>
      <c r="H29" s="142"/>
      <c r="I29" s="166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"/>
      <c r="V29" s="1"/>
      <c r="W29" s="1"/>
    </row>
    <row r="30" spans="1:23" ht="15.75" x14ac:dyDescent="0.25">
      <c r="A30" s="1"/>
      <c r="B30" s="115"/>
      <c r="C30" s="117"/>
      <c r="D30" s="142"/>
      <c r="E30" s="142"/>
      <c r="F30" s="148" t="s">
        <v>72</v>
      </c>
      <c r="G30" s="148" t="s">
        <v>12</v>
      </c>
      <c r="H30" s="142"/>
      <c r="I30" s="166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"/>
      <c r="V30" s="1"/>
      <c r="W30" s="1"/>
    </row>
    <row r="31" spans="1:23" ht="6.95" customHeight="1" x14ac:dyDescent="0.25">
      <c r="A31" s="1"/>
      <c r="B31" s="115"/>
      <c r="C31" s="117"/>
      <c r="D31" s="142"/>
      <c r="E31" s="142"/>
      <c r="F31" s="142"/>
      <c r="G31" s="142"/>
      <c r="H31" s="142"/>
      <c r="I31" s="166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"/>
      <c r="V31" s="1"/>
      <c r="W31" s="1"/>
    </row>
    <row r="32" spans="1:23" ht="15.75" x14ac:dyDescent="0.25">
      <c r="A32" s="1"/>
      <c r="B32" s="115"/>
      <c r="C32" s="117"/>
      <c r="D32" s="162" t="s">
        <v>373</v>
      </c>
      <c r="E32" s="162"/>
      <c r="F32" s="163">
        <v>1142746</v>
      </c>
      <c r="G32" s="162"/>
      <c r="H32" s="142"/>
      <c r="I32" s="166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"/>
      <c r="V32" s="1"/>
      <c r="W32" s="1"/>
    </row>
    <row r="33" spans="1:23" ht="15.75" x14ac:dyDescent="0.25">
      <c r="A33" s="1"/>
      <c r="B33" s="115"/>
      <c r="C33" s="117"/>
      <c r="D33" s="162" t="s">
        <v>73</v>
      </c>
      <c r="E33" s="162"/>
      <c r="F33" s="163">
        <f>F35-F34</f>
        <v>868609</v>
      </c>
      <c r="G33" s="162"/>
      <c r="H33" s="142"/>
      <c r="I33" s="166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"/>
      <c r="V33" s="1"/>
      <c r="W33" s="1"/>
    </row>
    <row r="34" spans="1:23" ht="15.75" x14ac:dyDescent="0.25">
      <c r="A34" s="1"/>
      <c r="B34" s="115"/>
      <c r="C34" s="117"/>
      <c r="D34" s="162" t="s">
        <v>74</v>
      </c>
      <c r="E34" s="162"/>
      <c r="F34" s="163">
        <v>106419</v>
      </c>
      <c r="G34" s="162"/>
      <c r="H34" s="142"/>
      <c r="I34" s="166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"/>
      <c r="V34" s="1"/>
      <c r="W34" s="1"/>
    </row>
    <row r="35" spans="1:23" ht="15.75" x14ac:dyDescent="0.25">
      <c r="A35" s="1"/>
      <c r="B35" s="115"/>
      <c r="C35" s="117"/>
      <c r="D35" s="162" t="s">
        <v>75</v>
      </c>
      <c r="E35" s="162"/>
      <c r="F35" s="163">
        <v>975028</v>
      </c>
      <c r="G35" s="162"/>
      <c r="H35" s="142"/>
      <c r="I35" s="166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"/>
      <c r="V35" s="1"/>
      <c r="W35" s="1"/>
    </row>
    <row r="36" spans="1:23" ht="6.95" customHeight="1" x14ac:dyDescent="0.25">
      <c r="A36" s="1"/>
      <c r="B36" s="115"/>
      <c r="C36" s="117"/>
      <c r="D36" s="162"/>
      <c r="E36" s="162"/>
      <c r="F36" s="163"/>
      <c r="G36" s="164"/>
      <c r="H36" s="142"/>
      <c r="I36" s="166"/>
      <c r="J36" s="1"/>
      <c r="K36" s="1"/>
      <c r="L36" s="1"/>
      <c r="M36" s="1"/>
    </row>
    <row r="37" spans="1:23" ht="15.75" x14ac:dyDescent="0.25">
      <c r="A37" s="1"/>
      <c r="B37" s="115"/>
      <c r="C37" s="117"/>
      <c r="D37" s="162" t="s">
        <v>76</v>
      </c>
      <c r="E37" s="162"/>
      <c r="F37" s="163">
        <v>14537</v>
      </c>
      <c r="G37" s="164"/>
      <c r="H37" s="142"/>
      <c r="I37" s="166"/>
      <c r="J37" s="1"/>
      <c r="K37" s="1"/>
      <c r="L37" s="1"/>
      <c r="M37" s="1"/>
    </row>
    <row r="38" spans="1:23" ht="15.75" x14ac:dyDescent="0.25">
      <c r="A38" s="1"/>
      <c r="B38" s="115"/>
      <c r="C38" s="117"/>
      <c r="D38" s="162" t="s">
        <v>78</v>
      </c>
      <c r="E38" s="162"/>
      <c r="F38" s="163">
        <v>92</v>
      </c>
      <c r="G38" s="164"/>
      <c r="H38" s="142"/>
      <c r="I38" s="166"/>
      <c r="J38" s="1"/>
      <c r="K38" s="167">
        <f>SUM(F37:F38)</f>
        <v>14629</v>
      </c>
      <c r="L38" s="168" t="s">
        <v>166</v>
      </c>
      <c r="M38" s="1"/>
    </row>
    <row r="39" spans="1:23" ht="15.75" x14ac:dyDescent="0.25">
      <c r="A39" s="1"/>
      <c r="B39" s="115"/>
      <c r="C39" s="117"/>
      <c r="D39" s="162" t="s">
        <v>77</v>
      </c>
      <c r="E39" s="162"/>
      <c r="F39" s="163">
        <f>F32-F35-K38</f>
        <v>153089</v>
      </c>
      <c r="G39" s="164">
        <f>F39/$F$32</f>
        <v>0.13396590318408466</v>
      </c>
      <c r="H39" s="142"/>
      <c r="I39" s="166"/>
      <c r="J39" s="1"/>
      <c r="K39" s="1"/>
      <c r="L39" s="1"/>
      <c r="M39" s="1"/>
    </row>
    <row r="40" spans="1:23" ht="15.75" x14ac:dyDescent="0.25">
      <c r="A40" s="1"/>
      <c r="B40" s="133"/>
      <c r="C40" s="161"/>
      <c r="D40" s="161"/>
      <c r="E40" s="165"/>
      <c r="F40" s="161"/>
      <c r="G40" s="161"/>
      <c r="H40" s="161"/>
      <c r="I40" s="169"/>
      <c r="J40" s="1"/>
      <c r="K40" s="1"/>
      <c r="L40" s="1"/>
      <c r="M40" s="1"/>
    </row>
    <row r="41" spans="1:23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23" x14ac:dyDescent="0.2">
      <c r="F42" s="14"/>
    </row>
    <row r="43" spans="1:23" x14ac:dyDescent="0.2">
      <c r="F43" s="14"/>
    </row>
  </sheetData>
  <mergeCells count="2">
    <mergeCell ref="C2:H2"/>
    <mergeCell ref="C4:H4"/>
  </mergeCells>
  <printOptions horizontalCentered="1"/>
  <pageMargins left="0.7" right="0.7" top="1.2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0"/>
  <sheetViews>
    <sheetView zoomScaleNormal="100" workbookViewId="0"/>
    <sheetView workbookViewId="1"/>
  </sheetViews>
  <sheetFormatPr defaultColWidth="8.88671875" defaultRowHeight="15.75" x14ac:dyDescent="0.25"/>
  <cols>
    <col min="1" max="1" width="8.88671875" style="52"/>
    <col min="2" max="2" width="2.77734375" style="52" customWidth="1"/>
    <col min="3" max="3" width="26.6640625" style="52" customWidth="1"/>
    <col min="4" max="4" width="3.6640625" style="52" customWidth="1"/>
    <col min="5" max="5" width="9.6640625" style="52" customWidth="1"/>
    <col min="6" max="6" width="3.6640625" style="52" customWidth="1"/>
    <col min="7" max="7" width="9.6640625" style="52" customWidth="1"/>
    <col min="8" max="8" width="3.6640625" style="52" customWidth="1"/>
    <col min="9" max="9" width="12.6640625" style="52" customWidth="1"/>
    <col min="10" max="10" width="2.77734375" style="52" customWidth="1"/>
    <col min="11" max="11" width="9.6640625" style="52" customWidth="1"/>
    <col min="12" max="16384" width="8.88671875" style="52"/>
  </cols>
  <sheetData>
    <row r="1" spans="1:11" ht="15" customHeight="1" x14ac:dyDescent="0.35">
      <c r="A1" s="1"/>
      <c r="B1" s="112"/>
      <c r="C1" s="478"/>
      <c r="D1" s="478"/>
      <c r="E1" s="478"/>
      <c r="F1" s="478"/>
      <c r="G1" s="478"/>
      <c r="H1" s="478"/>
      <c r="I1" s="478"/>
      <c r="J1" s="176"/>
      <c r="K1" s="177"/>
    </row>
    <row r="2" spans="1:11" ht="18.75" x14ac:dyDescent="0.3">
      <c r="A2" s="1"/>
      <c r="B2" s="115"/>
      <c r="C2" s="477" t="s">
        <v>186</v>
      </c>
      <c r="D2" s="477"/>
      <c r="E2" s="477"/>
      <c r="F2" s="477"/>
      <c r="G2" s="477"/>
      <c r="H2" s="477"/>
      <c r="I2" s="477"/>
      <c r="J2" s="160"/>
      <c r="K2" s="178"/>
    </row>
    <row r="3" spans="1:11" ht="18.75" x14ac:dyDescent="0.3">
      <c r="A3" s="1"/>
      <c r="B3" s="115"/>
      <c r="C3" s="3" t="s">
        <v>79</v>
      </c>
      <c r="D3" s="144"/>
      <c r="E3" s="144"/>
      <c r="F3" s="144"/>
      <c r="G3" s="144"/>
      <c r="H3" s="144"/>
      <c r="I3" s="144"/>
      <c r="J3" s="160"/>
      <c r="K3" s="178"/>
    </row>
    <row r="4" spans="1:11" x14ac:dyDescent="0.25">
      <c r="A4" s="1"/>
      <c r="B4" s="115"/>
      <c r="C4" s="476" t="s">
        <v>242</v>
      </c>
      <c r="D4" s="476"/>
      <c r="E4" s="476"/>
      <c r="F4" s="476"/>
      <c r="G4" s="476"/>
      <c r="H4" s="476"/>
      <c r="I4" s="476"/>
      <c r="J4" s="160"/>
      <c r="K4" s="178"/>
    </row>
    <row r="5" spans="1:11" x14ac:dyDescent="0.25">
      <c r="A5" s="1"/>
      <c r="B5" s="133"/>
      <c r="C5" s="448"/>
      <c r="D5" s="449"/>
      <c r="E5" s="448"/>
      <c r="F5" s="449"/>
      <c r="G5" s="448"/>
      <c r="H5" s="448"/>
      <c r="I5" s="175"/>
      <c r="J5" s="200"/>
      <c r="K5" s="178"/>
    </row>
    <row r="6" spans="1:11" x14ac:dyDescent="0.25">
      <c r="A6" s="1"/>
      <c r="B6" s="115"/>
      <c r="C6" s="162"/>
      <c r="D6" s="179"/>
      <c r="E6" s="162"/>
      <c r="F6" s="179"/>
      <c r="G6" s="162"/>
      <c r="H6" s="162"/>
      <c r="J6" s="160"/>
      <c r="K6" s="178"/>
    </row>
    <row r="7" spans="1:11" x14ac:dyDescent="0.25">
      <c r="A7" s="1"/>
      <c r="B7" s="115"/>
      <c r="C7" s="162"/>
      <c r="E7" s="162"/>
      <c r="F7" s="179"/>
      <c r="G7" s="162"/>
      <c r="H7" s="162"/>
      <c r="I7" s="180" t="s">
        <v>80</v>
      </c>
      <c r="J7" s="160"/>
      <c r="K7" s="178"/>
    </row>
    <row r="8" spans="1:11" x14ac:dyDescent="0.25">
      <c r="A8" s="1"/>
      <c r="B8" s="115"/>
      <c r="C8" s="162" t="s">
        <v>81</v>
      </c>
      <c r="D8" s="179"/>
      <c r="E8" s="162"/>
      <c r="F8" s="179"/>
      <c r="G8" s="162"/>
      <c r="H8" s="162"/>
      <c r="I8" s="181">
        <f>Sys!G39</f>
        <v>0.13396590318408466</v>
      </c>
      <c r="J8" s="160"/>
      <c r="K8" s="178"/>
    </row>
    <row r="9" spans="1:11" x14ac:dyDescent="0.25">
      <c r="A9" s="1"/>
      <c r="B9" s="115"/>
      <c r="C9" s="162" t="s">
        <v>82</v>
      </c>
      <c r="D9" s="179"/>
      <c r="E9" s="162"/>
      <c r="F9" s="179"/>
      <c r="G9" s="162"/>
      <c r="H9" s="162"/>
      <c r="I9" s="182">
        <f>Sys!H24</f>
        <v>384.20928030303025</v>
      </c>
      <c r="J9" s="160"/>
      <c r="K9" s="1"/>
    </row>
    <row r="10" spans="1:11" x14ac:dyDescent="0.25">
      <c r="A10" s="1"/>
      <c r="B10" s="115"/>
      <c r="C10" s="162" t="s">
        <v>83</v>
      </c>
      <c r="D10" s="179"/>
      <c r="E10" s="162"/>
      <c r="F10" s="179"/>
      <c r="G10" s="162"/>
      <c r="H10" s="162"/>
      <c r="I10" s="182">
        <f>Sys!F24</f>
        <v>2193.6632575757576</v>
      </c>
      <c r="J10" s="160"/>
      <c r="K10" s="1"/>
    </row>
    <row r="11" spans="1:11" x14ac:dyDescent="0.25">
      <c r="A11" s="1"/>
      <c r="B11" s="115"/>
      <c r="C11" s="162" t="s">
        <v>84</v>
      </c>
      <c r="D11" s="179"/>
      <c r="E11" s="162"/>
      <c r="F11" s="179"/>
      <c r="G11" s="162"/>
      <c r="H11" s="162"/>
      <c r="I11" s="183">
        <f>Sys!F34</f>
        <v>106419</v>
      </c>
      <c r="J11" s="160"/>
      <c r="K11" s="1"/>
    </row>
    <row r="12" spans="1:11" x14ac:dyDescent="0.25">
      <c r="A12" s="1"/>
      <c r="B12" s="115"/>
      <c r="C12" s="162" t="s">
        <v>85</v>
      </c>
      <c r="D12" s="179"/>
      <c r="E12" s="162"/>
      <c r="F12" s="179"/>
      <c r="G12" s="162"/>
      <c r="H12" s="162"/>
      <c r="I12" s="183">
        <f>Sys!F35</f>
        <v>975028</v>
      </c>
      <c r="J12" s="160"/>
      <c r="K12" s="1"/>
    </row>
    <row r="13" spans="1:11" x14ac:dyDescent="0.25">
      <c r="A13" s="1"/>
      <c r="B13" s="115"/>
      <c r="C13" s="162"/>
      <c r="D13" s="179"/>
      <c r="E13" s="162"/>
      <c r="F13" s="179"/>
      <c r="G13" s="162"/>
      <c r="H13" s="162"/>
      <c r="I13" s="181"/>
      <c r="J13" s="160"/>
      <c r="K13" s="1"/>
    </row>
    <row r="14" spans="1:11" x14ac:dyDescent="0.25">
      <c r="A14" s="1"/>
      <c r="B14" s="115"/>
      <c r="C14" s="162"/>
      <c r="D14" s="179"/>
      <c r="E14" s="162"/>
      <c r="F14" s="179">
        <v>1</v>
      </c>
      <c r="H14" s="162"/>
      <c r="I14" s="181"/>
      <c r="J14" s="160"/>
      <c r="K14" s="1"/>
    </row>
    <row r="15" spans="1:11" x14ac:dyDescent="0.25">
      <c r="A15" s="1"/>
      <c r="B15" s="115"/>
      <c r="C15" s="270" t="s">
        <v>313</v>
      </c>
      <c r="D15" s="179"/>
      <c r="E15" s="142" t="s">
        <v>381</v>
      </c>
      <c r="F15" s="142"/>
      <c r="G15" s="142"/>
      <c r="H15" s="179" t="s">
        <v>87</v>
      </c>
      <c r="I15" s="181">
        <f>1/(1-I8)</f>
        <v>1.1546889477869604</v>
      </c>
      <c r="J15" s="160"/>
      <c r="K15" s="1"/>
    </row>
    <row r="16" spans="1:11" x14ac:dyDescent="0.25">
      <c r="A16" s="1"/>
      <c r="B16" s="115"/>
      <c r="C16" s="162"/>
      <c r="D16" s="179"/>
      <c r="E16" s="162">
        <v>1</v>
      </c>
      <c r="F16" s="179" t="s">
        <v>88</v>
      </c>
      <c r="G16" s="185">
        <f>I8</f>
        <v>0.13396590318408466</v>
      </c>
      <c r="H16" s="179"/>
      <c r="I16" s="181"/>
      <c r="J16" s="160"/>
      <c r="K16" s="1"/>
    </row>
    <row r="17" spans="1:11" x14ac:dyDescent="0.25">
      <c r="A17" s="1"/>
      <c r="B17" s="115"/>
      <c r="C17" s="162"/>
      <c r="D17" s="179"/>
      <c r="E17" s="162"/>
      <c r="F17" s="179"/>
      <c r="G17" s="186"/>
      <c r="H17" s="179"/>
      <c r="I17" s="181"/>
      <c r="J17" s="160"/>
      <c r="K17" s="1"/>
    </row>
    <row r="18" spans="1:11" x14ac:dyDescent="0.25">
      <c r="A18" s="1"/>
      <c r="B18" s="115"/>
      <c r="C18" s="162"/>
      <c r="D18" s="179"/>
      <c r="E18" s="162"/>
      <c r="F18" s="142"/>
      <c r="G18" s="187">
        <f>I9</f>
        <v>384.20928030303025</v>
      </c>
      <c r="H18" s="179"/>
      <c r="I18" s="181"/>
      <c r="J18" s="160"/>
      <c r="K18" s="1"/>
    </row>
    <row r="19" spans="1:11" x14ac:dyDescent="0.25">
      <c r="A19" s="1"/>
      <c r="B19" s="115"/>
      <c r="C19" s="162" t="s">
        <v>89</v>
      </c>
      <c r="D19" s="179"/>
      <c r="E19" s="142"/>
      <c r="F19" s="202" t="s">
        <v>196</v>
      </c>
      <c r="G19" s="184"/>
      <c r="H19" s="179" t="s">
        <v>87</v>
      </c>
      <c r="I19" s="181">
        <f>G18/G20</f>
        <v>0.17514505883078169</v>
      </c>
      <c r="J19" s="160"/>
      <c r="K19" s="1"/>
    </row>
    <row r="20" spans="1:11" x14ac:dyDescent="0.25">
      <c r="A20" s="1"/>
      <c r="B20" s="115"/>
      <c r="C20" s="162"/>
      <c r="D20" s="179"/>
      <c r="E20" s="188"/>
      <c r="F20" s="179"/>
      <c r="G20" s="187">
        <f>I10</f>
        <v>2193.6632575757576</v>
      </c>
      <c r="H20" s="179"/>
      <c r="I20" s="181"/>
      <c r="J20" s="160"/>
      <c r="K20" s="1"/>
    </row>
    <row r="21" spans="1:11" x14ac:dyDescent="0.25">
      <c r="A21" s="1"/>
      <c r="B21" s="115"/>
      <c r="C21" s="162"/>
      <c r="D21" s="179"/>
      <c r="E21" s="188"/>
      <c r="F21" s="179"/>
      <c r="G21" s="162"/>
      <c r="H21" s="179"/>
      <c r="I21" s="181"/>
      <c r="J21" s="160"/>
      <c r="K21" s="1"/>
    </row>
    <row r="22" spans="1:11" x14ac:dyDescent="0.25">
      <c r="A22" s="1"/>
      <c r="B22" s="115"/>
      <c r="C22" s="162" t="s">
        <v>167</v>
      </c>
      <c r="D22" s="189"/>
      <c r="E22" s="190">
        <f>I8</f>
        <v>0.13396590318408466</v>
      </c>
      <c r="F22" s="179" t="s">
        <v>90</v>
      </c>
      <c r="G22" s="191">
        <f>I19</f>
        <v>0.17514505883078169</v>
      </c>
      <c r="H22" s="179" t="s">
        <v>87</v>
      </c>
      <c r="I22" s="181">
        <f>E22*G22</f>
        <v>2.3463465994495312E-2</v>
      </c>
      <c r="J22" s="160"/>
      <c r="K22" s="1"/>
    </row>
    <row r="23" spans="1:11" x14ac:dyDescent="0.25">
      <c r="A23" s="1"/>
      <c r="B23" s="115"/>
      <c r="C23" s="162"/>
      <c r="D23" s="189"/>
      <c r="E23" s="190"/>
      <c r="F23" s="179"/>
      <c r="G23" s="191"/>
      <c r="H23" s="179"/>
      <c r="I23" s="181"/>
      <c r="J23" s="160"/>
      <c r="K23" s="1"/>
    </row>
    <row r="24" spans="1:11" x14ac:dyDescent="0.25">
      <c r="A24" s="1"/>
      <c r="B24" s="115"/>
      <c r="C24" s="162"/>
      <c r="D24" s="179"/>
      <c r="E24" s="162"/>
      <c r="F24" s="179">
        <v>1</v>
      </c>
      <c r="H24" s="179"/>
      <c r="I24" s="192"/>
      <c r="J24" s="160"/>
      <c r="K24" s="1"/>
    </row>
    <row r="25" spans="1:11" x14ac:dyDescent="0.25">
      <c r="A25" s="1"/>
      <c r="B25" s="115"/>
      <c r="C25" s="162" t="s">
        <v>314</v>
      </c>
      <c r="D25" s="179"/>
      <c r="E25" s="142" t="s">
        <v>86</v>
      </c>
      <c r="F25" s="142"/>
      <c r="G25" s="142"/>
      <c r="H25" s="179" t="s">
        <v>87</v>
      </c>
      <c r="I25" s="181">
        <f>1/(1-G26)</f>
        <v>1.0240272280426153</v>
      </c>
      <c r="J25" s="160"/>
      <c r="K25" s="1"/>
    </row>
    <row r="26" spans="1:11" x14ac:dyDescent="0.25">
      <c r="A26" s="1"/>
      <c r="B26" s="115"/>
      <c r="C26" s="162"/>
      <c r="D26" s="179"/>
      <c r="E26" s="162">
        <v>1</v>
      </c>
      <c r="F26" s="179" t="s">
        <v>88</v>
      </c>
      <c r="G26" s="185">
        <f>I22</f>
        <v>2.3463465994495312E-2</v>
      </c>
      <c r="H26" s="179"/>
      <c r="I26" s="181"/>
      <c r="J26" s="160"/>
      <c r="K26" s="1"/>
    </row>
    <row r="27" spans="1:11" x14ac:dyDescent="0.25">
      <c r="A27" s="1"/>
      <c r="B27" s="115"/>
      <c r="C27" s="162"/>
      <c r="D27" s="179"/>
      <c r="E27" s="162"/>
      <c r="F27" s="179"/>
      <c r="G27" s="185"/>
      <c r="H27" s="179"/>
      <c r="I27" s="181"/>
      <c r="J27" s="160"/>
      <c r="K27" s="1"/>
    </row>
    <row r="28" spans="1:11" x14ac:dyDescent="0.25">
      <c r="A28" s="1"/>
      <c r="B28" s="115"/>
      <c r="C28" s="162"/>
      <c r="D28" s="179"/>
      <c r="E28" s="193">
        <f>I25</f>
        <v>1.0240272280426153</v>
      </c>
      <c r="F28" s="179"/>
      <c r="G28" s="194">
        <f>$I$11</f>
        <v>106419</v>
      </c>
      <c r="H28" s="179"/>
      <c r="I28" s="181"/>
      <c r="J28" s="160"/>
      <c r="K28" s="1"/>
    </row>
    <row r="29" spans="1:11" x14ac:dyDescent="0.25">
      <c r="A29" s="1"/>
      <c r="B29" s="115"/>
      <c r="C29" s="272" t="s">
        <v>315</v>
      </c>
      <c r="D29" s="179"/>
      <c r="E29" s="179" t="s">
        <v>91</v>
      </c>
      <c r="F29" s="179" t="s">
        <v>90</v>
      </c>
      <c r="G29" s="179" t="s">
        <v>91</v>
      </c>
      <c r="H29" s="179" t="s">
        <v>87</v>
      </c>
      <c r="I29" s="196">
        <f>(I25/I15)*(+G28/G30)</f>
        <v>9.6794032103931935E-2</v>
      </c>
      <c r="J29" s="160"/>
      <c r="K29" s="1"/>
    </row>
    <row r="30" spans="1:11" x14ac:dyDescent="0.25">
      <c r="A30" s="1"/>
      <c r="B30" s="115"/>
      <c r="C30" s="162"/>
      <c r="D30" s="179"/>
      <c r="E30" s="193">
        <f>I15</f>
        <v>1.1546889477869604</v>
      </c>
      <c r="F30" s="179"/>
      <c r="G30" s="194">
        <f>$I$12</f>
        <v>975028</v>
      </c>
      <c r="H30" s="179"/>
      <c r="I30" s="196"/>
      <c r="J30" s="160"/>
      <c r="K30" s="1"/>
    </row>
    <row r="31" spans="1:11" x14ac:dyDescent="0.25">
      <c r="A31" s="1"/>
      <c r="B31" s="115"/>
      <c r="C31" s="162"/>
      <c r="D31" s="179"/>
      <c r="E31" s="193"/>
      <c r="F31" s="179"/>
      <c r="G31" s="194"/>
      <c r="H31" s="179"/>
      <c r="I31" s="196"/>
      <c r="J31" s="160"/>
      <c r="K31" s="1"/>
    </row>
    <row r="32" spans="1:11" x14ac:dyDescent="0.25">
      <c r="A32" s="1"/>
      <c r="B32" s="115"/>
      <c r="C32" s="162"/>
      <c r="D32" s="179"/>
      <c r="E32" s="194">
        <f>$I$11</f>
        <v>106419</v>
      </c>
      <c r="F32" s="179"/>
      <c r="G32" s="162"/>
      <c r="H32" s="179"/>
      <c r="I32" s="196"/>
      <c r="J32" s="160"/>
      <c r="K32" s="1"/>
    </row>
    <row r="33" spans="1:11" x14ac:dyDescent="0.25">
      <c r="A33" s="1"/>
      <c r="B33" s="115"/>
      <c r="C33" s="272" t="s">
        <v>316</v>
      </c>
      <c r="D33" s="179"/>
      <c r="E33" s="179" t="s">
        <v>91</v>
      </c>
      <c r="F33" s="179" t="s">
        <v>90</v>
      </c>
      <c r="G33" s="193">
        <f>I19</f>
        <v>0.17514505883078169</v>
      </c>
      <c r="H33" s="179" t="s">
        <v>87</v>
      </c>
      <c r="I33" s="196">
        <f>(+E32/E34)*I19</f>
        <v>1.9116130014433387E-2</v>
      </c>
      <c r="J33" s="160"/>
      <c r="K33" s="1"/>
    </row>
    <row r="34" spans="1:11" x14ac:dyDescent="0.25">
      <c r="A34" s="1"/>
      <c r="B34" s="115"/>
      <c r="C34" s="162"/>
      <c r="D34" s="179"/>
      <c r="E34" s="194">
        <f>$I$12</f>
        <v>975028</v>
      </c>
      <c r="F34" s="179"/>
      <c r="G34" s="162"/>
      <c r="H34" s="179"/>
      <c r="I34" s="196"/>
      <c r="J34" s="160"/>
      <c r="K34" s="1"/>
    </row>
    <row r="35" spans="1:11" x14ac:dyDescent="0.25">
      <c r="A35" s="1"/>
      <c r="B35" s="115"/>
      <c r="C35" s="162"/>
      <c r="D35" s="179"/>
      <c r="E35" s="162"/>
      <c r="F35" s="179"/>
      <c r="G35" s="162"/>
      <c r="H35" s="179"/>
      <c r="I35" s="196"/>
      <c r="J35" s="160"/>
      <c r="K35" s="1"/>
    </row>
    <row r="36" spans="1:11" x14ac:dyDescent="0.25">
      <c r="A36" s="1"/>
      <c r="B36" s="115"/>
      <c r="C36" s="162"/>
      <c r="D36" s="179"/>
      <c r="E36" s="162"/>
      <c r="F36" s="179"/>
      <c r="G36" s="194">
        <f>$I$11</f>
        <v>106419</v>
      </c>
      <c r="H36" s="179"/>
      <c r="I36" s="196"/>
      <c r="J36" s="160"/>
      <c r="K36" s="1"/>
    </row>
    <row r="37" spans="1:11" x14ac:dyDescent="0.25">
      <c r="A37" s="1"/>
      <c r="B37" s="115"/>
      <c r="C37" s="195" t="s">
        <v>92</v>
      </c>
      <c r="D37" s="179"/>
      <c r="E37" s="162"/>
      <c r="F37" s="179"/>
      <c r="G37" s="179" t="s">
        <v>91</v>
      </c>
      <c r="H37" s="179" t="s">
        <v>87</v>
      </c>
      <c r="I37" s="196">
        <f>G36/G38</f>
        <v>0.10914455789987569</v>
      </c>
      <c r="J37" s="160"/>
      <c r="K37" s="1"/>
    </row>
    <row r="38" spans="1:11" x14ac:dyDescent="0.25">
      <c r="A38" s="1"/>
      <c r="B38" s="115"/>
      <c r="C38" s="142"/>
      <c r="D38" s="197"/>
      <c r="E38" s="142"/>
      <c r="F38" s="197"/>
      <c r="G38" s="194">
        <f>$I$12</f>
        <v>975028</v>
      </c>
      <c r="H38" s="142"/>
      <c r="I38" s="198"/>
      <c r="J38" s="160"/>
      <c r="K38" s="1"/>
    </row>
    <row r="39" spans="1:11" x14ac:dyDescent="0.25">
      <c r="A39" s="1"/>
      <c r="B39" s="133"/>
      <c r="C39" s="161"/>
      <c r="D39" s="199"/>
      <c r="E39" s="161"/>
      <c r="F39" s="199"/>
      <c r="G39" s="161"/>
      <c r="H39" s="161"/>
      <c r="I39" s="161"/>
      <c r="J39" s="200"/>
      <c r="K39" s="1"/>
    </row>
    <row r="40" spans="1:11" x14ac:dyDescent="0.25">
      <c r="A40" s="1"/>
      <c r="B40" s="1"/>
      <c r="C40" s="178"/>
      <c r="D40" s="201"/>
      <c r="E40" s="178"/>
      <c r="F40" s="201"/>
      <c r="G40" s="178"/>
      <c r="H40" s="178"/>
      <c r="I40" s="178"/>
      <c r="J40" s="178"/>
      <c r="K40" s="1"/>
    </row>
  </sheetData>
  <mergeCells count="3">
    <mergeCell ref="C1:I1"/>
    <mergeCell ref="C2:I2"/>
    <mergeCell ref="C4:I4"/>
  </mergeCells>
  <printOptions horizontalCentered="1"/>
  <pageMargins left="0.75" right="0.5" top="1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J32"/>
  <sheetViews>
    <sheetView workbookViewId="0"/>
    <sheetView workbookViewId="1"/>
  </sheetViews>
  <sheetFormatPr defaultColWidth="8.77734375" defaultRowHeight="15" x14ac:dyDescent="0.25"/>
  <cols>
    <col min="1" max="1" width="4.5546875" style="19" customWidth="1"/>
    <col min="2" max="2" width="29.44140625" style="19" customWidth="1"/>
    <col min="3" max="8" width="9.5546875" style="19" customWidth="1"/>
    <col min="9" max="16384" width="8.77734375" style="19"/>
  </cols>
  <sheetData>
    <row r="1" spans="2:8" x14ac:dyDescent="0.25">
      <c r="B1" s="22"/>
      <c r="C1" s="23"/>
      <c r="D1" s="23"/>
      <c r="E1" s="23"/>
      <c r="F1" s="23"/>
      <c r="G1" s="23"/>
      <c r="H1" s="24"/>
    </row>
    <row r="2" spans="2:8" ht="18.75" x14ac:dyDescent="0.3">
      <c r="B2" s="479" t="s">
        <v>491</v>
      </c>
      <c r="C2" s="477"/>
      <c r="D2" s="477"/>
      <c r="E2" s="477"/>
      <c r="F2" s="477"/>
      <c r="G2" s="477"/>
      <c r="H2" s="480"/>
    </row>
    <row r="3" spans="2:8" ht="18.75" x14ac:dyDescent="0.3">
      <c r="B3" s="93" t="s">
        <v>177</v>
      </c>
      <c r="C3" s="94"/>
      <c r="D3" s="94"/>
      <c r="E3" s="94"/>
      <c r="F3" s="94"/>
      <c r="G3" s="94"/>
      <c r="H3" s="95"/>
    </row>
    <row r="4" spans="2:8" ht="15.75" x14ac:dyDescent="0.25">
      <c r="B4" s="481" t="s">
        <v>242</v>
      </c>
      <c r="C4" s="476"/>
      <c r="D4" s="476"/>
      <c r="E4" s="476"/>
      <c r="F4" s="476"/>
      <c r="G4" s="476"/>
      <c r="H4" s="482"/>
    </row>
    <row r="5" spans="2:8" ht="15.75" x14ac:dyDescent="0.25">
      <c r="B5" s="450"/>
      <c r="C5" s="451"/>
      <c r="D5" s="451"/>
      <c r="E5" s="451"/>
      <c r="F5" s="451"/>
      <c r="G5" s="451"/>
      <c r="H5" s="452"/>
    </row>
    <row r="6" spans="2:8" ht="15.75" x14ac:dyDescent="0.25">
      <c r="B6" s="96"/>
      <c r="C6" s="94"/>
      <c r="D6" s="94"/>
      <c r="E6" s="94"/>
      <c r="F6" s="94"/>
      <c r="G6" s="94"/>
      <c r="H6" s="95"/>
    </row>
    <row r="7" spans="2:8" ht="17.25" x14ac:dyDescent="0.4">
      <c r="B7" s="25"/>
      <c r="C7" s="204" t="s">
        <v>123</v>
      </c>
      <c r="E7" s="97" t="s">
        <v>55</v>
      </c>
      <c r="F7" s="97" t="s">
        <v>174</v>
      </c>
      <c r="G7" s="97" t="s">
        <v>56</v>
      </c>
      <c r="H7" s="98"/>
    </row>
    <row r="8" spans="2:8" x14ac:dyDescent="0.25">
      <c r="B8" s="25"/>
      <c r="C8" s="203" t="s">
        <v>156</v>
      </c>
      <c r="D8" s="97" t="s">
        <v>393</v>
      </c>
      <c r="E8" s="97" t="s">
        <v>57</v>
      </c>
      <c r="F8" s="97" t="s">
        <v>176</v>
      </c>
      <c r="G8" s="97" t="s">
        <v>58</v>
      </c>
      <c r="H8" s="98" t="s">
        <v>31</v>
      </c>
    </row>
    <row r="9" spans="2:8" x14ac:dyDescent="0.25">
      <c r="B9" s="25"/>
      <c r="C9" s="17"/>
      <c r="D9" s="17"/>
      <c r="E9" s="17"/>
      <c r="F9" s="17"/>
      <c r="G9" s="17"/>
      <c r="H9" s="26"/>
    </row>
    <row r="10" spans="2:8" x14ac:dyDescent="0.25">
      <c r="B10" s="91" t="s">
        <v>382</v>
      </c>
      <c r="C10" s="17">
        <f>SUM(Depr!I13:I15)</f>
        <v>43221.6008</v>
      </c>
      <c r="D10" s="17">
        <f>C10/7*3</f>
        <v>18523.5432</v>
      </c>
      <c r="E10" s="17">
        <f>C10-D10</f>
        <v>24698.0576</v>
      </c>
      <c r="F10" s="17"/>
      <c r="G10" s="17"/>
      <c r="H10" s="26"/>
    </row>
    <row r="11" spans="2:8" x14ac:dyDescent="0.25">
      <c r="B11" s="91" t="s">
        <v>383</v>
      </c>
      <c r="C11" s="17">
        <f>SUM(Depr!I18:I20)</f>
        <v>101062.73333333334</v>
      </c>
      <c r="D11" s="17"/>
      <c r="E11" s="17"/>
      <c r="F11" s="17">
        <f>C11</f>
        <v>101062.73333333334</v>
      </c>
      <c r="G11" s="17"/>
      <c r="H11" s="26"/>
    </row>
    <row r="12" spans="2:8" x14ac:dyDescent="0.25">
      <c r="B12" s="91" t="s">
        <v>384</v>
      </c>
      <c r="C12" s="17">
        <f>Depr!I23</f>
        <v>184557.264</v>
      </c>
      <c r="D12" s="17"/>
      <c r="E12" s="17">
        <f>C12</f>
        <v>184557.264</v>
      </c>
      <c r="F12" s="17"/>
      <c r="G12" s="17"/>
      <c r="H12" s="26"/>
    </row>
    <row r="13" spans="2:8" x14ac:dyDescent="0.25">
      <c r="B13" s="91" t="s">
        <v>385</v>
      </c>
      <c r="C13" s="17">
        <f>SUM(Depr!I26:I27)</f>
        <v>165176.12325</v>
      </c>
      <c r="D13" s="17"/>
      <c r="E13" s="17"/>
      <c r="F13" s="17"/>
      <c r="G13" s="17"/>
      <c r="H13" s="26">
        <f>C13</f>
        <v>165176.12325</v>
      </c>
    </row>
    <row r="14" spans="2:8" x14ac:dyDescent="0.25">
      <c r="B14" s="91" t="s">
        <v>386</v>
      </c>
      <c r="C14" s="17">
        <f>Depr!I30</f>
        <v>20594</v>
      </c>
      <c r="D14" s="17"/>
      <c r="E14" s="17"/>
      <c r="F14" s="17"/>
      <c r="G14" s="17"/>
      <c r="H14" s="26">
        <f>C14</f>
        <v>20594</v>
      </c>
    </row>
    <row r="15" spans="2:8" x14ac:dyDescent="0.25">
      <c r="B15" s="91" t="s">
        <v>387</v>
      </c>
      <c r="C15" s="17">
        <f>SUM(Depr!I33:I34)</f>
        <v>2424.4126222222217</v>
      </c>
      <c r="D15" s="17"/>
      <c r="E15" s="17"/>
      <c r="F15" s="17"/>
      <c r="G15" s="17">
        <f>C15*0.4</f>
        <v>969.76504888888871</v>
      </c>
      <c r="H15" s="26">
        <f>C15-G15</f>
        <v>1454.647573333333</v>
      </c>
    </row>
    <row r="16" spans="2:8" x14ac:dyDescent="0.25">
      <c r="B16" s="91" t="s">
        <v>388</v>
      </c>
      <c r="C16" s="17">
        <f>SUM(Depr!I37:I38)</f>
        <v>6063.8776666666672</v>
      </c>
      <c r="D16" s="17"/>
      <c r="E16" s="17"/>
      <c r="F16" s="17"/>
      <c r="G16" s="17">
        <f>C16</f>
        <v>6063.8776666666672</v>
      </c>
      <c r="H16" s="26"/>
    </row>
    <row r="17" spans="2:10" x14ac:dyDescent="0.25">
      <c r="B17" s="205" t="s">
        <v>199</v>
      </c>
      <c r="C17" s="17">
        <f>SUM(C10:C16)</f>
        <v>523100.01167222229</v>
      </c>
      <c r="D17" s="17">
        <f>SUM(D10:D16)</f>
        <v>18523.5432</v>
      </c>
      <c r="E17" s="17">
        <f t="shared" ref="E17:H17" si="0">SUM(E10:E16)</f>
        <v>209255.3216</v>
      </c>
      <c r="F17" s="17">
        <f t="shared" si="0"/>
        <v>101062.73333333334</v>
      </c>
      <c r="G17" s="17">
        <f t="shared" si="0"/>
        <v>7033.6427155555557</v>
      </c>
      <c r="H17" s="26">
        <f t="shared" si="0"/>
        <v>187224.77082333333</v>
      </c>
      <c r="J17" s="19">
        <f>SUM(D17:H17)</f>
        <v>523100.01167222217</v>
      </c>
    </row>
    <row r="18" spans="2:10" x14ac:dyDescent="0.25">
      <c r="B18" s="205" t="s">
        <v>200</v>
      </c>
      <c r="C18" s="17"/>
      <c r="D18" s="28">
        <f>D17/$C$17</f>
        <v>3.5411093073358539E-2</v>
      </c>
      <c r="E18" s="28">
        <f>E17/$C$17</f>
        <v>0.40002928107583502</v>
      </c>
      <c r="F18" s="28">
        <f>F17/$C$17</f>
        <v>0.19319963884202679</v>
      </c>
      <c r="G18" s="28">
        <f>G17/$C$17</f>
        <v>1.344607638809016E-2</v>
      </c>
      <c r="H18" s="45">
        <f>H17/$C$17</f>
        <v>0.35791391062068934</v>
      </c>
    </row>
    <row r="19" spans="2:10" x14ac:dyDescent="0.25">
      <c r="B19" s="91" t="s">
        <v>389</v>
      </c>
      <c r="C19" s="17">
        <f>Depr!I41</f>
        <v>26002.842857142856</v>
      </c>
      <c r="D19" s="17"/>
      <c r="E19" s="17"/>
      <c r="F19" s="17"/>
      <c r="G19" s="17"/>
      <c r="H19" s="26"/>
    </row>
    <row r="20" spans="2:10" x14ac:dyDescent="0.25">
      <c r="B20" s="91" t="s">
        <v>390</v>
      </c>
      <c r="C20" s="17">
        <f>SUM(Depr!I44:I45)</f>
        <v>2219.6714285714284</v>
      </c>
      <c r="D20" s="17"/>
      <c r="E20" s="17"/>
      <c r="F20" s="17"/>
      <c r="G20" s="17"/>
      <c r="H20" s="26"/>
    </row>
    <row r="21" spans="2:10" x14ac:dyDescent="0.25">
      <c r="B21" s="91" t="s">
        <v>391</v>
      </c>
      <c r="C21" s="17">
        <f>Depr!I48</f>
        <v>5598.24</v>
      </c>
      <c r="D21" s="17"/>
      <c r="E21" s="17"/>
      <c r="F21" s="17"/>
      <c r="G21" s="17"/>
      <c r="H21" s="26"/>
    </row>
    <row r="22" spans="2:10" x14ac:dyDescent="0.25">
      <c r="B22" s="91" t="s">
        <v>392</v>
      </c>
      <c r="C22" s="17">
        <f>Depr!I51</f>
        <v>220497.7</v>
      </c>
      <c r="D22" s="17"/>
      <c r="E22" s="17"/>
      <c r="F22" s="17"/>
      <c r="G22" s="17"/>
      <c r="H22" s="26"/>
    </row>
    <row r="23" spans="2:10" x14ac:dyDescent="0.25">
      <c r="B23" s="205" t="s">
        <v>201</v>
      </c>
      <c r="C23" s="17">
        <f>SUM(C19:C22)</f>
        <v>254318.45428571431</v>
      </c>
      <c r="D23" s="17"/>
      <c r="E23" s="17"/>
      <c r="F23" s="17"/>
      <c r="G23" s="17"/>
      <c r="H23" s="26"/>
    </row>
    <row r="24" spans="2:10" x14ac:dyDescent="0.25">
      <c r="B24" s="91" t="s">
        <v>202</v>
      </c>
      <c r="C24" s="17"/>
      <c r="D24" s="17">
        <f>$C$23*D18</f>
        <v>9005.6944549841082</v>
      </c>
      <c r="E24" s="17">
        <f>$C$23*E18</f>
        <v>101734.82843223191</v>
      </c>
      <c r="F24" s="17">
        <f>$C$23*F18</f>
        <v>49134.233518862507</v>
      </c>
      <c r="G24" s="17">
        <f>$C$23*G18</f>
        <v>3419.5853632267299</v>
      </c>
      <c r="H24" s="26">
        <f>$C$23*H18</f>
        <v>91024.112516409019</v>
      </c>
      <c r="J24" s="19">
        <f>SUM(D24:I24)</f>
        <v>254318.45428571428</v>
      </c>
    </row>
    <row r="25" spans="2:10" x14ac:dyDescent="0.25">
      <c r="B25" s="91"/>
      <c r="C25" s="17"/>
      <c r="D25" s="17"/>
      <c r="E25" s="17"/>
      <c r="F25" s="17"/>
      <c r="G25" s="17"/>
      <c r="H25" s="26"/>
    </row>
    <row r="26" spans="2:10" x14ac:dyDescent="0.25">
      <c r="B26" s="99" t="s">
        <v>178</v>
      </c>
      <c r="C26" s="39">
        <f>C17+C23</f>
        <v>777418.4659579366</v>
      </c>
      <c r="D26" s="39">
        <f>D17+D24</f>
        <v>27529.237654984106</v>
      </c>
      <c r="E26" s="39">
        <f>E17+E24</f>
        <v>310990.15003223193</v>
      </c>
      <c r="F26" s="39">
        <f>F17+F24</f>
        <v>150196.96685219585</v>
      </c>
      <c r="G26" s="39">
        <f>G17+G24</f>
        <v>10453.228078782286</v>
      </c>
      <c r="H26" s="100">
        <f>H17+H24</f>
        <v>278248.88333974232</v>
      </c>
      <c r="J26" s="19">
        <f>SUM(D26:H26)</f>
        <v>777418.46595793648</v>
      </c>
    </row>
    <row r="27" spans="2:10" x14ac:dyDescent="0.25">
      <c r="B27" s="29"/>
      <c r="C27" s="16"/>
      <c r="D27" s="16"/>
      <c r="E27" s="16"/>
      <c r="F27" s="16"/>
      <c r="G27" s="16"/>
      <c r="H27" s="30"/>
    </row>
    <row r="29" spans="2:10" x14ac:dyDescent="0.25">
      <c r="J29" s="19">
        <f>SUM(D29:H29)</f>
        <v>0</v>
      </c>
    </row>
    <row r="32" spans="2:10" x14ac:dyDescent="0.25">
      <c r="C32" s="34"/>
    </row>
  </sheetData>
  <mergeCells count="2">
    <mergeCell ref="B2:H2"/>
    <mergeCell ref="B4:H4"/>
  </mergeCells>
  <printOptions horizontalCentered="1"/>
  <pageMargins left="0.95" right="0.7" top="1.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N314"/>
  <sheetViews>
    <sheetView workbookViewId="0"/>
    <sheetView workbookViewId="1"/>
  </sheetViews>
  <sheetFormatPr defaultRowHeight="15" x14ac:dyDescent="0.2"/>
  <cols>
    <col min="1" max="1" width="1.109375" customWidth="1"/>
    <col min="2" max="2" width="27.88671875" customWidth="1"/>
    <col min="3" max="3" width="10.6640625" customWidth="1"/>
    <col min="4" max="4" width="9.77734375" customWidth="1"/>
    <col min="5" max="6" width="10.44140625" customWidth="1"/>
    <col min="7" max="7" width="8.88671875" customWidth="1"/>
    <col min="8" max="8" width="9.77734375" customWidth="1"/>
    <col min="9" max="9" width="1.33203125" customWidth="1"/>
    <col min="11" max="11" width="11" bestFit="1" customWidth="1"/>
  </cols>
  <sheetData>
    <row r="1" spans="1:40" ht="15.75" x14ac:dyDescent="0.25">
      <c r="A1" s="112"/>
      <c r="B1" s="112"/>
      <c r="C1" s="113"/>
      <c r="D1" s="113"/>
      <c r="E1" s="113"/>
      <c r="F1" s="113"/>
      <c r="G1" s="113"/>
      <c r="H1" s="113"/>
      <c r="I1" s="1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8.75" x14ac:dyDescent="0.3">
      <c r="A2" s="115"/>
      <c r="B2" s="479" t="s">
        <v>187</v>
      </c>
      <c r="C2" s="477"/>
      <c r="D2" s="477"/>
      <c r="E2" s="477"/>
      <c r="F2" s="477"/>
      <c r="G2" s="477"/>
      <c r="H2" s="477"/>
      <c r="I2" s="2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.75" x14ac:dyDescent="0.3">
      <c r="A3" s="115"/>
      <c r="B3" s="222" t="s">
        <v>397</v>
      </c>
      <c r="C3" s="4"/>
      <c r="D3" s="4"/>
      <c r="E3" s="4"/>
      <c r="F3" s="4"/>
      <c r="G3" s="4"/>
      <c r="H3" s="4"/>
      <c r="I3" s="2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5.75" x14ac:dyDescent="0.25">
      <c r="A4" s="115"/>
      <c r="B4" s="481" t="s">
        <v>242</v>
      </c>
      <c r="C4" s="476"/>
      <c r="D4" s="476"/>
      <c r="E4" s="476"/>
      <c r="F4" s="476"/>
      <c r="G4" s="476"/>
      <c r="H4" s="476"/>
      <c r="I4" s="2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5.75" x14ac:dyDescent="0.25">
      <c r="A5" s="115"/>
      <c r="B5" s="354"/>
      <c r="C5" s="355"/>
      <c r="D5" s="355"/>
      <c r="E5" s="355"/>
      <c r="F5" s="355"/>
      <c r="G5" s="355"/>
      <c r="H5" s="355"/>
      <c r="I5" s="2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x14ac:dyDescent="0.25">
      <c r="A6" s="115"/>
      <c r="B6" s="223"/>
      <c r="C6" s="146"/>
      <c r="D6" s="146"/>
      <c r="E6" s="146"/>
      <c r="F6" s="146"/>
      <c r="G6" s="146"/>
      <c r="H6" s="146"/>
      <c r="I6" s="21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5.75" x14ac:dyDescent="0.25">
      <c r="A7" s="115"/>
      <c r="B7" s="223"/>
      <c r="C7" s="217" t="s">
        <v>16</v>
      </c>
      <c r="D7" s="292" t="s">
        <v>210</v>
      </c>
      <c r="E7" s="292" t="s">
        <v>55</v>
      </c>
      <c r="F7" s="97" t="s">
        <v>174</v>
      </c>
      <c r="G7" s="292" t="s">
        <v>56</v>
      </c>
      <c r="H7" s="292"/>
      <c r="I7" s="21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5.75" x14ac:dyDescent="0.25">
      <c r="A8" s="115"/>
      <c r="B8" s="223"/>
      <c r="C8" s="292" t="s">
        <v>33</v>
      </c>
      <c r="D8" s="292" t="s">
        <v>393</v>
      </c>
      <c r="E8" s="292" t="s">
        <v>57</v>
      </c>
      <c r="F8" s="97" t="s">
        <v>176</v>
      </c>
      <c r="G8" s="292" t="s">
        <v>58</v>
      </c>
      <c r="H8" s="292" t="s">
        <v>31</v>
      </c>
      <c r="I8" s="2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8.1" customHeight="1" x14ac:dyDescent="0.25">
      <c r="A9" s="115"/>
      <c r="B9" s="223"/>
      <c r="C9" s="292"/>
      <c r="D9" s="292"/>
      <c r="E9" s="292"/>
      <c r="F9" s="97"/>
      <c r="G9" s="292"/>
      <c r="H9" s="292"/>
      <c r="I9" s="21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5.75" x14ac:dyDescent="0.25">
      <c r="A10" s="115"/>
      <c r="B10" s="223" t="s">
        <v>396</v>
      </c>
      <c r="C10" s="153">
        <f>15358+79224</f>
        <v>94582</v>
      </c>
      <c r="D10" s="146"/>
      <c r="E10" s="146">
        <f>C10*0.2</f>
        <v>18916.400000000001</v>
      </c>
      <c r="F10" s="146">
        <f>C10-E10-G10</f>
        <v>56749.200000000004</v>
      </c>
      <c r="G10" s="146">
        <f>C10*0.2</f>
        <v>18916.400000000001</v>
      </c>
      <c r="H10" s="146"/>
      <c r="I10" s="2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5.75" x14ac:dyDescent="0.25">
      <c r="A11" s="115"/>
      <c r="B11" s="91" t="s">
        <v>382</v>
      </c>
      <c r="C11" s="153">
        <f>1638844+36189</f>
        <v>1675033</v>
      </c>
      <c r="D11" s="17">
        <f>C11/7*3</f>
        <v>717871.28571428568</v>
      </c>
      <c r="E11" s="17">
        <f>C11-D11</f>
        <v>957161.71428571432</v>
      </c>
      <c r="F11" s="17"/>
      <c r="G11" s="17"/>
      <c r="H11" s="153"/>
      <c r="I11" s="2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5.75" x14ac:dyDescent="0.25">
      <c r="A12" s="115"/>
      <c r="B12" s="91" t="s">
        <v>383</v>
      </c>
      <c r="C12" s="153">
        <v>4130469</v>
      </c>
      <c r="D12" s="153"/>
      <c r="E12" s="153"/>
      <c r="F12" s="153">
        <f>C12</f>
        <v>4130469</v>
      </c>
      <c r="G12" s="153"/>
      <c r="H12" s="153"/>
      <c r="I12" s="21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5.75" x14ac:dyDescent="0.25">
      <c r="A13" s="115"/>
      <c r="B13" s="91" t="s">
        <v>384</v>
      </c>
      <c r="C13" s="153">
        <v>11534829</v>
      </c>
      <c r="D13" s="153"/>
      <c r="E13" s="153">
        <f>C13</f>
        <v>11534829</v>
      </c>
      <c r="F13" s="153"/>
      <c r="G13" s="153"/>
      <c r="H13" s="153"/>
      <c r="I13" s="2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5.75" x14ac:dyDescent="0.25">
      <c r="A14" s="115"/>
      <c r="B14" s="91" t="s">
        <v>385</v>
      </c>
      <c r="C14" s="153">
        <v>5693583</v>
      </c>
      <c r="D14" s="153"/>
      <c r="E14" s="153"/>
      <c r="F14" s="153"/>
      <c r="G14" s="153"/>
      <c r="H14" s="153">
        <f>C14</f>
        <v>5693583</v>
      </c>
      <c r="I14" s="2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5.75" x14ac:dyDescent="0.25">
      <c r="A15" s="115"/>
      <c r="B15" s="91" t="s">
        <v>386</v>
      </c>
      <c r="C15" s="153">
        <v>1029700</v>
      </c>
      <c r="D15" s="153"/>
      <c r="E15" s="153"/>
      <c r="F15" s="153"/>
      <c r="G15" s="153"/>
      <c r="H15" s="153">
        <f>C15</f>
        <v>1029700</v>
      </c>
      <c r="I15" s="21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5.75" x14ac:dyDescent="0.25">
      <c r="A16" s="115"/>
      <c r="B16" s="91" t="s">
        <v>387</v>
      </c>
      <c r="C16" s="153">
        <v>326593</v>
      </c>
      <c r="D16" s="153"/>
      <c r="E16" s="153"/>
      <c r="F16" s="153"/>
      <c r="G16" s="153">
        <f>C16*0.4</f>
        <v>130637.20000000001</v>
      </c>
      <c r="H16" s="153">
        <f>C16-G16</f>
        <v>195955.8</v>
      </c>
      <c r="I16" s="21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5.75" x14ac:dyDescent="0.25">
      <c r="A17" s="115"/>
      <c r="B17" s="91" t="s">
        <v>388</v>
      </c>
      <c r="C17" s="153">
        <v>144669</v>
      </c>
      <c r="D17" s="153"/>
      <c r="E17" s="153"/>
      <c r="F17" s="153"/>
      <c r="G17" s="153">
        <f>C17</f>
        <v>144669</v>
      </c>
      <c r="H17" s="153"/>
      <c r="I17" s="2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5.75" x14ac:dyDescent="0.25">
      <c r="A18" s="115"/>
      <c r="B18" s="220" t="s">
        <v>199</v>
      </c>
      <c r="C18" s="216">
        <f>SUM(C10:C17)</f>
        <v>24629458</v>
      </c>
      <c r="D18" s="6">
        <f t="shared" ref="D18:H18" si="0">SUM(D10:D17)</f>
        <v>717871.28571428568</v>
      </c>
      <c r="E18" s="6">
        <f t="shared" si="0"/>
        <v>12510907.114285715</v>
      </c>
      <c r="F18" s="6">
        <f t="shared" si="0"/>
        <v>4187218.2</v>
      </c>
      <c r="G18" s="6">
        <f t="shared" si="0"/>
        <v>294222.59999999998</v>
      </c>
      <c r="H18" s="6">
        <f t="shared" si="0"/>
        <v>6919238.7999999998</v>
      </c>
      <c r="I18" s="210"/>
      <c r="J18" s="1"/>
      <c r="K18" s="2">
        <f>SUM(D18:H18)</f>
        <v>24629458.000000004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5.75" x14ac:dyDescent="0.25">
      <c r="A19" s="115"/>
      <c r="B19" s="220" t="s">
        <v>200</v>
      </c>
      <c r="C19" s="153"/>
      <c r="D19" s="218">
        <f>D18/$C$18</f>
        <v>2.9146856813263438E-2</v>
      </c>
      <c r="E19" s="218">
        <f t="shared" ref="E19:H19" si="1">E18/$C$18</f>
        <v>0.50796518194942475</v>
      </c>
      <c r="F19" s="218">
        <f t="shared" si="1"/>
        <v>0.17000854017981232</v>
      </c>
      <c r="G19" s="218">
        <f t="shared" si="1"/>
        <v>1.1945963244501766E-2</v>
      </c>
      <c r="H19" s="218">
        <f t="shared" si="1"/>
        <v>0.28093345781299772</v>
      </c>
      <c r="I19" s="210"/>
      <c r="J19" s="1"/>
      <c r="K19" s="213">
        <f>SUM(D19:H19)</f>
        <v>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8.1" customHeight="1" x14ac:dyDescent="0.25">
      <c r="A20" s="115"/>
      <c r="B20" s="220"/>
      <c r="C20" s="153"/>
      <c r="D20" s="218"/>
      <c r="E20" s="218"/>
      <c r="F20" s="218"/>
      <c r="G20" s="218"/>
      <c r="H20" s="218"/>
      <c r="I20" s="210"/>
      <c r="J20" s="1"/>
      <c r="K20" s="21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5.75" x14ac:dyDescent="0.25">
      <c r="A21" s="115"/>
      <c r="B21" s="91" t="s">
        <v>389</v>
      </c>
      <c r="C21" s="153">
        <v>242704</v>
      </c>
      <c r="D21" s="153"/>
      <c r="E21" s="153"/>
      <c r="F21" s="153"/>
      <c r="G21" s="153"/>
      <c r="H21" s="153"/>
      <c r="I21" s="2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5.75" x14ac:dyDescent="0.25">
      <c r="A22" s="115"/>
      <c r="B22" s="91" t="s">
        <v>390</v>
      </c>
      <c r="C22" s="153">
        <v>38933</v>
      </c>
      <c r="D22" s="153"/>
      <c r="E22" s="153"/>
      <c r="F22" s="153"/>
      <c r="G22" s="153"/>
      <c r="H22" s="153"/>
      <c r="I22" s="2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5.75" x14ac:dyDescent="0.25">
      <c r="A23" s="115"/>
      <c r="B23" s="91" t="s">
        <v>391</v>
      </c>
      <c r="C23" s="153">
        <v>199961</v>
      </c>
      <c r="D23" s="153"/>
      <c r="E23" s="153"/>
      <c r="F23" s="153"/>
      <c r="G23" s="153"/>
      <c r="H23" s="153"/>
      <c r="I23" s="2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5.75" x14ac:dyDescent="0.25">
      <c r="A24" s="115"/>
      <c r="B24" s="91" t="s">
        <v>392</v>
      </c>
      <c r="C24" s="153">
        <v>2204977</v>
      </c>
      <c r="D24" s="153"/>
      <c r="E24" s="153"/>
      <c r="F24" s="153"/>
      <c r="G24" s="153"/>
      <c r="H24" s="153"/>
      <c r="I24" s="2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8.1" customHeight="1" x14ac:dyDescent="0.25">
      <c r="A25" s="115"/>
      <c r="B25" s="219"/>
      <c r="C25" s="153"/>
      <c r="D25" s="153"/>
      <c r="E25" s="153"/>
      <c r="F25" s="153"/>
      <c r="G25" s="153"/>
      <c r="H25" s="153"/>
      <c r="I25" s="2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5.75" x14ac:dyDescent="0.25">
      <c r="A26" s="115"/>
      <c r="B26" s="220" t="s">
        <v>201</v>
      </c>
      <c r="C26" s="153">
        <f>SUM(C21:C25)</f>
        <v>2686575</v>
      </c>
      <c r="D26" s="153"/>
      <c r="E26" s="153"/>
      <c r="F26" s="153"/>
      <c r="G26" s="153"/>
      <c r="H26" s="153"/>
      <c r="I26" s="2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5.75" x14ac:dyDescent="0.25">
      <c r="A27" s="115"/>
      <c r="B27" s="219" t="s">
        <v>202</v>
      </c>
      <c r="C27" s="153"/>
      <c r="D27" s="153">
        <f>$C$26*D19</f>
        <v>78305.216843093222</v>
      </c>
      <c r="E27" s="153">
        <f t="shared" ref="E27:H27" si="2">$C$26*E19</f>
        <v>1364686.5586957757</v>
      </c>
      <c r="F27" s="153">
        <f t="shared" si="2"/>
        <v>456740.69383357925</v>
      </c>
      <c r="G27" s="153">
        <f t="shared" si="2"/>
        <v>32093.726203597333</v>
      </c>
      <c r="H27" s="153">
        <f t="shared" si="2"/>
        <v>754748.80442395434</v>
      </c>
      <c r="I27" s="210"/>
      <c r="J27" s="1"/>
      <c r="K27" s="2">
        <f>SUM(D27:H27)</f>
        <v>2686575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5.0999999999999996" customHeight="1" x14ac:dyDescent="0.25">
      <c r="A28" s="115"/>
      <c r="B28" s="219"/>
      <c r="C28" s="211"/>
      <c r="D28" s="211"/>
      <c r="E28" s="211"/>
      <c r="F28" s="211"/>
      <c r="G28" s="211"/>
      <c r="H28" s="211"/>
      <c r="I28" s="2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5.75" x14ac:dyDescent="0.25">
      <c r="A29" s="115"/>
      <c r="B29" s="221" t="s">
        <v>178</v>
      </c>
      <c r="C29" s="211">
        <f>C18+C26</f>
        <v>27316033</v>
      </c>
      <c r="D29" s="211">
        <f>D27+D18</f>
        <v>796176.50255737896</v>
      </c>
      <c r="E29" s="211">
        <f t="shared" ref="E29:H29" si="3">E27+E18</f>
        <v>13875593.672981491</v>
      </c>
      <c r="F29" s="211">
        <f t="shared" si="3"/>
        <v>4643958.8938335795</v>
      </c>
      <c r="G29" s="211">
        <f t="shared" si="3"/>
        <v>326316.3262035973</v>
      </c>
      <c r="H29" s="211">
        <f t="shared" si="3"/>
        <v>7673987.6044239542</v>
      </c>
      <c r="I29" s="210"/>
      <c r="J29" s="1"/>
      <c r="K29" s="2">
        <f>SUM(D29:H29)</f>
        <v>27316033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5.75" x14ac:dyDescent="0.25">
      <c r="A30" s="115"/>
      <c r="B30" s="109" t="s">
        <v>211</v>
      </c>
      <c r="C30" s="146">
        <v>27316033</v>
      </c>
      <c r="D30" s="218">
        <f>D29/$C$29</f>
        <v>2.9146856813263441E-2</v>
      </c>
      <c r="E30" s="218">
        <f t="shared" ref="E30:H30" si="4">E29/$C$29</f>
        <v>0.50796518194942475</v>
      </c>
      <c r="F30" s="218">
        <f t="shared" si="4"/>
        <v>0.17000854017981232</v>
      </c>
      <c r="G30" s="218">
        <f t="shared" si="4"/>
        <v>1.1945963244501766E-2</v>
      </c>
      <c r="H30" s="218">
        <f t="shared" si="4"/>
        <v>0.28093345781299772</v>
      </c>
      <c r="I30" s="210"/>
      <c r="J30" s="1"/>
      <c r="K30" s="213">
        <f>SUM(D30:H30)</f>
        <v>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5.75" x14ac:dyDescent="0.25">
      <c r="A31" s="115"/>
      <c r="B31" s="109"/>
      <c r="C31" s="146"/>
      <c r="D31" s="224"/>
      <c r="E31" s="224"/>
      <c r="F31" s="224"/>
      <c r="G31" s="224"/>
      <c r="H31" s="224"/>
      <c r="I31" s="2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5.75" x14ac:dyDescent="0.25">
      <c r="A32" s="115"/>
      <c r="B32" s="109" t="s">
        <v>398</v>
      </c>
      <c r="C32" s="212">
        <f>SAO!I46-SAO!I44+SAO!I47</f>
        <v>820960.93989320006</v>
      </c>
      <c r="D32" s="212">
        <f>$C$32*D30</f>
        <v>23928.430964349278</v>
      </c>
      <c r="E32" s="212">
        <f t="shared" ref="E32:H32" si="5">$C$32*E30</f>
        <v>417019.57320622011</v>
      </c>
      <c r="F32" s="212">
        <f t="shared" si="5"/>
        <v>139570.3709358896</v>
      </c>
      <c r="G32" s="212">
        <f t="shared" si="5"/>
        <v>9807.1692131357922</v>
      </c>
      <c r="H32" s="212">
        <f t="shared" si="5"/>
        <v>230635.39557360529</v>
      </c>
      <c r="I32" s="21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5.75" x14ac:dyDescent="0.25">
      <c r="A33" s="117"/>
      <c r="B33" s="225"/>
      <c r="C33" s="214"/>
      <c r="D33" s="214"/>
      <c r="E33" s="214"/>
      <c r="F33" s="214"/>
      <c r="G33" s="214"/>
      <c r="H33" s="214"/>
      <c r="I33" s="21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5.75" x14ac:dyDescent="0.25"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5.75" x14ac:dyDescent="0.25"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5.75" x14ac:dyDescent="0.25"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5.75" x14ac:dyDescent="0.25"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5.75" x14ac:dyDescent="0.25"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5.75" x14ac:dyDescent="0.25"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5.75" x14ac:dyDescent="0.25"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.75" x14ac:dyDescent="0.25"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5.75" x14ac:dyDescent="0.25"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5.75" x14ac:dyDescent="0.25"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5.75" x14ac:dyDescent="0.25"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5.75" x14ac:dyDescent="0.25"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5.75" x14ac:dyDescent="0.25"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5.75" x14ac:dyDescent="0.25"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5.75" x14ac:dyDescent="0.25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0:40" ht="15.75" x14ac:dyDescent="0.25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0:40" ht="15.75" x14ac:dyDescent="0.25"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0:40" ht="15.75" x14ac:dyDescent="0.25"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0:40" ht="15.75" x14ac:dyDescent="0.25"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0:40" ht="15.75" x14ac:dyDescent="0.25"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0:40" ht="15.75" x14ac:dyDescent="0.25"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0:40" ht="15.75" x14ac:dyDescent="0.25"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0:40" ht="15.75" x14ac:dyDescent="0.25"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0:40" ht="15.75" x14ac:dyDescent="0.25"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0:40" ht="15.75" x14ac:dyDescent="0.25"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0:40" ht="15.75" x14ac:dyDescent="0.25"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0:40" ht="15.75" x14ac:dyDescent="0.25"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0:40" ht="15.75" x14ac:dyDescent="0.25"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0:40" ht="15.75" x14ac:dyDescent="0.25"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0:40" ht="15.75" x14ac:dyDescent="0.25"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0:40" ht="15.75" x14ac:dyDescent="0.25"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0:40" ht="15.75" x14ac:dyDescent="0.25"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0:40" ht="15.75" x14ac:dyDescent="0.25"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0:40" ht="15.75" x14ac:dyDescent="0.25"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0:40" ht="15.75" x14ac:dyDescent="0.25"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0:40" ht="15.75" x14ac:dyDescent="0.25"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0:40" ht="15.75" x14ac:dyDescent="0.25"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0:40" ht="15.75" x14ac:dyDescent="0.25"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0:40" ht="15.75" x14ac:dyDescent="0.25"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0:40" ht="15.75" x14ac:dyDescent="0.25"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0:40" ht="15.75" x14ac:dyDescent="0.25"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0:40" ht="15.75" x14ac:dyDescent="0.25"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0:40" ht="15.75" x14ac:dyDescent="0.25"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0:40" ht="15.75" x14ac:dyDescent="0.25"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0:40" ht="15.75" x14ac:dyDescent="0.25"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0:40" ht="15.75" x14ac:dyDescent="0.25"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0:40" ht="15.75" x14ac:dyDescent="0.25"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0:40" ht="15.75" x14ac:dyDescent="0.25"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0:40" ht="15.75" x14ac:dyDescent="0.25"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0:40" ht="15.75" x14ac:dyDescent="0.25"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0:40" ht="15.75" x14ac:dyDescent="0.25"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0:40" ht="15.75" x14ac:dyDescent="0.25"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0:40" ht="15.75" x14ac:dyDescent="0.25"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0:40" ht="15.75" x14ac:dyDescent="0.25"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0:40" ht="15.75" x14ac:dyDescent="0.25"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0:40" ht="15.75" x14ac:dyDescent="0.25"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0:40" ht="15.75" x14ac:dyDescent="0.25"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0:40" ht="15.75" x14ac:dyDescent="0.25"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0:40" ht="15.75" x14ac:dyDescent="0.25"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0:40" ht="15.75" x14ac:dyDescent="0.25"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0:40" ht="15.75" x14ac:dyDescent="0.25"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0:40" ht="15.75" x14ac:dyDescent="0.25"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0:40" ht="15.75" x14ac:dyDescent="0.25"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0:40" ht="15.75" x14ac:dyDescent="0.25"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0:40" ht="15.75" x14ac:dyDescent="0.25"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0:40" ht="15.75" x14ac:dyDescent="0.25"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0:40" ht="15.75" x14ac:dyDescent="0.25"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0:40" ht="15.75" x14ac:dyDescent="0.25"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0:40" ht="15.75" x14ac:dyDescent="0.25"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0:40" ht="15.75" x14ac:dyDescent="0.25"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0:40" ht="15.75" x14ac:dyDescent="0.25"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0:40" ht="15.75" x14ac:dyDescent="0.25"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0:40" ht="15.75" x14ac:dyDescent="0.25"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0:40" ht="15.75" x14ac:dyDescent="0.25"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0:40" ht="15.75" x14ac:dyDescent="0.25"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0:40" ht="15.75" x14ac:dyDescent="0.25"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0:40" ht="15.75" x14ac:dyDescent="0.25"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0:40" ht="15.75" x14ac:dyDescent="0.25"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0:40" ht="15.75" x14ac:dyDescent="0.25"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0:40" ht="15.75" x14ac:dyDescent="0.25"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0:40" ht="15.75" x14ac:dyDescent="0.25"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0:40" ht="15.75" x14ac:dyDescent="0.25"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0:40" ht="15.75" x14ac:dyDescent="0.25"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0:40" ht="15.75" x14ac:dyDescent="0.25"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0:40" ht="15.75" x14ac:dyDescent="0.25"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0:40" ht="15.75" x14ac:dyDescent="0.25"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0:40" ht="15.75" x14ac:dyDescent="0.25"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0:40" ht="15.75" x14ac:dyDescent="0.25"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0:40" ht="15.75" x14ac:dyDescent="0.25"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0:40" ht="15.75" x14ac:dyDescent="0.25"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0:40" ht="15.75" x14ac:dyDescent="0.25"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0:40" ht="15.75" x14ac:dyDescent="0.25"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0:40" ht="15.75" x14ac:dyDescent="0.25"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0:40" ht="15.75" x14ac:dyDescent="0.25"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0:40" ht="15.75" x14ac:dyDescent="0.25"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0:40" ht="15.75" x14ac:dyDescent="0.25"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0:40" ht="15.75" x14ac:dyDescent="0.25"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0:40" ht="15.75" x14ac:dyDescent="0.25"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0:40" ht="15.75" x14ac:dyDescent="0.25"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0:40" ht="15.75" x14ac:dyDescent="0.25"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0:40" ht="15.75" x14ac:dyDescent="0.25"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0:40" ht="15.75" x14ac:dyDescent="0.25"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0:40" ht="15.75" x14ac:dyDescent="0.25"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0:40" ht="15.75" x14ac:dyDescent="0.25"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0:40" ht="15.75" x14ac:dyDescent="0.25"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0:40" ht="15.75" x14ac:dyDescent="0.25"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0:40" ht="15.75" x14ac:dyDescent="0.25"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0:40" ht="15.75" x14ac:dyDescent="0.25"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0:40" ht="15.75" x14ac:dyDescent="0.25"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0:40" ht="15.75" x14ac:dyDescent="0.25"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0:40" ht="15.75" x14ac:dyDescent="0.25"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0:40" ht="15.75" x14ac:dyDescent="0.25"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0:40" ht="15.75" x14ac:dyDescent="0.25"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0:40" ht="15.75" x14ac:dyDescent="0.25"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0:40" ht="15.75" x14ac:dyDescent="0.25"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0:40" ht="15.75" x14ac:dyDescent="0.25"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0:40" ht="15.75" x14ac:dyDescent="0.25"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0:40" ht="15.75" x14ac:dyDescent="0.25"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0:40" ht="15.75" x14ac:dyDescent="0.25"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0:40" ht="15.75" x14ac:dyDescent="0.25"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0:40" ht="15.75" x14ac:dyDescent="0.25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0:40" ht="15.75" x14ac:dyDescent="0.25"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0:40" ht="15.75" x14ac:dyDescent="0.25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0:40" ht="15.75" x14ac:dyDescent="0.25"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0:40" ht="15.75" x14ac:dyDescent="0.25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0:40" ht="15.75" x14ac:dyDescent="0.25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0:40" ht="15.75" x14ac:dyDescent="0.25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0:40" ht="15.75" x14ac:dyDescent="0.25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0:40" ht="15.75" x14ac:dyDescent="0.25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0:40" ht="15.75" x14ac:dyDescent="0.25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0:40" ht="15.75" x14ac:dyDescent="0.25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0:40" ht="15.75" x14ac:dyDescent="0.25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0:40" ht="15.75" x14ac:dyDescent="0.25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0:40" ht="15.75" x14ac:dyDescent="0.25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0:40" ht="15.75" x14ac:dyDescent="0.25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0:40" ht="15.75" x14ac:dyDescent="0.25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0:40" ht="15.75" x14ac:dyDescent="0.25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0:40" ht="15.75" x14ac:dyDescent="0.25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0:40" ht="15.75" x14ac:dyDescent="0.25"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0:40" ht="15.75" x14ac:dyDescent="0.25"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0:40" ht="15.75" x14ac:dyDescent="0.25"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0:40" ht="15.75" x14ac:dyDescent="0.25"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0:40" ht="15.75" x14ac:dyDescent="0.25"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0:40" ht="15.75" x14ac:dyDescent="0.25"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0:40" ht="15.75" x14ac:dyDescent="0.25"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0:40" ht="15.75" x14ac:dyDescent="0.25"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0:40" ht="15.75" x14ac:dyDescent="0.25"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0:40" ht="15.75" x14ac:dyDescent="0.25"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0:40" ht="15.75" x14ac:dyDescent="0.25"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0:40" ht="15.75" x14ac:dyDescent="0.25"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0:40" ht="15.75" x14ac:dyDescent="0.25"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0:40" ht="15.75" x14ac:dyDescent="0.25"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0:40" ht="15.75" x14ac:dyDescent="0.25"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0:40" ht="15.75" x14ac:dyDescent="0.25"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0:40" ht="15.75" x14ac:dyDescent="0.25"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0:40" ht="15.75" x14ac:dyDescent="0.25"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0:40" ht="15.75" x14ac:dyDescent="0.25"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0:40" ht="15.75" x14ac:dyDescent="0.25"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0:40" ht="15.75" x14ac:dyDescent="0.25"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0:40" ht="15.75" x14ac:dyDescent="0.25"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0:40" ht="15.75" x14ac:dyDescent="0.25"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0:40" ht="15.75" x14ac:dyDescent="0.25"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0:40" ht="15.75" x14ac:dyDescent="0.25"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0:40" ht="15.75" x14ac:dyDescent="0.25"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0:40" ht="15.75" x14ac:dyDescent="0.25"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0:40" ht="15.75" x14ac:dyDescent="0.25"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0:40" ht="15.75" x14ac:dyDescent="0.25"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0:40" ht="15.75" x14ac:dyDescent="0.25"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0:40" ht="15.75" x14ac:dyDescent="0.25"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0:40" ht="15.75" x14ac:dyDescent="0.25"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0:40" ht="15.75" x14ac:dyDescent="0.25"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0:40" ht="15.75" x14ac:dyDescent="0.25"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0:40" ht="15.75" x14ac:dyDescent="0.25"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0:40" ht="15.75" x14ac:dyDescent="0.25"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0:40" ht="15.75" x14ac:dyDescent="0.25"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0:40" ht="15.75" x14ac:dyDescent="0.25"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0:40" ht="15.75" x14ac:dyDescent="0.25"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0:40" ht="15.75" x14ac:dyDescent="0.25"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0:40" ht="15.75" x14ac:dyDescent="0.25"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0:40" ht="15.75" x14ac:dyDescent="0.25"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0:40" ht="15.75" x14ac:dyDescent="0.25"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0:40" ht="15.75" x14ac:dyDescent="0.25"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0:40" ht="15.75" x14ac:dyDescent="0.25"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0:40" ht="15.75" x14ac:dyDescent="0.25"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0:40" ht="15.75" x14ac:dyDescent="0.25"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0:40" ht="15.75" x14ac:dyDescent="0.25"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0:40" ht="15.75" x14ac:dyDescent="0.25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0:40" ht="15.75" x14ac:dyDescent="0.25"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0:40" ht="15.75" x14ac:dyDescent="0.25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0:40" ht="15.75" x14ac:dyDescent="0.25"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0:40" ht="15.75" x14ac:dyDescent="0.25"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0:40" ht="15.75" x14ac:dyDescent="0.25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0:40" ht="15.75" x14ac:dyDescent="0.25"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0:40" ht="15.75" x14ac:dyDescent="0.25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0:40" ht="15.75" x14ac:dyDescent="0.25"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0:40" ht="15.75" x14ac:dyDescent="0.25"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0:40" ht="15.75" x14ac:dyDescent="0.25"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0:40" ht="15.75" x14ac:dyDescent="0.25"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0:40" ht="15.75" x14ac:dyDescent="0.25"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0:40" ht="15.75" x14ac:dyDescent="0.25"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0:40" ht="15.75" x14ac:dyDescent="0.25"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0:40" ht="15.75" x14ac:dyDescent="0.25"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0:40" ht="15.75" x14ac:dyDescent="0.25"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0:40" ht="15.75" x14ac:dyDescent="0.25"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0:40" ht="15.75" x14ac:dyDescent="0.25"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0:40" ht="15.75" x14ac:dyDescent="0.25"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0:40" ht="15.75" x14ac:dyDescent="0.25"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0:40" ht="15.75" x14ac:dyDescent="0.25"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0:40" ht="15.75" x14ac:dyDescent="0.25"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0:40" ht="15.75" x14ac:dyDescent="0.25"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0:40" ht="15.75" x14ac:dyDescent="0.25"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0:40" ht="15.75" x14ac:dyDescent="0.25"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0:40" ht="15.75" x14ac:dyDescent="0.25"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0:40" ht="15.75" x14ac:dyDescent="0.25"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0:40" ht="15.75" x14ac:dyDescent="0.25"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0:40" ht="15.75" x14ac:dyDescent="0.25"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0:40" ht="15.75" x14ac:dyDescent="0.25"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0:40" ht="15.75" x14ac:dyDescent="0.25"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0:40" ht="15.75" x14ac:dyDescent="0.25"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0:40" ht="15.75" x14ac:dyDescent="0.25"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0:40" ht="15.75" x14ac:dyDescent="0.25"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0:40" ht="15.75" x14ac:dyDescent="0.25"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0:40" ht="15.75" x14ac:dyDescent="0.25"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0:40" ht="15.75" x14ac:dyDescent="0.25"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0:40" ht="15.75" x14ac:dyDescent="0.25"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0:40" ht="15.75" x14ac:dyDescent="0.25"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0:40" ht="15.75" x14ac:dyDescent="0.25"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0:40" ht="15.75" x14ac:dyDescent="0.25"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0:40" ht="15.75" x14ac:dyDescent="0.25"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0:40" ht="15.75" x14ac:dyDescent="0.25"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0:40" ht="15.75" x14ac:dyDescent="0.25"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0:40" ht="15.75" x14ac:dyDescent="0.25"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0:40" ht="15.75" x14ac:dyDescent="0.25"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0:40" ht="15.75" x14ac:dyDescent="0.25"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0:40" ht="15.75" x14ac:dyDescent="0.25"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0:40" ht="15.75" x14ac:dyDescent="0.25"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0:40" ht="15.75" x14ac:dyDescent="0.25"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0:40" ht="15.75" x14ac:dyDescent="0.25"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0:40" ht="15.75" x14ac:dyDescent="0.25"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0:40" ht="15.75" x14ac:dyDescent="0.25"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0:40" ht="15.75" x14ac:dyDescent="0.25"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0:40" ht="15.75" x14ac:dyDescent="0.25"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0:40" ht="15.75" x14ac:dyDescent="0.25"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0:40" ht="15.75" x14ac:dyDescent="0.25"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0:40" ht="15.75" x14ac:dyDescent="0.25"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0:40" ht="15.75" x14ac:dyDescent="0.25"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0:40" ht="15.75" x14ac:dyDescent="0.25"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0:40" ht="15.75" x14ac:dyDescent="0.25"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0:40" ht="15.75" x14ac:dyDescent="0.25"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0:40" ht="15.75" x14ac:dyDescent="0.25"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0:40" ht="15.75" x14ac:dyDescent="0.25"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0:40" ht="15.75" x14ac:dyDescent="0.25"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0:40" ht="15.75" x14ac:dyDescent="0.25"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0:40" ht="15.75" x14ac:dyDescent="0.25"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0:40" ht="15.75" x14ac:dyDescent="0.25"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0:40" ht="15.75" x14ac:dyDescent="0.25"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0:40" ht="15.75" x14ac:dyDescent="0.25"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0:40" ht="15.75" x14ac:dyDescent="0.25"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0:40" ht="15.75" x14ac:dyDescent="0.25"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0:40" ht="15.75" x14ac:dyDescent="0.25"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0:40" ht="15.75" x14ac:dyDescent="0.25"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0:40" ht="15.75" x14ac:dyDescent="0.25"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0:40" ht="15.75" x14ac:dyDescent="0.25"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0:40" ht="15.75" x14ac:dyDescent="0.25"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0:40" ht="15.75" x14ac:dyDescent="0.25"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0:40" ht="15.75" x14ac:dyDescent="0.25"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0:40" ht="15.75" x14ac:dyDescent="0.25"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0:40" ht="15.75" x14ac:dyDescent="0.25"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0:40" ht="15.75" x14ac:dyDescent="0.25"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0:40" ht="15.75" x14ac:dyDescent="0.25"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0:40" ht="15.75" x14ac:dyDescent="0.25"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0:40" ht="15.75" x14ac:dyDescent="0.25"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0:40" ht="15.75" x14ac:dyDescent="0.25"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0:40" ht="15.75" x14ac:dyDescent="0.25"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0:40" ht="15.75" x14ac:dyDescent="0.25"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0:40" ht="15.75" x14ac:dyDescent="0.25"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0:40" ht="15.75" x14ac:dyDescent="0.25"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0:40" ht="15.75" x14ac:dyDescent="0.25"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0:40" ht="15.75" x14ac:dyDescent="0.25"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0:40" ht="15.75" x14ac:dyDescent="0.25"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0:40" ht="15.75" x14ac:dyDescent="0.25"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</sheetData>
  <mergeCells count="2">
    <mergeCell ref="B2:H2"/>
    <mergeCell ref="B4:H4"/>
  </mergeCells>
  <pageMargins left="0.7" right="0.7" top="1.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C6A1-93E7-418A-AA18-207F180E1B93}">
  <sheetPr>
    <pageSetUpPr fitToPage="1"/>
  </sheetPr>
  <dimension ref="A2:K57"/>
  <sheetViews>
    <sheetView workbookViewId="0"/>
    <sheetView workbookViewId="1"/>
  </sheetViews>
  <sheetFormatPr defaultRowHeight="15" x14ac:dyDescent="0.2"/>
  <cols>
    <col min="2" max="2" width="18.5546875" customWidth="1"/>
    <col min="3" max="7" width="9.77734375" customWidth="1"/>
    <col min="8" max="8" width="10.88671875" customWidth="1"/>
    <col min="9" max="9" width="9.77734375" customWidth="1"/>
  </cols>
  <sheetData>
    <row r="2" spans="2:10" ht="18" x14ac:dyDescent="0.4">
      <c r="B2" s="255" t="s">
        <v>400</v>
      </c>
      <c r="C2" s="54"/>
      <c r="D2" s="54"/>
      <c r="E2" s="54"/>
      <c r="F2" s="54"/>
      <c r="G2" s="54"/>
      <c r="H2" s="54"/>
      <c r="I2" s="54"/>
      <c r="J2" s="54"/>
    </row>
    <row r="3" spans="2:10" ht="18" x14ac:dyDescent="0.4">
      <c r="B3" s="54"/>
      <c r="C3" s="356" t="s">
        <v>16</v>
      </c>
      <c r="D3" s="356" t="s">
        <v>393</v>
      </c>
      <c r="E3" s="356" t="s">
        <v>175</v>
      </c>
      <c r="F3" s="356" t="s">
        <v>401</v>
      </c>
      <c r="G3" s="356" t="s">
        <v>31</v>
      </c>
      <c r="H3" s="356" t="s">
        <v>402</v>
      </c>
      <c r="I3" s="356"/>
      <c r="J3" s="54"/>
    </row>
    <row r="4" spans="2:10" ht="15.75" x14ac:dyDescent="0.25">
      <c r="B4" s="54" t="s">
        <v>403</v>
      </c>
      <c r="C4" s="357">
        <v>749184</v>
      </c>
      <c r="D4" s="357">
        <f>402872*0.15</f>
        <v>60430.799999999996</v>
      </c>
      <c r="E4" s="357">
        <v>0</v>
      </c>
      <c r="F4" s="357">
        <f>402872-D4</f>
        <v>342441.2</v>
      </c>
      <c r="G4" s="357">
        <f>208839</f>
        <v>208839</v>
      </c>
      <c r="H4" s="357">
        <v>137472</v>
      </c>
      <c r="I4" s="357"/>
      <c r="J4" s="54">
        <f>SUM(D4:H4)</f>
        <v>749183</v>
      </c>
    </row>
    <row r="5" spans="2:10" ht="15.75" x14ac:dyDescent="0.25">
      <c r="B5" s="71" t="s">
        <v>404</v>
      </c>
      <c r="C5" s="357"/>
      <c r="D5" s="360">
        <f>D4/$C4</f>
        <v>8.0662160430548427E-2</v>
      </c>
      <c r="E5" s="360">
        <f t="shared" ref="E5:H5" si="0">E4/$C4</f>
        <v>0</v>
      </c>
      <c r="F5" s="360">
        <f t="shared" si="0"/>
        <v>0.45708557577310782</v>
      </c>
      <c r="G5" s="360">
        <f t="shared" si="0"/>
        <v>0.27875528575089698</v>
      </c>
      <c r="H5" s="360">
        <f t="shared" si="0"/>
        <v>0.18349564325986673</v>
      </c>
      <c r="I5" s="357"/>
      <c r="J5" s="34">
        <f>SUM(D5:I5)</f>
        <v>0.99999866521441994</v>
      </c>
    </row>
    <row r="6" spans="2:10" ht="15.75" x14ac:dyDescent="0.25">
      <c r="B6" s="54" t="s">
        <v>405</v>
      </c>
      <c r="C6" s="357">
        <v>18000</v>
      </c>
      <c r="D6" s="357"/>
      <c r="E6" s="357"/>
      <c r="F6" s="357"/>
      <c r="G6" s="357"/>
      <c r="H6" s="357">
        <v>18000</v>
      </c>
      <c r="I6" s="357"/>
      <c r="J6" s="54"/>
    </row>
    <row r="7" spans="2:10" ht="15.75" x14ac:dyDescent="0.25">
      <c r="B7" s="54" t="s">
        <v>406</v>
      </c>
      <c r="C7" s="357">
        <v>362229</v>
      </c>
      <c r="D7" s="357">
        <f>$C7*D$6</f>
        <v>0</v>
      </c>
      <c r="E7" s="357">
        <f t="shared" ref="E7" si="1">$C7*E$6</f>
        <v>0</v>
      </c>
      <c r="F7" s="357">
        <v>89420</v>
      </c>
      <c r="G7" s="357">
        <v>206223</v>
      </c>
      <c r="H7" s="357">
        <v>66586</v>
      </c>
      <c r="I7" s="357">
        <f>SUM(D7:H7)</f>
        <v>362229</v>
      </c>
      <c r="J7" s="54"/>
    </row>
    <row r="8" spans="2:10" ht="15.75" x14ac:dyDescent="0.25">
      <c r="B8" s="54" t="s">
        <v>407</v>
      </c>
      <c r="C8" s="357">
        <v>3149551</v>
      </c>
      <c r="D8" s="357">
        <f>+C8</f>
        <v>3149551</v>
      </c>
      <c r="E8" s="357"/>
      <c r="F8" s="357"/>
      <c r="G8" s="357"/>
      <c r="H8" s="357"/>
      <c r="I8" s="357"/>
      <c r="J8" s="54"/>
    </row>
    <row r="9" spans="2:10" ht="15.75" x14ac:dyDescent="0.25">
      <c r="B9" s="54" t="s">
        <v>408</v>
      </c>
      <c r="C9" s="357">
        <v>113592</v>
      </c>
      <c r="D9" s="357">
        <v>0</v>
      </c>
      <c r="E9" s="357">
        <v>0</v>
      </c>
      <c r="F9" s="357">
        <v>62476</v>
      </c>
      <c r="G9" s="357">
        <v>30782</v>
      </c>
      <c r="H9" s="357">
        <v>20335</v>
      </c>
      <c r="I9" s="357"/>
      <c r="J9" s="54"/>
    </row>
    <row r="10" spans="2:10" ht="15.75" x14ac:dyDescent="0.25">
      <c r="B10" s="54" t="s">
        <v>36</v>
      </c>
      <c r="C10" s="357">
        <v>0</v>
      </c>
      <c r="D10" s="357"/>
      <c r="E10" s="357">
        <v>0</v>
      </c>
      <c r="F10" s="357"/>
      <c r="G10" s="357"/>
      <c r="H10" s="357"/>
      <c r="I10" s="357"/>
      <c r="J10" s="54"/>
    </row>
    <row r="11" spans="2:10" ht="15.75" x14ac:dyDescent="0.25">
      <c r="B11" s="54" t="s">
        <v>409</v>
      </c>
      <c r="C11" s="357">
        <v>312837</v>
      </c>
      <c r="D11" s="357"/>
      <c r="E11" s="357">
        <v>0</v>
      </c>
      <c r="F11" s="357">
        <v>216957</v>
      </c>
      <c r="G11" s="357">
        <v>26755</v>
      </c>
      <c r="H11" s="357">
        <v>69125</v>
      </c>
      <c r="I11" s="357"/>
      <c r="J11" s="54"/>
    </row>
    <row r="12" spans="2:10" ht="15.75" x14ac:dyDescent="0.25">
      <c r="B12" s="54" t="s">
        <v>410</v>
      </c>
      <c r="C12" s="357">
        <v>19103</v>
      </c>
      <c r="D12" s="357"/>
      <c r="E12" s="357"/>
      <c r="F12" s="357"/>
      <c r="G12" s="357"/>
      <c r="H12" s="357">
        <f>C12</f>
        <v>19103</v>
      </c>
      <c r="I12" s="357"/>
      <c r="J12" s="54"/>
    </row>
    <row r="13" spans="2:10" ht="15.75" x14ac:dyDescent="0.25">
      <c r="B13" s="54" t="s">
        <v>411</v>
      </c>
      <c r="C13" s="357">
        <v>18919</v>
      </c>
      <c r="D13" s="357"/>
      <c r="E13" s="357"/>
      <c r="F13" s="357"/>
      <c r="G13" s="357"/>
      <c r="H13" s="357">
        <f>+C13</f>
        <v>18919</v>
      </c>
      <c r="I13" s="357"/>
      <c r="J13" s="54"/>
    </row>
    <row r="14" spans="2:10" ht="15.75" x14ac:dyDescent="0.25">
      <c r="B14" s="54" t="s">
        <v>412</v>
      </c>
      <c r="C14" s="357">
        <v>17405</v>
      </c>
      <c r="D14" s="357"/>
      <c r="E14" s="357">
        <v>0</v>
      </c>
      <c r="F14" s="357">
        <f>+C14</f>
        <v>17405</v>
      </c>
      <c r="G14" s="357"/>
      <c r="H14" s="357"/>
      <c r="I14" s="357"/>
      <c r="J14" s="54"/>
    </row>
    <row r="15" spans="2:10" ht="15.75" x14ac:dyDescent="0.25">
      <c r="B15" s="54" t="s">
        <v>413</v>
      </c>
      <c r="C15" s="357">
        <v>0</v>
      </c>
      <c r="D15" s="357">
        <v>0</v>
      </c>
      <c r="E15" s="357"/>
      <c r="F15" s="357">
        <v>0</v>
      </c>
      <c r="G15" s="357">
        <v>0</v>
      </c>
      <c r="H15" s="357">
        <v>0</v>
      </c>
      <c r="I15" s="357"/>
      <c r="J15" s="54"/>
    </row>
    <row r="16" spans="2:10" ht="15.75" x14ac:dyDescent="0.25">
      <c r="B16" s="54" t="s">
        <v>414</v>
      </c>
      <c r="C16" s="357">
        <v>11692</v>
      </c>
      <c r="D16" s="357"/>
      <c r="E16" s="357"/>
      <c r="F16" s="357">
        <v>7222</v>
      </c>
      <c r="G16" s="357"/>
      <c r="H16" s="357">
        <v>4470</v>
      </c>
      <c r="I16" s="357"/>
      <c r="J16" s="54"/>
    </row>
    <row r="17" spans="2:10" ht="15.75" x14ac:dyDescent="0.25">
      <c r="B17" s="54" t="s">
        <v>415</v>
      </c>
      <c r="C17" s="357">
        <v>0</v>
      </c>
      <c r="D17" s="357"/>
      <c r="E17" s="357"/>
      <c r="F17" s="357"/>
      <c r="G17" s="357"/>
      <c r="H17" s="357"/>
      <c r="I17" s="357"/>
      <c r="J17" s="54"/>
    </row>
    <row r="18" spans="2:10" ht="15.75" x14ac:dyDescent="0.25">
      <c r="B18" s="54" t="s">
        <v>416</v>
      </c>
      <c r="C18" s="357">
        <v>55652</v>
      </c>
      <c r="D18" s="357"/>
      <c r="E18" s="357"/>
      <c r="F18" s="357">
        <v>42402</v>
      </c>
      <c r="G18" s="357">
        <v>7327</v>
      </c>
      <c r="H18" s="357">
        <v>5923</v>
      </c>
      <c r="I18" s="357"/>
      <c r="J18" s="54"/>
    </row>
    <row r="19" spans="2:10" ht="15.75" x14ac:dyDescent="0.25">
      <c r="B19" s="54" t="s">
        <v>417</v>
      </c>
      <c r="C19" s="357">
        <v>35861</v>
      </c>
      <c r="D19" s="357"/>
      <c r="E19" s="357"/>
      <c r="F19" s="357">
        <v>19271</v>
      </c>
      <c r="G19" s="357">
        <v>9719</v>
      </c>
      <c r="H19" s="357">
        <v>6871</v>
      </c>
      <c r="I19" s="357"/>
      <c r="J19" s="54"/>
    </row>
    <row r="20" spans="2:10" ht="15.75" x14ac:dyDescent="0.25">
      <c r="B20" s="54" t="s">
        <v>418</v>
      </c>
      <c r="C20" s="357">
        <v>9939</v>
      </c>
      <c r="D20" s="357">
        <f>$C20*D$6</f>
        <v>0</v>
      </c>
      <c r="E20" s="357">
        <f t="shared" ref="E20" si="2">$C20*E$6</f>
        <v>0</v>
      </c>
      <c r="F20" s="357">
        <v>5362</v>
      </c>
      <c r="G20" s="357">
        <v>2694</v>
      </c>
      <c r="H20" s="357">
        <v>1883</v>
      </c>
      <c r="I20" s="357"/>
      <c r="J20" s="54"/>
    </row>
    <row r="21" spans="2:10" ht="15.75" x14ac:dyDescent="0.25">
      <c r="B21" s="54" t="s">
        <v>419</v>
      </c>
      <c r="C21" s="357">
        <v>0</v>
      </c>
      <c r="D21" s="357"/>
      <c r="E21" s="357"/>
      <c r="F21" s="357"/>
      <c r="G21" s="357"/>
      <c r="H21" s="357"/>
      <c r="I21" s="357"/>
      <c r="J21" s="54"/>
    </row>
    <row r="22" spans="2:10" ht="15.75" x14ac:dyDescent="0.25">
      <c r="B22" s="54" t="s">
        <v>191</v>
      </c>
      <c r="C22" s="357">
        <v>4390</v>
      </c>
      <c r="D22" s="357"/>
      <c r="E22" s="357"/>
      <c r="F22" s="357"/>
      <c r="G22" s="357"/>
      <c r="H22" s="357">
        <v>4390</v>
      </c>
      <c r="I22" s="357"/>
      <c r="J22" s="54"/>
    </row>
    <row r="23" spans="2:10" ht="15.75" x14ac:dyDescent="0.25">
      <c r="B23" s="54" t="s">
        <v>192</v>
      </c>
      <c r="C23" s="357">
        <v>6870</v>
      </c>
      <c r="D23" s="357"/>
      <c r="E23" s="357"/>
      <c r="F23" s="357"/>
      <c r="G23" s="357">
        <v>6870</v>
      </c>
      <c r="H23" s="357"/>
      <c r="I23" s="357"/>
      <c r="J23" s="54"/>
    </row>
    <row r="24" spans="2:10" ht="18" x14ac:dyDescent="0.4">
      <c r="B24" s="54" t="s">
        <v>420</v>
      </c>
      <c r="C24" s="357">
        <v>37048</v>
      </c>
      <c r="D24" s="359">
        <v>0</v>
      </c>
      <c r="E24" s="359">
        <v>0</v>
      </c>
      <c r="F24" s="359">
        <v>19919</v>
      </c>
      <c r="G24" s="359">
        <v>10024</v>
      </c>
      <c r="H24" s="359">
        <v>7105</v>
      </c>
      <c r="I24" s="357"/>
      <c r="J24" s="54"/>
    </row>
    <row r="25" spans="2:10" ht="15.75" x14ac:dyDescent="0.25">
      <c r="B25" s="54" t="s">
        <v>162</v>
      </c>
      <c r="C25" s="357">
        <f t="shared" ref="C25:H25" si="3">SUM(C4:C24)</f>
        <v>4922272</v>
      </c>
      <c r="D25" s="357">
        <f t="shared" si="3"/>
        <v>3209981.8806621605</v>
      </c>
      <c r="E25" s="357">
        <f t="shared" si="3"/>
        <v>0</v>
      </c>
      <c r="F25" s="357">
        <f t="shared" si="3"/>
        <v>822875.65708557586</v>
      </c>
      <c r="G25" s="357">
        <f t="shared" si="3"/>
        <v>509233.27875528578</v>
      </c>
      <c r="H25" s="357">
        <f t="shared" si="3"/>
        <v>380182.18349564326</v>
      </c>
      <c r="I25" s="357">
        <f>SUM(D25:H25)</f>
        <v>4922272.9999986654</v>
      </c>
      <c r="J25" s="54"/>
    </row>
    <row r="26" spans="2:10" ht="15.75" x14ac:dyDescent="0.25">
      <c r="B26" s="54"/>
      <c r="C26" s="54"/>
      <c r="D26" s="54"/>
      <c r="E26" s="54"/>
      <c r="F26" s="54"/>
      <c r="G26" s="54"/>
      <c r="H26" s="54"/>
      <c r="I26" s="54"/>
      <c r="J26" s="54"/>
    </row>
    <row r="27" spans="2:10" ht="15.75" x14ac:dyDescent="0.25">
      <c r="B27" s="54"/>
      <c r="C27" s="54"/>
      <c r="D27" s="54"/>
      <c r="E27" s="54"/>
      <c r="F27" s="54"/>
      <c r="G27" s="54"/>
      <c r="H27" s="54"/>
      <c r="I27" s="54"/>
      <c r="J27" s="54"/>
    </row>
    <row r="28" spans="2:10" ht="18" x14ac:dyDescent="0.4">
      <c r="B28" s="255" t="s">
        <v>421</v>
      </c>
      <c r="C28" s="54"/>
      <c r="D28" s="54"/>
      <c r="E28" s="54"/>
      <c r="F28" s="54"/>
      <c r="G28" s="54"/>
      <c r="H28" s="54"/>
      <c r="I28" s="54"/>
      <c r="J28" s="54"/>
    </row>
    <row r="29" spans="2:10" ht="18" x14ac:dyDescent="0.4">
      <c r="B29" s="54"/>
      <c r="C29" s="356" t="s">
        <v>16</v>
      </c>
      <c r="D29" s="356" t="s">
        <v>393</v>
      </c>
      <c r="E29" s="356" t="s">
        <v>175</v>
      </c>
      <c r="F29" s="356" t="s">
        <v>401</v>
      </c>
      <c r="G29" s="356" t="s">
        <v>31</v>
      </c>
      <c r="H29" s="356" t="s">
        <v>402</v>
      </c>
      <c r="I29" s="356"/>
      <c r="J29" s="54"/>
    </row>
    <row r="30" spans="2:10" ht="15.75" x14ac:dyDescent="0.25">
      <c r="B30" s="54" t="s">
        <v>403</v>
      </c>
      <c r="C30" s="362">
        <f>SAO!I20</f>
        <v>839854.614175</v>
      </c>
      <c r="D30" s="357">
        <f>$C30*D$5</f>
        <v>67744.487626920207</v>
      </c>
      <c r="E30" s="357">
        <f t="shared" ref="E30:H30" si="4">$C30*E$5</f>
        <v>0</v>
      </c>
      <c r="F30" s="357">
        <f t="shared" si="4"/>
        <v>383885.4298858812</v>
      </c>
      <c r="G30" s="357">
        <f t="shared" si="4"/>
        <v>234113.91296356145</v>
      </c>
      <c r="H30" s="357">
        <f t="shared" si="4"/>
        <v>154109.6626728088</v>
      </c>
      <c r="I30" s="358">
        <f>SUM(D30:H30)</f>
        <v>839853.49314917158</v>
      </c>
      <c r="J30" s="54"/>
    </row>
    <row r="31" spans="2:10" ht="15.75" x14ac:dyDescent="0.25">
      <c r="B31" s="54" t="s">
        <v>405</v>
      </c>
      <c r="C31" s="54">
        <f>SAO!I21</f>
        <v>18000</v>
      </c>
      <c r="D31" s="357"/>
      <c r="E31" s="357"/>
      <c r="F31" s="357"/>
      <c r="G31" s="357"/>
      <c r="H31" s="357">
        <f>C31</f>
        <v>18000</v>
      </c>
      <c r="I31" s="54">
        <f>SUM(D31:H31)</f>
        <v>18000</v>
      </c>
      <c r="J31" s="54"/>
    </row>
    <row r="32" spans="2:10" ht="15.75" x14ac:dyDescent="0.25">
      <c r="B32" s="54" t="s">
        <v>422</v>
      </c>
      <c r="C32" s="362">
        <f>SAO!I23+SAO!I37</f>
        <v>383292.01268385997</v>
      </c>
      <c r="D32" s="357">
        <f>$C32*D$5</f>
        <v>30917.161818853314</v>
      </c>
      <c r="E32" s="357">
        <f t="shared" ref="E32:H32" si="5">$C32*E$5</f>
        <v>0</v>
      </c>
      <c r="F32" s="357">
        <f t="shared" si="5"/>
        <v>175197.25030683549</v>
      </c>
      <c r="G32" s="357">
        <f t="shared" si="5"/>
        <v>106844.67452172581</v>
      </c>
      <c r="H32" s="357">
        <f t="shared" si="5"/>
        <v>70332.414423793874</v>
      </c>
      <c r="I32" s="358">
        <f>SUM(D32:H32)</f>
        <v>383291.50107120851</v>
      </c>
      <c r="J32" s="54"/>
    </row>
    <row r="33" spans="1:11" ht="15.75" x14ac:dyDescent="0.25">
      <c r="B33" s="54" t="s">
        <v>407</v>
      </c>
      <c r="C33" s="362">
        <f>SAO!I24</f>
        <v>3330099.16</v>
      </c>
      <c r="D33" s="357">
        <f>C33</f>
        <v>3330099.16</v>
      </c>
      <c r="E33" s="357"/>
      <c r="F33" s="357"/>
      <c r="G33" s="357"/>
      <c r="H33" s="357"/>
      <c r="I33" s="54">
        <f t="shared" ref="I33:I49" si="6">SUM(D33:H33)</f>
        <v>3330099.16</v>
      </c>
      <c r="J33" s="54"/>
    </row>
    <row r="34" spans="1:11" ht="15.75" x14ac:dyDescent="0.25">
      <c r="B34" s="54" t="s">
        <v>408</v>
      </c>
      <c r="C34" s="357">
        <f>SAO!I25</f>
        <v>113592</v>
      </c>
      <c r="D34" s="357">
        <f>34872+20838</f>
        <v>55710</v>
      </c>
      <c r="E34" s="357">
        <f t="shared" ref="E34:H36" si="7">E9</f>
        <v>0</v>
      </c>
      <c r="F34" s="357">
        <f>(62476+30782)-D34+14240</f>
        <v>51788</v>
      </c>
      <c r="G34" s="357">
        <f>6094*0.8</f>
        <v>4875.2</v>
      </c>
      <c r="H34" s="357">
        <f>6094*0.2</f>
        <v>1218.8</v>
      </c>
      <c r="I34" s="54">
        <f t="shared" si="6"/>
        <v>113592</v>
      </c>
      <c r="J34" s="54"/>
      <c r="K34">
        <v>113593</v>
      </c>
    </row>
    <row r="35" spans="1:11" ht="15.75" x14ac:dyDescent="0.25">
      <c r="B35" s="54" t="s">
        <v>36</v>
      </c>
      <c r="C35" s="54">
        <v>0</v>
      </c>
      <c r="D35" s="357"/>
      <c r="E35" s="357"/>
      <c r="F35" s="357"/>
      <c r="G35" s="357"/>
      <c r="H35" s="357"/>
      <c r="I35" s="54">
        <f t="shared" si="6"/>
        <v>0</v>
      </c>
      <c r="J35" s="54"/>
    </row>
    <row r="36" spans="1:11" ht="15.75" x14ac:dyDescent="0.25">
      <c r="B36" s="54" t="s">
        <v>409</v>
      </c>
      <c r="C36" s="54">
        <f>SAO!I26</f>
        <v>315582.35639999999</v>
      </c>
      <c r="D36" s="357">
        <f>D11</f>
        <v>0</v>
      </c>
      <c r="E36" s="357">
        <f t="shared" si="7"/>
        <v>0</v>
      </c>
      <c r="F36" s="357">
        <f>F11+Adj!Y16</f>
        <v>218905.89749999999</v>
      </c>
      <c r="G36" s="357">
        <f>G11+Adj!W16</f>
        <v>27551.458900000001</v>
      </c>
      <c r="H36" s="357">
        <f t="shared" si="7"/>
        <v>69125</v>
      </c>
      <c r="I36" s="54">
        <f t="shared" si="6"/>
        <v>315582.35639999999</v>
      </c>
      <c r="J36" s="54"/>
    </row>
    <row r="37" spans="1:11" ht="15.75" x14ac:dyDescent="0.25">
      <c r="B37" s="54" t="s">
        <v>410</v>
      </c>
      <c r="C37" s="54">
        <f>C12</f>
        <v>19103</v>
      </c>
      <c r="D37" s="357"/>
      <c r="E37" s="357"/>
      <c r="F37" s="357"/>
      <c r="G37" s="357"/>
      <c r="H37" s="357">
        <f>C37</f>
        <v>19103</v>
      </c>
      <c r="I37" s="54">
        <f t="shared" si="6"/>
        <v>19103</v>
      </c>
      <c r="J37" s="54"/>
    </row>
    <row r="38" spans="1:11" ht="15.75" x14ac:dyDescent="0.25">
      <c r="B38" s="54" t="s">
        <v>411</v>
      </c>
      <c r="C38" s="362">
        <f>C13+SAO!G27</f>
        <v>41685.666666666672</v>
      </c>
      <c r="D38" s="357"/>
      <c r="E38" s="357"/>
      <c r="F38" s="357"/>
      <c r="G38" s="357"/>
      <c r="H38" s="357">
        <f>C38</f>
        <v>41685.666666666672</v>
      </c>
      <c r="I38" s="54">
        <f t="shared" si="6"/>
        <v>41685.666666666672</v>
      </c>
      <c r="J38" s="54"/>
    </row>
    <row r="39" spans="1:11" ht="15.75" x14ac:dyDescent="0.25">
      <c r="A39" s="361"/>
      <c r="B39" s="54" t="s">
        <v>412</v>
      </c>
      <c r="C39" s="54">
        <f>C14</f>
        <v>17405</v>
      </c>
      <c r="D39" s="357"/>
      <c r="E39" s="357">
        <f>E14</f>
        <v>0</v>
      </c>
      <c r="F39" s="357">
        <f>F14</f>
        <v>17405</v>
      </c>
      <c r="G39" s="357"/>
      <c r="H39" s="357"/>
      <c r="I39" s="54">
        <f t="shared" si="6"/>
        <v>17405</v>
      </c>
      <c r="J39" s="54"/>
    </row>
    <row r="40" spans="1:11" ht="15.75" x14ac:dyDescent="0.25">
      <c r="B40" s="54" t="s">
        <v>413</v>
      </c>
      <c r="C40" s="54"/>
      <c r="D40" s="357"/>
      <c r="E40" s="357"/>
      <c r="F40" s="357"/>
      <c r="G40" s="357"/>
      <c r="H40" s="357"/>
      <c r="I40" s="54">
        <f t="shared" si="6"/>
        <v>0</v>
      </c>
      <c r="J40" s="54"/>
    </row>
    <row r="41" spans="1:11" ht="15.75" x14ac:dyDescent="0.25">
      <c r="B41" s="54" t="s">
        <v>414</v>
      </c>
      <c r="C41" s="54">
        <f>SAO!I28</f>
        <v>11692</v>
      </c>
      <c r="D41" s="357">
        <f>D16</f>
        <v>0</v>
      </c>
      <c r="E41" s="357">
        <f t="shared" ref="E41:H41" si="8">E16</f>
        <v>0</v>
      </c>
      <c r="F41" s="357">
        <f t="shared" si="8"/>
        <v>7222</v>
      </c>
      <c r="G41" s="357">
        <f t="shared" si="8"/>
        <v>0</v>
      </c>
      <c r="H41" s="357">
        <f t="shared" si="8"/>
        <v>4470</v>
      </c>
      <c r="I41" s="54">
        <f t="shared" si="6"/>
        <v>11692</v>
      </c>
      <c r="J41" s="54"/>
    </row>
    <row r="42" spans="1:11" ht="15.75" x14ac:dyDescent="0.25">
      <c r="B42" s="54" t="s">
        <v>415</v>
      </c>
      <c r="C42" s="54">
        <v>0</v>
      </c>
      <c r="D42" s="357"/>
      <c r="E42" s="357"/>
      <c r="F42" s="357">
        <v>0</v>
      </c>
      <c r="G42" s="357"/>
      <c r="H42" s="357"/>
      <c r="I42" s="54">
        <f t="shared" si="6"/>
        <v>0</v>
      </c>
      <c r="J42" s="54"/>
    </row>
    <row r="43" spans="1:11" ht="15.75" x14ac:dyDescent="0.25">
      <c r="B43" s="54" t="s">
        <v>416</v>
      </c>
      <c r="C43" s="54">
        <f>SAO!I29</f>
        <v>55652</v>
      </c>
      <c r="D43" s="357">
        <f>D18</f>
        <v>0</v>
      </c>
      <c r="E43" s="357">
        <f t="shared" ref="E43:H43" si="9">E18</f>
        <v>0</v>
      </c>
      <c r="F43" s="357">
        <f t="shared" si="9"/>
        <v>42402</v>
      </c>
      <c r="G43" s="357">
        <f t="shared" si="9"/>
        <v>7327</v>
      </c>
      <c r="H43" s="357">
        <f t="shared" si="9"/>
        <v>5923</v>
      </c>
      <c r="I43" s="54">
        <f t="shared" si="6"/>
        <v>55652</v>
      </c>
      <c r="J43" s="54"/>
    </row>
    <row r="44" spans="1:11" ht="15.75" x14ac:dyDescent="0.25">
      <c r="B44" s="54" t="s">
        <v>417</v>
      </c>
      <c r="C44" s="54">
        <f>C19</f>
        <v>35861</v>
      </c>
      <c r="D44" s="357">
        <f t="shared" ref="D44:H44" si="10">D19</f>
        <v>0</v>
      </c>
      <c r="E44" s="357">
        <f t="shared" si="10"/>
        <v>0</v>
      </c>
      <c r="F44" s="357">
        <f t="shared" si="10"/>
        <v>19271</v>
      </c>
      <c r="G44" s="357">
        <f t="shared" si="10"/>
        <v>9719</v>
      </c>
      <c r="H44" s="357">
        <f t="shared" si="10"/>
        <v>6871</v>
      </c>
      <c r="I44" s="54">
        <f t="shared" si="6"/>
        <v>35861</v>
      </c>
      <c r="J44" s="54"/>
    </row>
    <row r="45" spans="1:11" ht="15.75" x14ac:dyDescent="0.25">
      <c r="B45" s="54" t="s">
        <v>418</v>
      </c>
      <c r="C45" s="54">
        <f>C20</f>
        <v>9939</v>
      </c>
      <c r="D45" s="357">
        <f t="shared" ref="D45:H45" si="11">D20</f>
        <v>0</v>
      </c>
      <c r="E45" s="357">
        <f t="shared" si="11"/>
        <v>0</v>
      </c>
      <c r="F45" s="357">
        <f t="shared" si="11"/>
        <v>5362</v>
      </c>
      <c r="G45" s="357">
        <f t="shared" si="11"/>
        <v>2694</v>
      </c>
      <c r="H45" s="357">
        <f t="shared" si="11"/>
        <v>1883</v>
      </c>
      <c r="I45" s="54">
        <f t="shared" si="6"/>
        <v>9939</v>
      </c>
      <c r="J45" s="54"/>
    </row>
    <row r="46" spans="1:11" ht="15.75" x14ac:dyDescent="0.25">
      <c r="B46" s="54" t="s">
        <v>419</v>
      </c>
      <c r="C46" s="54">
        <v>0</v>
      </c>
      <c r="D46" s="357">
        <f t="shared" ref="D46:H46" si="12">D21</f>
        <v>0</v>
      </c>
      <c r="E46" s="357">
        <f t="shared" si="12"/>
        <v>0</v>
      </c>
      <c r="F46" s="357">
        <f t="shared" si="12"/>
        <v>0</v>
      </c>
      <c r="G46" s="357">
        <f t="shared" si="12"/>
        <v>0</v>
      </c>
      <c r="H46" s="357">
        <f t="shared" si="12"/>
        <v>0</v>
      </c>
      <c r="I46" s="54">
        <f t="shared" si="6"/>
        <v>0</v>
      </c>
      <c r="J46" s="54"/>
    </row>
    <row r="47" spans="1:11" ht="15.75" x14ac:dyDescent="0.25">
      <c r="B47" s="54" t="s">
        <v>191</v>
      </c>
      <c r="C47" s="54">
        <f>SAO!I31</f>
        <v>4390</v>
      </c>
      <c r="D47" s="357">
        <f t="shared" ref="D47:H47" si="13">D22</f>
        <v>0</v>
      </c>
      <c r="E47" s="357">
        <f t="shared" si="13"/>
        <v>0</v>
      </c>
      <c r="F47" s="357">
        <f t="shared" si="13"/>
        <v>0</v>
      </c>
      <c r="G47" s="357">
        <f t="shared" si="13"/>
        <v>0</v>
      </c>
      <c r="H47" s="357">
        <f t="shared" si="13"/>
        <v>4390</v>
      </c>
      <c r="I47" s="54">
        <f t="shared" si="6"/>
        <v>4390</v>
      </c>
      <c r="J47" s="54"/>
    </row>
    <row r="48" spans="1:11" ht="15.75" x14ac:dyDescent="0.25">
      <c r="B48" s="54" t="s">
        <v>192</v>
      </c>
      <c r="C48" s="54">
        <f>SAO!I32</f>
        <v>6870</v>
      </c>
      <c r="D48" s="357">
        <f t="shared" ref="D48:H48" si="14">D23</f>
        <v>0</v>
      </c>
      <c r="E48" s="357">
        <f t="shared" si="14"/>
        <v>0</v>
      </c>
      <c r="F48" s="357">
        <f t="shared" si="14"/>
        <v>0</v>
      </c>
      <c r="G48" s="357">
        <f t="shared" si="14"/>
        <v>6870</v>
      </c>
      <c r="H48" s="357">
        <f t="shared" si="14"/>
        <v>0</v>
      </c>
      <c r="I48" s="54">
        <f t="shared" si="6"/>
        <v>6870</v>
      </c>
      <c r="J48" s="54"/>
    </row>
    <row r="49" spans="2:10" ht="18" x14ac:dyDescent="0.4">
      <c r="B49" s="54" t="s">
        <v>420</v>
      </c>
      <c r="C49" s="140">
        <f>SAO!I33</f>
        <v>37048</v>
      </c>
      <c r="D49" s="359">
        <f t="shared" ref="D49:H49" si="15">D24</f>
        <v>0</v>
      </c>
      <c r="E49" s="359">
        <f t="shared" si="15"/>
        <v>0</v>
      </c>
      <c r="F49" s="359">
        <f t="shared" si="15"/>
        <v>19919</v>
      </c>
      <c r="G49" s="359">
        <f t="shared" si="15"/>
        <v>10024</v>
      </c>
      <c r="H49" s="359">
        <f t="shared" si="15"/>
        <v>7105</v>
      </c>
      <c r="I49" s="140">
        <f t="shared" si="6"/>
        <v>37048</v>
      </c>
      <c r="J49" s="54"/>
    </row>
    <row r="50" spans="2:10" ht="15.75" x14ac:dyDescent="0.25">
      <c r="B50" s="54" t="s">
        <v>162</v>
      </c>
      <c r="C50" s="54">
        <f t="shared" ref="C50:H50" si="16">SUM(C30:C49)</f>
        <v>5240065.8099255273</v>
      </c>
      <c r="D50" s="54">
        <f t="shared" si="16"/>
        <v>3484470.8094457737</v>
      </c>
      <c r="E50" s="54">
        <f t="shared" si="16"/>
        <v>0</v>
      </c>
      <c r="F50" s="54">
        <f t="shared" si="16"/>
        <v>941357.57769271662</v>
      </c>
      <c r="G50" s="54">
        <f t="shared" si="16"/>
        <v>410019.24638528732</v>
      </c>
      <c r="H50" s="54">
        <f t="shared" si="16"/>
        <v>404216.54376326938</v>
      </c>
      <c r="I50" s="54">
        <f>SUM(I30:I49)</f>
        <v>5240064.1772870468</v>
      </c>
      <c r="J50" s="54">
        <f>SUM(D50:H50)</f>
        <v>5240064.1772870477</v>
      </c>
    </row>
    <row r="51" spans="2:10" ht="18" x14ac:dyDescent="0.4">
      <c r="B51" s="207" t="s">
        <v>423</v>
      </c>
      <c r="C51" s="140">
        <f>SAO!I36</f>
        <v>777417.74929126981</v>
      </c>
      <c r="D51" s="54"/>
      <c r="E51" s="54"/>
      <c r="F51" s="54"/>
      <c r="G51" s="54"/>
      <c r="H51" s="54"/>
      <c r="I51" s="54"/>
      <c r="J51" s="54"/>
    </row>
    <row r="52" spans="2:10" ht="15.75" x14ac:dyDescent="0.25">
      <c r="B52" s="54"/>
      <c r="C52" s="54">
        <f>C50+C51</f>
        <v>6017483.5592167974</v>
      </c>
      <c r="D52" s="54"/>
      <c r="G52" s="54"/>
      <c r="H52" s="54"/>
      <c r="I52" s="54"/>
      <c r="J52" s="54"/>
    </row>
    <row r="53" spans="2:10" ht="15.75" x14ac:dyDescent="0.25">
      <c r="B53" s="54"/>
      <c r="C53" s="54"/>
      <c r="D53" s="54"/>
      <c r="E53" s="54"/>
      <c r="F53" s="54"/>
      <c r="G53" s="54"/>
      <c r="H53" s="54"/>
      <c r="J53" s="54"/>
    </row>
    <row r="54" spans="2:10" ht="15.75" x14ac:dyDescent="0.25">
      <c r="B54" s="54"/>
      <c r="C54" s="54"/>
      <c r="D54" s="54"/>
      <c r="E54" s="54">
        <f>D50+E50</f>
        <v>3484470.8094457737</v>
      </c>
      <c r="F54" s="54">
        <f>SUM(D30:E49)</f>
        <v>3484470.8094457737</v>
      </c>
      <c r="G54" s="54"/>
      <c r="H54" s="54"/>
      <c r="I54" s="54">
        <f>SUM(I44:I46)</f>
        <v>45800</v>
      </c>
      <c r="J54" s="54"/>
    </row>
    <row r="55" spans="2:10" ht="15.75" x14ac:dyDescent="0.25">
      <c r="B55" s="54"/>
      <c r="C55" s="54"/>
      <c r="D55" s="54"/>
      <c r="E55" s="54"/>
      <c r="F55" s="54"/>
      <c r="G55" s="54"/>
      <c r="H55" s="54"/>
      <c r="I55" s="54"/>
      <c r="J55" s="54"/>
    </row>
    <row r="56" spans="2:10" ht="15.75" x14ac:dyDescent="0.25">
      <c r="B56" s="54"/>
      <c r="C56" s="54"/>
      <c r="D56" s="54"/>
      <c r="E56" s="54"/>
      <c r="F56" s="54"/>
      <c r="G56" s="54"/>
      <c r="H56" s="54"/>
      <c r="I56" s="54"/>
      <c r="J56" s="54"/>
    </row>
    <row r="57" spans="2:10" ht="15.75" x14ac:dyDescent="0.25">
      <c r="B57" s="54"/>
      <c r="C57" s="54"/>
      <c r="D57" s="54"/>
      <c r="E57" s="54"/>
      <c r="F57" s="54"/>
      <c r="G57" s="54"/>
      <c r="H57" s="54"/>
      <c r="I57" s="54"/>
      <c r="J57" s="54"/>
    </row>
  </sheetData>
  <printOptions horizontalCentered="1"/>
  <pageMargins left="0.45" right="0.45" top="0.5" bottom="0.5" header="0.3" footer="0.3"/>
  <pageSetup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SAO</vt:lpstr>
      <vt:lpstr>Adj</vt:lpstr>
      <vt:lpstr>Resale</vt:lpstr>
      <vt:lpstr>Depr</vt:lpstr>
      <vt:lpstr>Sys</vt:lpstr>
      <vt:lpstr>Fac</vt:lpstr>
      <vt:lpstr>Al_DepW</vt:lpstr>
      <vt:lpstr>Al_Plt</vt:lpstr>
      <vt:lpstr>mtrx</vt:lpstr>
      <vt:lpstr>Whol</vt:lpstr>
      <vt:lpstr>AlocOM_R</vt:lpstr>
      <vt:lpstr>AlocSum</vt:lpstr>
      <vt:lpstr>CalcRet</vt:lpstr>
      <vt:lpstr>ExBA</vt:lpstr>
      <vt:lpstr>PrBA</vt:lpstr>
      <vt:lpstr>Rates</vt:lpstr>
      <vt:lpstr>Al_DepW!Print_Area</vt:lpstr>
      <vt:lpstr>Al_Plt!Print_Area</vt:lpstr>
      <vt:lpstr>AlocOM_R!Print_Area</vt:lpstr>
      <vt:lpstr>AlocSum!Print_Area</vt:lpstr>
      <vt:lpstr>CalcRet!Print_Area</vt:lpstr>
      <vt:lpstr>Depr!Print_Area</vt:lpstr>
      <vt:lpstr>ExBA!Print_Area</vt:lpstr>
      <vt:lpstr>Fac!Print_Area</vt:lpstr>
      <vt:lpstr>mtrx!Print_Area</vt:lpstr>
      <vt:lpstr>PrBA!Print_Area</vt:lpstr>
      <vt:lpstr>Rates!Print_Area</vt:lpstr>
      <vt:lpstr>SAO!Print_Area</vt:lpstr>
      <vt:lpstr>Sys!Print_Area</vt:lpstr>
      <vt:lpstr>Whol!Print_Area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Vilines</cp:lastModifiedBy>
  <cp:lastPrinted>2022-06-26T22:05:34Z</cp:lastPrinted>
  <dcterms:created xsi:type="dcterms:W3CDTF">2016-05-18T14:12:06Z</dcterms:created>
  <dcterms:modified xsi:type="dcterms:W3CDTF">2022-07-26T19:37:04Z</dcterms:modified>
</cp:coreProperties>
</file>