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4_{A4459E0E-F3CF-4513-AA29-7438B70051FB}" xr6:coauthVersionLast="36" xr6:coauthVersionMax="36" xr10:uidLastSave="{00000000-0000-0000-0000-000000000000}"/>
  <bookViews>
    <workbookView xWindow="0" yWindow="0" windowWidth="19200" windowHeight="6930" activeTab="1" xr2:uid="{778E8B81-4ADD-4772-8F78-AD8994F4BE4E}"/>
  </bookViews>
  <sheets>
    <sheet name="2021" sheetId="1" r:id="rId1"/>
    <sheet name="2020" sheetId="2" r:id="rId2"/>
  </sheets>
  <definedNames>
    <definedName name="_xlnm.Print_Area" localSheetId="1">'2020'!$A$1:$P$26</definedName>
    <definedName name="_xlnm.Print_Area" localSheetId="0">'2021'!$A$1:$P$29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24" i="2" l="1"/>
  <c r="L125" i="2" s="1"/>
  <c r="L126" i="2" s="1"/>
  <c r="L127" i="2" s="1"/>
  <c r="L123" i="2"/>
  <c r="L117" i="2"/>
  <c r="N113" i="2"/>
  <c r="L113" i="2"/>
  <c r="M21" i="2" s="1"/>
  <c r="R111" i="2"/>
  <c r="M111" i="2"/>
  <c r="L111" i="2"/>
  <c r="M96" i="2"/>
  <c r="R96" i="2" s="1"/>
  <c r="L96" i="2"/>
  <c r="N80" i="2"/>
  <c r="L80" i="2"/>
  <c r="P79" i="2"/>
  <c r="M79" i="2"/>
  <c r="M81" i="2" s="1"/>
  <c r="I20" i="2" s="1"/>
  <c r="I22" i="2" s="1"/>
  <c r="N65" i="2"/>
  <c r="N79" i="2" s="1"/>
  <c r="N81" i="2" s="1"/>
  <c r="G20" i="2" s="1"/>
  <c r="G22" i="2" s="1"/>
  <c r="L65" i="2"/>
  <c r="K77" i="2" s="1"/>
  <c r="M63" i="2"/>
  <c r="N62" i="2"/>
  <c r="L62" i="2"/>
  <c r="F21" i="2" s="1"/>
  <c r="P61" i="2"/>
  <c r="N61" i="2"/>
  <c r="N63" i="2" s="1"/>
  <c r="G21" i="2" s="1"/>
  <c r="M61" i="2"/>
  <c r="R59" i="2"/>
  <c r="O59" i="2"/>
  <c r="K59" i="2"/>
  <c r="N47" i="2"/>
  <c r="L47" i="2"/>
  <c r="K45" i="2"/>
  <c r="N33" i="2"/>
  <c r="L33" i="2"/>
  <c r="N22" i="2"/>
  <c r="L22" i="2"/>
  <c r="C22" i="2"/>
  <c r="L21" i="2"/>
  <c r="J21" i="2"/>
  <c r="I21" i="2"/>
  <c r="H21" i="2"/>
  <c r="C21" i="2"/>
  <c r="B21" i="2"/>
  <c r="B22" i="2" s="1"/>
  <c r="L20" i="2"/>
  <c r="J20" i="2"/>
  <c r="J22" i="2" s="1"/>
  <c r="H20" i="2"/>
  <c r="H22" i="2" s="1"/>
  <c r="F20" i="2"/>
  <c r="D20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N25" i="2" s="1"/>
  <c r="L17" i="2"/>
  <c r="L25" i="2" s="1"/>
  <c r="F17" i="2"/>
  <c r="N14" i="2"/>
  <c r="M14" i="2"/>
  <c r="M17" i="2" s="1"/>
  <c r="L14" i="2"/>
  <c r="K14" i="2"/>
  <c r="K17" i="2" s="1"/>
  <c r="J14" i="2"/>
  <c r="J17" i="2" s="1"/>
  <c r="J25" i="2" s="1"/>
  <c r="I14" i="2"/>
  <c r="I17" i="2" s="1"/>
  <c r="H14" i="2"/>
  <c r="P14" i="2" s="1"/>
  <c r="G14" i="2"/>
  <c r="G17" i="2" s="1"/>
  <c r="F14" i="2"/>
  <c r="E14" i="2"/>
  <c r="E17" i="2" s="1"/>
  <c r="C14" i="2"/>
  <c r="C17" i="2" s="1"/>
  <c r="C25" i="2" s="1"/>
  <c r="B14" i="2"/>
  <c r="B17" i="2" s="1"/>
  <c r="P13" i="2"/>
  <c r="O13" i="2"/>
  <c r="D13" i="2"/>
  <c r="P12" i="2"/>
  <c r="O12" i="2"/>
  <c r="D12" i="2"/>
  <c r="P11" i="2"/>
  <c r="O11" i="2"/>
  <c r="D11" i="2"/>
  <c r="D14" i="2" s="1"/>
  <c r="L131" i="1"/>
  <c r="N116" i="1"/>
  <c r="M116" i="1"/>
  <c r="L116" i="1"/>
  <c r="R114" i="1"/>
  <c r="M114" i="1"/>
  <c r="L114" i="1"/>
  <c r="M99" i="1"/>
  <c r="L99" i="1"/>
  <c r="R99" i="1" s="1"/>
  <c r="N84" i="1"/>
  <c r="N83" i="1"/>
  <c r="P82" i="1"/>
  <c r="O82" i="1"/>
  <c r="N82" i="1"/>
  <c r="M82" i="1"/>
  <c r="M84" i="1" s="1"/>
  <c r="I23" i="1" s="1"/>
  <c r="I25" i="1" s="1"/>
  <c r="L82" i="1"/>
  <c r="L84" i="1" s="1"/>
  <c r="R80" i="1"/>
  <c r="O80" i="1"/>
  <c r="K80" i="1"/>
  <c r="M66" i="1"/>
  <c r="N65" i="1"/>
  <c r="H24" i="1" s="1"/>
  <c r="P24" i="1" s="1"/>
  <c r="P64" i="1"/>
  <c r="N64" i="1"/>
  <c r="N66" i="1" s="1"/>
  <c r="G24" i="1" s="1"/>
  <c r="M64" i="1"/>
  <c r="K62" i="1"/>
  <c r="R48" i="1"/>
  <c r="O48" i="1"/>
  <c r="K48" i="1"/>
  <c r="N25" i="1"/>
  <c r="L25" i="1"/>
  <c r="M24" i="1"/>
  <c r="L24" i="1"/>
  <c r="K24" i="1"/>
  <c r="J24" i="1"/>
  <c r="J25" i="1" s="1"/>
  <c r="I24" i="1"/>
  <c r="F24" i="1"/>
  <c r="C24" i="1"/>
  <c r="C25" i="1" s="1"/>
  <c r="B24" i="1"/>
  <c r="B25" i="1" s="1"/>
  <c r="L23" i="1"/>
  <c r="J23" i="1"/>
  <c r="H23" i="1"/>
  <c r="P23" i="1" s="1"/>
  <c r="G23" i="1"/>
  <c r="G25" i="1" s="1"/>
  <c r="F23" i="1"/>
  <c r="F25" i="1" s="1"/>
  <c r="D23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L28" i="1" s="1"/>
  <c r="G20" i="1"/>
  <c r="E20" i="1"/>
  <c r="N17" i="1"/>
  <c r="N20" i="1" s="1"/>
  <c r="N28" i="1" s="1"/>
  <c r="M17" i="1"/>
  <c r="L17" i="1"/>
  <c r="K17" i="1"/>
  <c r="K20" i="1" s="1"/>
  <c r="J17" i="1"/>
  <c r="J20" i="1" s="1"/>
  <c r="J28" i="1" s="1"/>
  <c r="I17" i="1"/>
  <c r="I20" i="1" s="1"/>
  <c r="I28" i="1" s="1"/>
  <c r="H17" i="1"/>
  <c r="H20" i="1" s="1"/>
  <c r="G17" i="1"/>
  <c r="F17" i="1"/>
  <c r="P17" i="1" s="1"/>
  <c r="E17" i="1"/>
  <c r="C17" i="1"/>
  <c r="C20" i="1" s="1"/>
  <c r="B17" i="1"/>
  <c r="B20" i="1" s="1"/>
  <c r="B28" i="1" s="1"/>
  <c r="P16" i="1"/>
  <c r="O16" i="1"/>
  <c r="D16" i="1"/>
  <c r="P15" i="1"/>
  <c r="D15" i="1"/>
  <c r="O15" i="1" s="1"/>
  <c r="P14" i="1"/>
  <c r="O14" i="1"/>
  <c r="D14" i="1"/>
  <c r="P13" i="1"/>
  <c r="D13" i="1"/>
  <c r="O13" i="1" s="1"/>
  <c r="P12" i="1"/>
  <c r="D12" i="1"/>
  <c r="D17" i="1" s="1"/>
  <c r="P11" i="1"/>
  <c r="O11" i="1"/>
  <c r="D11" i="1"/>
  <c r="G25" i="2" l="1"/>
  <c r="C28" i="1"/>
  <c r="I25" i="2"/>
  <c r="E23" i="1"/>
  <c r="R84" i="1"/>
  <c r="O14" i="2"/>
  <c r="D17" i="2"/>
  <c r="P21" i="2"/>
  <c r="F22" i="2"/>
  <c r="P22" i="2" s="1"/>
  <c r="O77" i="2"/>
  <c r="O79" i="2" s="1"/>
  <c r="L79" i="2" s="1"/>
  <c r="L81" i="2" s="1"/>
  <c r="E20" i="2" s="1"/>
  <c r="B25" i="2"/>
  <c r="D20" i="1"/>
  <c r="O17" i="1"/>
  <c r="G28" i="1"/>
  <c r="P20" i="2"/>
  <c r="M113" i="2"/>
  <c r="K21" i="2" s="1"/>
  <c r="F20" i="1"/>
  <c r="D24" i="1"/>
  <c r="O62" i="1"/>
  <c r="R62" i="1" s="1"/>
  <c r="F25" i="2"/>
  <c r="O45" i="2"/>
  <c r="O61" i="2" s="1"/>
  <c r="L61" i="2" s="1"/>
  <c r="L63" i="2" s="1"/>
  <c r="E21" i="2" s="1"/>
  <c r="D21" i="2"/>
  <c r="H25" i="1"/>
  <c r="P25" i="1" s="1"/>
  <c r="M131" i="1"/>
  <c r="K23" i="1" s="1"/>
  <c r="K25" i="1" s="1"/>
  <c r="K28" i="1" s="1"/>
  <c r="L118" i="2"/>
  <c r="L119" i="2" s="1"/>
  <c r="L120" i="2" s="1"/>
  <c r="L121" i="2" s="1"/>
  <c r="O12" i="1"/>
  <c r="M23" i="1"/>
  <c r="M25" i="1" s="1"/>
  <c r="M28" i="1" s="1"/>
  <c r="H17" i="2"/>
  <c r="H25" i="2" s="1"/>
  <c r="R134" i="1" l="1"/>
  <c r="E22" i="2"/>
  <c r="O23" i="1"/>
  <c r="O21" i="2"/>
  <c r="D22" i="2"/>
  <c r="R77" i="2"/>
  <c r="R45" i="2"/>
  <c r="P17" i="2"/>
  <c r="H28" i="1"/>
  <c r="L128" i="2"/>
  <c r="P25" i="2"/>
  <c r="R131" i="1"/>
  <c r="O64" i="1"/>
  <c r="L64" i="1" s="1"/>
  <c r="L66" i="1" s="1"/>
  <c r="E24" i="1" s="1"/>
  <c r="E25" i="1" s="1"/>
  <c r="O24" i="1"/>
  <c r="D25" i="1"/>
  <c r="O20" i="1"/>
  <c r="O17" i="2"/>
  <c r="P20" i="1"/>
  <c r="F28" i="1"/>
  <c r="P28" i="1" s="1"/>
  <c r="P31" i="1" l="1"/>
  <c r="R31" i="1" s="1"/>
  <c r="E28" i="1"/>
  <c r="D25" i="2"/>
  <c r="O25" i="1"/>
  <c r="M128" i="2"/>
  <c r="K20" i="2" s="1"/>
  <c r="M20" i="2"/>
  <c r="M22" i="2" s="1"/>
  <c r="M25" i="2" s="1"/>
  <c r="E25" i="2"/>
  <c r="D28" i="1"/>
  <c r="O28" i="1" s="1"/>
  <c r="K22" i="2" l="1"/>
  <c r="O20" i="2"/>
  <c r="R128" i="2"/>
  <c r="K25" i="2" l="1"/>
  <c r="O25" i="2" s="1"/>
  <c r="P28" i="2"/>
  <c r="P30" i="2" s="1"/>
  <c r="O22" i="2"/>
</calcChain>
</file>

<file path=xl/sharedStrings.xml><?xml version="1.0" encoding="utf-8"?>
<sst xmlns="http://schemas.openxmlformats.org/spreadsheetml/2006/main" count="151" uniqueCount="51">
  <si>
    <t>Schedule I</t>
  </si>
  <si>
    <t>Daviess County Water District</t>
  </si>
  <si>
    <t>Case No. 2022-00142</t>
  </si>
  <si>
    <t>Analysis of Compensation and Benefit Data, in gross dollars</t>
  </si>
  <si>
    <t>For the 12 Months Ended December 31, 2021</t>
  </si>
  <si>
    <t>Employee Categories</t>
  </si>
  <si>
    <t>Compensation by Category</t>
  </si>
  <si>
    <t>Subtotal All Compensation</t>
  </si>
  <si>
    <t>Healthcare</t>
  </si>
  <si>
    <t>Dental</t>
  </si>
  <si>
    <t>Life/STD/LTD/ADD</t>
  </si>
  <si>
    <t>457B Retirement</t>
  </si>
  <si>
    <t>Defined Contribution Plan - Utility</t>
  </si>
  <si>
    <t>Other</t>
  </si>
  <si>
    <t>Total Compensation and Benefits</t>
  </si>
  <si>
    <t>Regular</t>
  </si>
  <si>
    <t>Overtime</t>
  </si>
  <si>
    <t>Utility</t>
  </si>
  <si>
    <t>Employee</t>
  </si>
  <si>
    <t>Contribution</t>
  </si>
  <si>
    <t>Corporate Offices (Individually)</t>
  </si>
  <si>
    <t>Christina O'Bryan</t>
  </si>
  <si>
    <t>Hugh Bittel</t>
  </si>
  <si>
    <t>John Bell</t>
  </si>
  <si>
    <t>Stanley Conn</t>
  </si>
  <si>
    <t>James Kuegel</t>
  </si>
  <si>
    <t>Philip Haire</t>
  </si>
  <si>
    <t>Total Amount</t>
  </si>
  <si>
    <t>Total KY Jurisdictional</t>
  </si>
  <si>
    <t>Corporate Officers (Collectively)</t>
  </si>
  <si>
    <t>All Other Employee Categories (Separate by Category)</t>
  </si>
  <si>
    <t>General Manager</t>
  </si>
  <si>
    <t>Non-Union Hourly</t>
  </si>
  <si>
    <t>Total for All Categories</t>
  </si>
  <si>
    <t xml:space="preserve"> </t>
  </si>
  <si>
    <t>Health</t>
  </si>
  <si>
    <t>Life</t>
  </si>
  <si>
    <t>ded</t>
  </si>
  <si>
    <t>604-5</t>
  </si>
  <si>
    <t>604-7</t>
  </si>
  <si>
    <t>GROSS</t>
  </si>
  <si>
    <t>EE CONTRIBUTION</t>
  </si>
  <si>
    <t>UTILITY CONTR</t>
  </si>
  <si>
    <t>604-8</t>
  </si>
  <si>
    <t>401a (UC)</t>
  </si>
  <si>
    <t>457b (U C)</t>
  </si>
  <si>
    <t>(EE CONT)</t>
  </si>
  <si>
    <t>607-5</t>
  </si>
  <si>
    <t>607-7</t>
  </si>
  <si>
    <t>607-8</t>
  </si>
  <si>
    <t>For the 12 Months Ended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</si>
</sst>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44" fontId="0" fillId="0" borderId="12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12" xfId="1" applyFont="1" applyBorder="1"/>
    <xf numFmtId="0" fontId="0" fillId="0" borderId="4" xfId="0" applyFill="1" applyBorder="1" applyAlignment="1">
      <alignment horizontal="right"/>
    </xf>
    <xf numFmtId="44" fontId="0" fillId="0" borderId="14" xfId="1" applyFont="1" applyBorder="1"/>
    <xf numFmtId="44" fontId="0" fillId="0" borderId="12" xfId="0" applyNumberFormat="1" applyBorder="1"/>
    <xf numFmtId="44" fontId="0" fillId="0" borderId="14" xfId="0" applyNumberFormat="1" applyBorder="1"/>
    <xf numFmtId="0" fontId="2" fillId="0" borderId="4" xfId="0" applyFont="1" applyFill="1" applyBorder="1" applyAlignment="1">
      <alignment horizontal="left" wrapText="1"/>
    </xf>
    <xf numFmtId="0" fontId="0" fillId="0" borderId="12" xfId="0" applyBorder="1"/>
    <xf numFmtId="0" fontId="0" fillId="0" borderId="14" xfId="0" applyBorder="1"/>
    <xf numFmtId="0" fontId="2" fillId="0" borderId="4" xfId="0" applyFont="1" applyBorder="1"/>
    <xf numFmtId="0" fontId="0" fillId="0" borderId="15" xfId="0" applyFill="1" applyBorder="1" applyAlignment="1">
      <alignment horizontal="right"/>
    </xf>
    <xf numFmtId="0" fontId="0" fillId="0" borderId="16" xfId="0" applyBorder="1"/>
    <xf numFmtId="0" fontId="0" fillId="0" borderId="17" xfId="0" applyBorder="1"/>
    <xf numFmtId="44" fontId="0" fillId="0" borderId="0" xfId="0" applyNumberFormat="1"/>
    <xf numFmtId="0" fontId="0" fillId="2" borderId="0" xfId="0" applyFill="1"/>
    <xf numFmtId="0" fontId="0" fillId="0" borderId="0" xfId="0" applyFill="1"/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503F4-4723-4ACA-99BA-BE7C69E1A99D}">
  <sheetPr>
    <pageSetUpPr fitToPage="1"/>
  </sheetPr>
  <dimension ref="A1:R134"/>
  <sheetViews>
    <sheetView topLeftCell="A7" workbookViewId="0">
      <selection activeCell="A11" sqref="A11:A16"/>
    </sheetView>
  </sheetViews>
  <sheetFormatPr defaultRowHeight="15" x14ac:dyDescent="0.25"/>
  <cols>
    <col min="1" max="1" width="21.140625" customWidth="1"/>
    <col min="2" max="2" width="12.85546875" customWidth="1"/>
    <col min="3" max="3" width="12.140625" customWidth="1"/>
    <col min="4" max="4" width="15.7109375" customWidth="1"/>
    <col min="5" max="5" width="14.7109375" customWidth="1"/>
    <col min="6" max="6" width="10.5703125" customWidth="1"/>
    <col min="7" max="8" width="10.85546875" customWidth="1"/>
    <col min="9" max="9" width="12.5703125" bestFit="1" customWidth="1"/>
    <col min="10" max="10" width="9.7109375" customWidth="1"/>
    <col min="11" max="12" width="11.5703125" bestFit="1" customWidth="1"/>
    <col min="13" max="13" width="12.7109375" customWidth="1"/>
    <col min="14" max="14" width="11.140625" customWidth="1"/>
    <col min="15" max="15" width="14.28515625" bestFit="1" customWidth="1"/>
    <col min="16" max="16" width="14.140625" customWidth="1"/>
    <col min="18" max="18" width="11.28515625" bestFit="1" customWidth="1"/>
  </cols>
  <sheetData>
    <row r="1" spans="1:1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 t="s">
        <v>0</v>
      </c>
    </row>
    <row r="2" spans="1:16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</row>
    <row r="3" spans="1:16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16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40" t="s">
        <v>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x14ac:dyDescent="0.25">
      <c r="A6" s="40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spans="1:16" ht="48" customHeight="1" x14ac:dyDescent="0.25">
      <c r="A8" s="10" t="s">
        <v>5</v>
      </c>
      <c r="B8" s="38" t="s">
        <v>6</v>
      </c>
      <c r="C8" s="43"/>
      <c r="D8" s="44" t="s">
        <v>7</v>
      </c>
      <c r="E8" s="46" t="s">
        <v>8</v>
      </c>
      <c r="F8" s="47"/>
      <c r="G8" s="46" t="s">
        <v>9</v>
      </c>
      <c r="H8" s="47"/>
      <c r="I8" s="46" t="s">
        <v>10</v>
      </c>
      <c r="J8" s="47"/>
      <c r="K8" s="46" t="s">
        <v>11</v>
      </c>
      <c r="L8" s="47"/>
      <c r="M8" s="11" t="s">
        <v>12</v>
      </c>
      <c r="N8" s="11" t="s">
        <v>13</v>
      </c>
      <c r="O8" s="38" t="s">
        <v>14</v>
      </c>
      <c r="P8" s="39"/>
    </row>
    <row r="9" spans="1:16" x14ac:dyDescent="0.25">
      <c r="A9" s="12"/>
      <c r="B9" s="13" t="s">
        <v>15</v>
      </c>
      <c r="C9" s="13" t="s">
        <v>16</v>
      </c>
      <c r="D9" s="45"/>
      <c r="E9" s="14" t="s">
        <v>17</v>
      </c>
      <c r="F9" s="13" t="s">
        <v>18</v>
      </c>
      <c r="G9" s="13" t="s">
        <v>17</v>
      </c>
      <c r="H9" s="13" t="s">
        <v>18</v>
      </c>
      <c r="I9" s="13" t="s">
        <v>17</v>
      </c>
      <c r="J9" s="13" t="s">
        <v>18</v>
      </c>
      <c r="K9" s="13" t="s">
        <v>17</v>
      </c>
      <c r="L9" s="13" t="s">
        <v>18</v>
      </c>
      <c r="M9" s="15" t="s">
        <v>19</v>
      </c>
      <c r="N9" s="16"/>
      <c r="O9" s="13" t="s">
        <v>17</v>
      </c>
      <c r="P9" s="17" t="s">
        <v>18</v>
      </c>
    </row>
    <row r="10" spans="1:16" ht="31.5" customHeight="1" x14ac:dyDescent="0.25">
      <c r="A10" s="18" t="s">
        <v>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1:16" ht="15" customHeight="1" x14ac:dyDescent="0.25">
      <c r="A11" s="19" t="s">
        <v>21</v>
      </c>
      <c r="B11" s="20">
        <v>3000</v>
      </c>
      <c r="C11" s="20">
        <v>0</v>
      </c>
      <c r="D11" s="20">
        <f>+B11+C11</f>
        <v>3000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f t="shared" ref="O11:O17" si="0">+D11+E11+G11+I11+K11+M11+N11</f>
        <v>3000</v>
      </c>
      <c r="P11" s="21">
        <f t="shared" ref="P11:P17" si="1">+F11+H11+J11+L11</f>
        <v>0</v>
      </c>
    </row>
    <row r="12" spans="1:16" ht="15" customHeight="1" x14ac:dyDescent="0.25">
      <c r="A12" s="19" t="s">
        <v>22</v>
      </c>
      <c r="B12" s="20">
        <v>3000</v>
      </c>
      <c r="C12" s="20">
        <v>0</v>
      </c>
      <c r="D12" s="20">
        <f t="shared" ref="D12:D16" si="2">+B12+C12</f>
        <v>3000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f t="shared" si="0"/>
        <v>3000</v>
      </c>
      <c r="P12" s="21">
        <f t="shared" si="1"/>
        <v>0</v>
      </c>
    </row>
    <row r="13" spans="1:16" ht="15" customHeight="1" x14ac:dyDescent="0.25">
      <c r="A13" s="19" t="s">
        <v>23</v>
      </c>
      <c r="B13" s="20">
        <v>3000</v>
      </c>
      <c r="C13" s="20">
        <v>0</v>
      </c>
      <c r="D13" s="20">
        <f t="shared" si="2"/>
        <v>3000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f t="shared" si="0"/>
        <v>3000</v>
      </c>
      <c r="P13" s="21">
        <f t="shared" si="1"/>
        <v>0</v>
      </c>
    </row>
    <row r="14" spans="1:16" ht="15" customHeight="1" x14ac:dyDescent="0.25">
      <c r="A14" s="19" t="s">
        <v>24</v>
      </c>
      <c r="B14" s="20">
        <v>3000</v>
      </c>
      <c r="C14" s="20">
        <v>0</v>
      </c>
      <c r="D14" s="20">
        <f t="shared" si="2"/>
        <v>3000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f t="shared" si="0"/>
        <v>3000</v>
      </c>
      <c r="P14" s="21">
        <f t="shared" si="1"/>
        <v>0</v>
      </c>
    </row>
    <row r="15" spans="1:16" ht="15" customHeight="1" x14ac:dyDescent="0.25">
      <c r="A15" s="19" t="s">
        <v>25</v>
      </c>
      <c r="B15" s="20">
        <v>3000</v>
      </c>
      <c r="C15" s="20">
        <v>0</v>
      </c>
      <c r="D15" s="20">
        <f t="shared" si="2"/>
        <v>3000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f t="shared" si="0"/>
        <v>3000</v>
      </c>
      <c r="P15" s="21">
        <f t="shared" si="1"/>
        <v>0</v>
      </c>
    </row>
    <row r="16" spans="1:16" ht="15" customHeight="1" x14ac:dyDescent="0.25">
      <c r="A16" s="19" t="s">
        <v>26</v>
      </c>
      <c r="B16" s="20">
        <v>3000</v>
      </c>
      <c r="C16" s="20">
        <v>0</v>
      </c>
      <c r="D16" s="20">
        <f t="shared" si="2"/>
        <v>3000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 t="shared" si="0"/>
        <v>3000</v>
      </c>
      <c r="P16" s="21">
        <f t="shared" si="1"/>
        <v>0</v>
      </c>
    </row>
    <row r="17" spans="1:18" x14ac:dyDescent="0.25">
      <c r="A17" s="22" t="s">
        <v>27</v>
      </c>
      <c r="B17" s="23">
        <f>SUM(B11:B16)</f>
        <v>18000</v>
      </c>
      <c r="C17" s="23">
        <f t="shared" ref="C17:N17" si="3">SUM(C11:C16)</f>
        <v>0</v>
      </c>
      <c r="D17" s="23">
        <f t="shared" si="3"/>
        <v>18000</v>
      </c>
      <c r="E17" s="23">
        <f t="shared" si="3"/>
        <v>0</v>
      </c>
      <c r="F17" s="23">
        <f t="shared" si="3"/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0">
        <f t="shared" si="0"/>
        <v>18000</v>
      </c>
      <c r="P17" s="21">
        <f t="shared" si="1"/>
        <v>0</v>
      </c>
    </row>
    <row r="18" spans="1:18" x14ac:dyDescent="0.25">
      <c r="A18" s="24" t="s">
        <v>28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5"/>
    </row>
    <row r="19" spans="1:18" ht="30" x14ac:dyDescent="0.25">
      <c r="A19" s="18" t="s">
        <v>29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8" x14ac:dyDescent="0.25">
      <c r="A20" s="22" t="s">
        <v>27</v>
      </c>
      <c r="B20" s="26">
        <f>+B17</f>
        <v>18000</v>
      </c>
      <c r="C20" s="26">
        <f t="shared" ref="C20:P21" si="4">+C17</f>
        <v>0</v>
      </c>
      <c r="D20" s="26">
        <f t="shared" si="4"/>
        <v>18000</v>
      </c>
      <c r="E20" s="26">
        <f t="shared" si="4"/>
        <v>0</v>
      </c>
      <c r="F20" s="26">
        <f t="shared" si="4"/>
        <v>0</v>
      </c>
      <c r="G20" s="26">
        <f t="shared" si="4"/>
        <v>0</v>
      </c>
      <c r="H20" s="26">
        <f t="shared" si="4"/>
        <v>0</v>
      </c>
      <c r="I20" s="26">
        <f t="shared" si="4"/>
        <v>0</v>
      </c>
      <c r="J20" s="26">
        <f t="shared" si="4"/>
        <v>0</v>
      </c>
      <c r="K20" s="26">
        <f t="shared" si="4"/>
        <v>0</v>
      </c>
      <c r="L20" s="26">
        <f t="shared" si="4"/>
        <v>0</v>
      </c>
      <c r="M20" s="26">
        <f t="shared" si="4"/>
        <v>0</v>
      </c>
      <c r="N20" s="26">
        <f t="shared" si="4"/>
        <v>0</v>
      </c>
      <c r="O20" s="20">
        <f>+D20+E20+G20+I20+K20+M20+N20</f>
        <v>18000</v>
      </c>
      <c r="P20" s="21">
        <f>+F20+H20+J20+L20</f>
        <v>0</v>
      </c>
    </row>
    <row r="21" spans="1:18" x14ac:dyDescent="0.25">
      <c r="A21" s="24" t="s">
        <v>28</v>
      </c>
      <c r="B21" s="26">
        <f>+B18</f>
        <v>0</v>
      </c>
      <c r="C21" s="26">
        <f t="shared" si="4"/>
        <v>0</v>
      </c>
      <c r="D21" s="26">
        <f t="shared" si="4"/>
        <v>0</v>
      </c>
      <c r="E21" s="26">
        <f t="shared" si="4"/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  <c r="J21" s="26">
        <f t="shared" si="4"/>
        <v>0</v>
      </c>
      <c r="K21" s="26">
        <f t="shared" si="4"/>
        <v>0</v>
      </c>
      <c r="L21" s="26">
        <f t="shared" si="4"/>
        <v>0</v>
      </c>
      <c r="M21" s="26">
        <f t="shared" si="4"/>
        <v>0</v>
      </c>
      <c r="N21" s="26">
        <f t="shared" si="4"/>
        <v>0</v>
      </c>
      <c r="O21" s="26">
        <f t="shared" si="4"/>
        <v>0</v>
      </c>
      <c r="P21" s="27">
        <f t="shared" si="4"/>
        <v>0</v>
      </c>
    </row>
    <row r="22" spans="1:18" ht="45" x14ac:dyDescent="0.25">
      <c r="A22" s="28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8" x14ac:dyDescent="0.25">
      <c r="A23" s="4" t="s">
        <v>31</v>
      </c>
      <c r="B23" s="23">
        <v>110200.68</v>
      </c>
      <c r="C23" s="23">
        <v>0</v>
      </c>
      <c r="D23" s="20">
        <f t="shared" ref="D23:D24" si="5">+B23+C23</f>
        <v>110200.68</v>
      </c>
      <c r="E23" s="23">
        <f>+L84-P80</f>
        <v>20076.260000000006</v>
      </c>
      <c r="F23" s="23">
        <f>+L83</f>
        <v>400</v>
      </c>
      <c r="G23" s="23">
        <f>+N84</f>
        <v>244.96000000000009</v>
      </c>
      <c r="H23" s="23">
        <f>+N83</f>
        <v>237.91999999999996</v>
      </c>
      <c r="I23" s="23">
        <f>+M84</f>
        <v>1861.1399999999996</v>
      </c>
      <c r="J23" s="23">
        <f>+M83</f>
        <v>0</v>
      </c>
      <c r="K23" s="23">
        <f>+M131</f>
        <v>3305.9999999999945</v>
      </c>
      <c r="L23" s="23">
        <f>+N131</f>
        <v>11884.44</v>
      </c>
      <c r="M23" s="23">
        <f>+L131</f>
        <v>12485.760000000006</v>
      </c>
      <c r="N23" s="23">
        <v>0</v>
      </c>
      <c r="O23" s="20">
        <f>+D23+E23+G23+I23+K23+M23+N23</f>
        <v>148174.80000000002</v>
      </c>
      <c r="P23" s="21">
        <f>+F23+H23+J23+L23</f>
        <v>12522.36</v>
      </c>
    </row>
    <row r="24" spans="1:18" x14ac:dyDescent="0.25">
      <c r="A24" s="4" t="s">
        <v>32</v>
      </c>
      <c r="B24" s="23">
        <f>378517.13+240929.99</f>
        <v>619447.12</v>
      </c>
      <c r="C24" s="23">
        <f>19390.85+144.75</f>
        <v>19535.599999999999</v>
      </c>
      <c r="D24" s="20">
        <f t="shared" si="5"/>
        <v>638982.72</v>
      </c>
      <c r="E24" s="23">
        <f>+L66-P64</f>
        <v>214864.75000000009</v>
      </c>
      <c r="F24" s="23">
        <f>+L65</f>
        <v>3866.67</v>
      </c>
      <c r="G24" s="23">
        <f>+N66</f>
        <v>2458.5099999999957</v>
      </c>
      <c r="H24" s="23">
        <f>+N65</f>
        <v>3852.13</v>
      </c>
      <c r="I24" s="23">
        <f>+M66</f>
        <v>11978.300000000001</v>
      </c>
      <c r="J24" s="23">
        <f>+M65</f>
        <v>0</v>
      </c>
      <c r="K24" s="23">
        <f>+M116</f>
        <v>15135.840000000004</v>
      </c>
      <c r="L24" s="23">
        <f>+N116</f>
        <v>31853.75</v>
      </c>
      <c r="M24" s="23">
        <f>+L116</f>
        <v>71460.73</v>
      </c>
      <c r="N24" s="23">
        <v>0</v>
      </c>
      <c r="O24" s="20">
        <f>+D24+E24+G24+I24+K24+M24+N24</f>
        <v>954880.85000000009</v>
      </c>
      <c r="P24" s="21">
        <f>+F24+H24+J24+L24</f>
        <v>39572.550000000003</v>
      </c>
    </row>
    <row r="25" spans="1:18" x14ac:dyDescent="0.25">
      <c r="A25" s="22" t="s">
        <v>27</v>
      </c>
      <c r="B25" s="23">
        <f>SUM(B23:B24)</f>
        <v>729647.8</v>
      </c>
      <c r="C25" s="23">
        <f t="shared" ref="C25:N25" si="6">SUM(C23:C24)</f>
        <v>19535.599999999999</v>
      </c>
      <c r="D25" s="23">
        <f t="shared" si="6"/>
        <v>749183.39999999991</v>
      </c>
      <c r="E25" s="23">
        <f>SUM(E23:E24)</f>
        <v>234941.0100000001</v>
      </c>
      <c r="F25" s="23">
        <f>SUM(F23:F24)</f>
        <v>4266.67</v>
      </c>
      <c r="G25" s="23">
        <f>SUM(G23:G24)</f>
        <v>2703.4699999999957</v>
      </c>
      <c r="H25" s="23">
        <f>SUM(H23:H24)</f>
        <v>4090.05</v>
      </c>
      <c r="I25" s="23">
        <f>SUM(I23:I24)</f>
        <v>13839.44</v>
      </c>
      <c r="J25" s="23">
        <f t="shared" si="6"/>
        <v>0</v>
      </c>
      <c r="K25" s="23">
        <f t="shared" si="6"/>
        <v>18441.839999999997</v>
      </c>
      <c r="L25" s="23">
        <f t="shared" si="6"/>
        <v>43738.19</v>
      </c>
      <c r="M25" s="23">
        <f t="shared" si="6"/>
        <v>83946.49</v>
      </c>
      <c r="N25" s="23">
        <f t="shared" si="6"/>
        <v>0</v>
      </c>
      <c r="O25" s="20">
        <f>+D25+E25+G25+I25+K25+M25+N25</f>
        <v>1103055.6499999999</v>
      </c>
      <c r="P25" s="21">
        <f>+F25+H25+J25+L25</f>
        <v>52094.91</v>
      </c>
    </row>
    <row r="26" spans="1:18" x14ac:dyDescent="0.25">
      <c r="A26" s="24" t="s">
        <v>28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</row>
    <row r="27" spans="1:18" x14ac:dyDescent="0.25">
      <c r="A27" s="31" t="s">
        <v>33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8" x14ac:dyDescent="0.25">
      <c r="A28" s="22" t="s">
        <v>27</v>
      </c>
      <c r="B28" s="26">
        <f>+B20+B25</f>
        <v>747647.8</v>
      </c>
      <c r="C28" s="26">
        <f t="shared" ref="C28:N28" si="7">+C20+C25</f>
        <v>19535.599999999999</v>
      </c>
      <c r="D28" s="26">
        <f t="shared" si="7"/>
        <v>767183.39999999991</v>
      </c>
      <c r="E28" s="26">
        <f t="shared" si="7"/>
        <v>234941.0100000001</v>
      </c>
      <c r="F28" s="26">
        <f t="shared" si="7"/>
        <v>4266.67</v>
      </c>
      <c r="G28" s="26">
        <f t="shared" si="7"/>
        <v>2703.4699999999957</v>
      </c>
      <c r="H28" s="26">
        <f t="shared" si="7"/>
        <v>4090.05</v>
      </c>
      <c r="I28" s="26">
        <f t="shared" si="7"/>
        <v>13839.44</v>
      </c>
      <c r="J28" s="26">
        <f t="shared" si="7"/>
        <v>0</v>
      </c>
      <c r="K28" s="26">
        <f t="shared" si="7"/>
        <v>18441.839999999997</v>
      </c>
      <c r="L28" s="26">
        <f t="shared" si="7"/>
        <v>43738.19</v>
      </c>
      <c r="M28" s="26">
        <f t="shared" si="7"/>
        <v>83946.49</v>
      </c>
      <c r="N28" s="26">
        <f t="shared" si="7"/>
        <v>0</v>
      </c>
      <c r="O28" s="20">
        <f>+D28+E28+G28+I28+K28+M28+N28</f>
        <v>1121055.6499999999</v>
      </c>
      <c r="P28" s="21">
        <f>+F28+H28+J28+L28</f>
        <v>52094.91</v>
      </c>
    </row>
    <row r="29" spans="1:18" ht="15.75" thickBot="1" x14ac:dyDescent="0.3">
      <c r="A29" s="32" t="s">
        <v>28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/>
    </row>
    <row r="31" spans="1:18" x14ac:dyDescent="0.25">
      <c r="E31" s="35" t="s">
        <v>34</v>
      </c>
      <c r="F31" s="35"/>
      <c r="I31" s="35"/>
      <c r="M31" s="35"/>
      <c r="P31" s="35">
        <f>+E25+G25+I25+K25+M25+F25+H25</f>
        <v>362228.97000000009</v>
      </c>
      <c r="R31" s="35">
        <f>362228.97-P31</f>
        <v>0</v>
      </c>
    </row>
    <row r="32" spans="1:18" x14ac:dyDescent="0.25">
      <c r="I32" s="35"/>
    </row>
    <row r="35" spans="11:18" x14ac:dyDescent="0.25">
      <c r="L35" t="s">
        <v>35</v>
      </c>
      <c r="M35" t="s">
        <v>36</v>
      </c>
      <c r="N35" t="s">
        <v>9</v>
      </c>
      <c r="O35" t="s">
        <v>13</v>
      </c>
      <c r="P35" t="s">
        <v>37</v>
      </c>
    </row>
    <row r="36" spans="11:18" x14ac:dyDescent="0.25">
      <c r="K36" t="s">
        <v>38</v>
      </c>
      <c r="L36" s="36">
        <v>10406.719999999999</v>
      </c>
      <c r="M36" s="36">
        <v>575.28</v>
      </c>
      <c r="N36" s="36">
        <v>373.96</v>
      </c>
    </row>
    <row r="37" spans="11:18" x14ac:dyDescent="0.25">
      <c r="L37" s="36">
        <v>10406.719999999999</v>
      </c>
      <c r="M37" s="36">
        <v>575.28</v>
      </c>
      <c r="N37" s="36">
        <v>373.96</v>
      </c>
    </row>
    <row r="38" spans="11:18" x14ac:dyDescent="0.25">
      <c r="L38" s="36">
        <v>10406.719999999999</v>
      </c>
      <c r="M38" s="36">
        <v>575.28</v>
      </c>
      <c r="N38" s="36">
        <v>373.96</v>
      </c>
    </row>
    <row r="39" spans="11:18" x14ac:dyDescent="0.25">
      <c r="L39" s="36">
        <v>10406.719999999999</v>
      </c>
      <c r="M39" s="36">
        <v>575.28</v>
      </c>
      <c r="N39" s="36">
        <v>373.96</v>
      </c>
    </row>
    <row r="40" spans="11:18" x14ac:dyDescent="0.25">
      <c r="L40" s="36">
        <v>10169.92</v>
      </c>
      <c r="M40" s="36">
        <v>606.79</v>
      </c>
      <c r="N40" s="36">
        <v>373.96</v>
      </c>
    </row>
    <row r="41" spans="11:18" x14ac:dyDescent="0.25">
      <c r="L41" s="36">
        <v>10154.620000000001</v>
      </c>
      <c r="M41" s="36">
        <v>454.35</v>
      </c>
      <c r="N41" s="36">
        <v>332.16</v>
      </c>
    </row>
    <row r="42" spans="11:18" x14ac:dyDescent="0.25">
      <c r="L42" s="36">
        <v>10162.27</v>
      </c>
      <c r="M42" s="36">
        <v>519.17999999999995</v>
      </c>
      <c r="N42" s="36">
        <v>353.06</v>
      </c>
    </row>
    <row r="43" spans="11:18" x14ac:dyDescent="0.25">
      <c r="L43" s="36">
        <v>10162.27</v>
      </c>
      <c r="M43" s="36">
        <v>519.17999999999995</v>
      </c>
      <c r="N43" s="36">
        <v>353.06</v>
      </c>
    </row>
    <row r="44" spans="11:18" x14ac:dyDescent="0.25">
      <c r="L44" s="36">
        <v>10162.27</v>
      </c>
      <c r="M44" s="36">
        <v>589.37</v>
      </c>
      <c r="N44" s="36">
        <v>353.06</v>
      </c>
    </row>
    <row r="45" spans="11:18" x14ac:dyDescent="0.25">
      <c r="L45" s="36">
        <v>10162.27</v>
      </c>
      <c r="M45" s="36">
        <v>589.37</v>
      </c>
      <c r="N45" s="36">
        <v>353.06</v>
      </c>
    </row>
    <row r="46" spans="11:18" x14ac:dyDescent="0.25">
      <c r="L46" s="36">
        <v>10162.27</v>
      </c>
      <c r="M46" s="36">
        <v>589.37</v>
      </c>
      <c r="N46" s="36">
        <v>353.06</v>
      </c>
    </row>
    <row r="47" spans="11:18" x14ac:dyDescent="0.25">
      <c r="L47" s="36">
        <v>10162.27</v>
      </c>
      <c r="M47" s="36">
        <v>589.37</v>
      </c>
      <c r="N47" s="36">
        <v>353.06</v>
      </c>
    </row>
    <row r="48" spans="11:18" x14ac:dyDescent="0.25">
      <c r="K48">
        <f>SUM(L36:N47)</f>
        <v>134003.45999999996</v>
      </c>
      <c r="O48" s="36">
        <f>142684.52-K48</f>
        <v>8681.0600000000268</v>
      </c>
      <c r="P48" s="36">
        <v>4809.6000000000004</v>
      </c>
      <c r="R48">
        <f>+K48+O48-P48</f>
        <v>137874.91999999998</v>
      </c>
    </row>
    <row r="49" spans="10:18" x14ac:dyDescent="0.25">
      <c r="P49" t="s">
        <v>34</v>
      </c>
    </row>
    <row r="50" spans="10:18" x14ac:dyDescent="0.25">
      <c r="K50" t="s">
        <v>39</v>
      </c>
      <c r="L50" s="36">
        <v>7137.94</v>
      </c>
      <c r="M50" s="36">
        <v>453.29</v>
      </c>
      <c r="N50" s="36">
        <v>165.86</v>
      </c>
      <c r="P50" t="s">
        <v>34</v>
      </c>
    </row>
    <row r="51" spans="10:18" x14ac:dyDescent="0.25">
      <c r="L51" s="36">
        <v>7137.94</v>
      </c>
      <c r="M51" s="36">
        <v>453.29</v>
      </c>
      <c r="N51" s="36">
        <v>165.86</v>
      </c>
    </row>
    <row r="52" spans="10:18" x14ac:dyDescent="0.25">
      <c r="L52" s="36">
        <v>7137.94</v>
      </c>
      <c r="M52" s="36">
        <v>453.29</v>
      </c>
      <c r="N52" s="36">
        <v>165.86</v>
      </c>
    </row>
    <row r="53" spans="10:18" x14ac:dyDescent="0.25">
      <c r="L53" s="36">
        <v>7137.94</v>
      </c>
      <c r="M53" s="36">
        <v>453.29</v>
      </c>
      <c r="N53" s="36">
        <v>165.86</v>
      </c>
    </row>
    <row r="54" spans="10:18" x14ac:dyDescent="0.25">
      <c r="L54" s="36">
        <v>6355.67</v>
      </c>
      <c r="M54" s="36">
        <v>468.01</v>
      </c>
      <c r="N54" s="36">
        <v>165.86</v>
      </c>
    </row>
    <row r="55" spans="10:18" x14ac:dyDescent="0.25">
      <c r="L55" s="36">
        <v>6890.1</v>
      </c>
      <c r="M55" s="36">
        <v>459.97</v>
      </c>
      <c r="N55" s="36">
        <v>165.86</v>
      </c>
    </row>
    <row r="56" spans="10:18" x14ac:dyDescent="0.25">
      <c r="L56" s="36">
        <v>6890.1</v>
      </c>
      <c r="M56" s="36">
        <v>459.97</v>
      </c>
      <c r="N56" s="36">
        <v>165.86</v>
      </c>
    </row>
    <row r="57" spans="10:18" x14ac:dyDescent="0.25">
      <c r="L57" s="36">
        <v>6890.1</v>
      </c>
      <c r="M57" s="36">
        <v>459.97</v>
      </c>
      <c r="N57" s="36">
        <v>165.86</v>
      </c>
    </row>
    <row r="58" spans="10:18" x14ac:dyDescent="0.25">
      <c r="L58" s="36">
        <v>6890.1</v>
      </c>
      <c r="M58" s="36">
        <v>389.78</v>
      </c>
      <c r="N58" s="36">
        <v>165.86</v>
      </c>
    </row>
    <row r="59" spans="10:18" x14ac:dyDescent="0.25">
      <c r="L59" s="36">
        <v>6890.1</v>
      </c>
      <c r="M59" s="36">
        <v>389.78</v>
      </c>
      <c r="N59" s="36">
        <v>165.86</v>
      </c>
    </row>
    <row r="60" spans="10:18" x14ac:dyDescent="0.25">
      <c r="L60" s="36">
        <v>6890.1</v>
      </c>
      <c r="M60" s="36">
        <v>389.78</v>
      </c>
      <c r="N60" s="36">
        <v>165.86</v>
      </c>
    </row>
    <row r="61" spans="10:18" x14ac:dyDescent="0.25">
      <c r="L61" s="36">
        <v>6890.1</v>
      </c>
      <c r="M61" s="36">
        <v>389.78</v>
      </c>
      <c r="N61" s="36">
        <v>165.86</v>
      </c>
    </row>
    <row r="62" spans="10:18" x14ac:dyDescent="0.25">
      <c r="K62">
        <f>SUM(L50:N61)</f>
        <v>90348.650000000023</v>
      </c>
      <c r="O62" s="36">
        <f>102054.64-K62</f>
        <v>11705.989999999976</v>
      </c>
      <c r="P62" s="36">
        <v>2909.2</v>
      </c>
      <c r="R62">
        <f>+K62+O62-P62</f>
        <v>99145.44</v>
      </c>
    </row>
    <row r="64" spans="10:18" x14ac:dyDescent="0.25">
      <c r="J64" t="s">
        <v>40</v>
      </c>
      <c r="L64">
        <f>SUM(L36:L62)+O64</f>
        <v>226450.22000000009</v>
      </c>
      <c r="M64">
        <f>SUM(M36:M61)</f>
        <v>11978.300000000001</v>
      </c>
      <c r="N64">
        <f>SUM(N36:N62)</f>
        <v>6310.6399999999958</v>
      </c>
      <c r="O64">
        <f>SUM(O36:O62)</f>
        <v>20387.050000000003</v>
      </c>
      <c r="P64">
        <f>SUM(P36:P62)</f>
        <v>7718.8</v>
      </c>
    </row>
    <row r="65" spans="10:18" x14ac:dyDescent="0.25">
      <c r="J65" t="s">
        <v>41</v>
      </c>
      <c r="L65" s="36">
        <v>3866.67</v>
      </c>
      <c r="M65">
        <v>0</v>
      </c>
      <c r="N65">
        <f>+P64-L65</f>
        <v>3852.13</v>
      </c>
    </row>
    <row r="66" spans="10:18" x14ac:dyDescent="0.25">
      <c r="J66" t="s">
        <v>42</v>
      </c>
      <c r="L66">
        <f>+L64-L65</f>
        <v>222583.55000000008</v>
      </c>
      <c r="M66">
        <f>+M64-M65</f>
        <v>11978.300000000001</v>
      </c>
      <c r="N66">
        <f>+N64-N65</f>
        <v>2458.5099999999957</v>
      </c>
    </row>
    <row r="68" spans="10:18" x14ac:dyDescent="0.25">
      <c r="K68" t="s">
        <v>43</v>
      </c>
      <c r="L68" s="36">
        <v>1400.15</v>
      </c>
      <c r="M68" s="36">
        <v>152.72</v>
      </c>
      <c r="N68" s="36">
        <v>40.24</v>
      </c>
    </row>
    <row r="69" spans="10:18" x14ac:dyDescent="0.25">
      <c r="L69" s="36">
        <v>1400.15</v>
      </c>
      <c r="M69" s="36">
        <v>152.72</v>
      </c>
      <c r="N69" s="36">
        <v>40.24</v>
      </c>
    </row>
    <row r="70" spans="10:18" x14ac:dyDescent="0.25">
      <c r="L70" s="36">
        <v>1400.15</v>
      </c>
      <c r="M70" s="36">
        <v>152.72</v>
      </c>
      <c r="N70" s="36">
        <v>40.24</v>
      </c>
    </row>
    <row r="71" spans="10:18" x14ac:dyDescent="0.25">
      <c r="L71" s="36">
        <v>1400.15</v>
      </c>
      <c r="M71" s="36">
        <v>152.72</v>
      </c>
      <c r="N71" s="36">
        <v>40.24</v>
      </c>
    </row>
    <row r="72" spans="10:18" x14ac:dyDescent="0.25">
      <c r="L72" s="36">
        <v>1460.94</v>
      </c>
      <c r="M72" s="36">
        <v>161.27000000000001</v>
      </c>
      <c r="N72" s="36">
        <v>40.24</v>
      </c>
    </row>
    <row r="73" spans="10:18" x14ac:dyDescent="0.25">
      <c r="L73" s="36">
        <v>1460.94</v>
      </c>
      <c r="M73" s="36">
        <v>155.57</v>
      </c>
      <c r="N73" s="36">
        <v>40.24</v>
      </c>
    </row>
    <row r="74" spans="10:18" x14ac:dyDescent="0.25">
      <c r="L74" s="36">
        <v>1460.94</v>
      </c>
      <c r="M74" s="36">
        <v>155.57</v>
      </c>
      <c r="N74" s="36">
        <v>40.24</v>
      </c>
    </row>
    <row r="75" spans="10:18" x14ac:dyDescent="0.25">
      <c r="L75" s="36">
        <v>1460.94</v>
      </c>
      <c r="M75" s="36">
        <v>155.57</v>
      </c>
      <c r="N75" s="36">
        <v>40.24</v>
      </c>
    </row>
    <row r="76" spans="10:18" x14ac:dyDescent="0.25">
      <c r="L76" s="36">
        <v>1460.94</v>
      </c>
      <c r="M76" s="36">
        <v>155.57</v>
      </c>
      <c r="N76" s="36">
        <v>40.24</v>
      </c>
    </row>
    <row r="77" spans="10:18" x14ac:dyDescent="0.25">
      <c r="L77" s="36">
        <v>1460.94</v>
      </c>
      <c r="M77" s="36">
        <v>155.57</v>
      </c>
      <c r="N77" s="36">
        <v>40.24</v>
      </c>
    </row>
    <row r="78" spans="10:18" x14ac:dyDescent="0.25">
      <c r="L78" s="36">
        <v>1460.94</v>
      </c>
      <c r="M78" s="36">
        <v>155.57</v>
      </c>
      <c r="N78" s="36">
        <v>40.24</v>
      </c>
    </row>
    <row r="79" spans="10:18" x14ac:dyDescent="0.25">
      <c r="L79" s="36">
        <v>1460.94</v>
      </c>
      <c r="M79" s="36">
        <v>155.57</v>
      </c>
      <c r="N79" s="36">
        <v>40.24</v>
      </c>
    </row>
    <row r="80" spans="10:18" x14ac:dyDescent="0.25">
      <c r="K80">
        <f>SUM(L68:N79)</f>
        <v>19632.14</v>
      </c>
      <c r="O80" s="36">
        <f>23458.2-K80</f>
        <v>3826.0600000000013</v>
      </c>
      <c r="P80" s="36">
        <v>637.91999999999996</v>
      </c>
      <c r="R80">
        <f>+K80+O80-P80</f>
        <v>22820.280000000002</v>
      </c>
    </row>
    <row r="82" spans="10:18" x14ac:dyDescent="0.25">
      <c r="J82" t="s">
        <v>40</v>
      </c>
      <c r="L82">
        <f>SUM(L68:L81)+O82</f>
        <v>21114.180000000004</v>
      </c>
      <c r="M82">
        <f>SUM(M68:M79)</f>
        <v>1861.1399999999996</v>
      </c>
      <c r="N82">
        <f>SUM(N68:N79)</f>
        <v>482.88000000000005</v>
      </c>
      <c r="O82">
        <f>SUM(O68:O80)</f>
        <v>3826.0600000000013</v>
      </c>
      <c r="P82">
        <f>SUM(P68:P80)</f>
        <v>637.91999999999996</v>
      </c>
    </row>
    <row r="83" spans="10:18" x14ac:dyDescent="0.25">
      <c r="J83" t="s">
        <v>41</v>
      </c>
      <c r="L83" s="36">
        <v>400</v>
      </c>
      <c r="M83">
        <v>0</v>
      </c>
      <c r="N83">
        <f>+P82-L83</f>
        <v>237.91999999999996</v>
      </c>
    </row>
    <row r="84" spans="10:18" x14ac:dyDescent="0.25">
      <c r="J84" t="s">
        <v>42</v>
      </c>
      <c r="L84">
        <f>+L82-L83</f>
        <v>20714.180000000004</v>
      </c>
      <c r="M84">
        <f>+M82-M83</f>
        <v>1861.1399999999996</v>
      </c>
      <c r="N84">
        <f>+N82-N83</f>
        <v>244.96000000000009</v>
      </c>
      <c r="R84">
        <f>+L84+M84+N84</f>
        <v>22820.280000000002</v>
      </c>
    </row>
    <row r="86" spans="10:18" x14ac:dyDescent="0.25">
      <c r="L86" t="s">
        <v>44</v>
      </c>
      <c r="M86" t="s">
        <v>45</v>
      </c>
      <c r="N86" t="s">
        <v>46</v>
      </c>
    </row>
    <row r="87" spans="10:18" x14ac:dyDescent="0.25">
      <c r="K87" t="s">
        <v>47</v>
      </c>
      <c r="L87" s="36">
        <v>3644.93</v>
      </c>
    </row>
    <row r="88" spans="10:18" x14ac:dyDescent="0.25">
      <c r="L88" s="36">
        <v>3533.59</v>
      </c>
    </row>
    <row r="89" spans="10:18" x14ac:dyDescent="0.25">
      <c r="L89" s="36">
        <v>3942.38</v>
      </c>
    </row>
    <row r="90" spans="10:18" x14ac:dyDescent="0.25">
      <c r="L90" s="36">
        <v>3807.6</v>
      </c>
    </row>
    <row r="91" spans="10:18" x14ac:dyDescent="0.25">
      <c r="L91" s="36">
        <v>3300.15</v>
      </c>
    </row>
    <row r="92" spans="10:18" x14ac:dyDescent="0.25">
      <c r="L92" s="36">
        <v>3393.63</v>
      </c>
    </row>
    <row r="93" spans="10:18" x14ac:dyDescent="0.25">
      <c r="L93" s="36">
        <v>3924.05</v>
      </c>
    </row>
    <row r="94" spans="10:18" x14ac:dyDescent="0.25">
      <c r="L94" s="36">
        <v>3707.94</v>
      </c>
    </row>
    <row r="95" spans="10:18" x14ac:dyDescent="0.25">
      <c r="L95" s="36">
        <v>3716.15</v>
      </c>
    </row>
    <row r="96" spans="10:18" x14ac:dyDescent="0.25">
      <c r="L96" s="36">
        <v>3548.89</v>
      </c>
    </row>
    <row r="97" spans="11:18" x14ac:dyDescent="0.25">
      <c r="L97" s="36">
        <v>3843.78</v>
      </c>
    </row>
    <row r="98" spans="11:18" x14ac:dyDescent="0.25">
      <c r="L98" s="36">
        <v>3884.27</v>
      </c>
    </row>
    <row r="99" spans="11:18" x14ac:dyDescent="0.25">
      <c r="L99">
        <f>SUM(L87:L98)</f>
        <v>44247.359999999993</v>
      </c>
      <c r="M99">
        <f>71265.33-L99-N99</f>
        <v>7903.6700000000092</v>
      </c>
      <c r="N99">
        <v>19114.3</v>
      </c>
      <c r="R99">
        <f>+L99+M99</f>
        <v>52151.03</v>
      </c>
    </row>
    <row r="101" spans="11:18" x14ac:dyDescent="0.25">
      <c r="L101" t="s">
        <v>44</v>
      </c>
      <c r="M101" t="s">
        <v>45</v>
      </c>
      <c r="N101" t="s">
        <v>46</v>
      </c>
    </row>
    <row r="102" spans="11:18" x14ac:dyDescent="0.25">
      <c r="K102" t="s">
        <v>48</v>
      </c>
      <c r="L102" s="36">
        <v>2137.14</v>
      </c>
    </row>
    <row r="103" spans="11:18" x14ac:dyDescent="0.25">
      <c r="L103" s="36">
        <v>2073.67</v>
      </c>
    </row>
    <row r="104" spans="11:18" x14ac:dyDescent="0.25">
      <c r="L104" s="36">
        <v>2261.5500000000002</v>
      </c>
    </row>
    <row r="105" spans="11:18" x14ac:dyDescent="0.25">
      <c r="L105" s="36">
        <v>2200.52</v>
      </c>
    </row>
    <row r="106" spans="11:18" x14ac:dyDescent="0.25">
      <c r="L106" s="36">
        <v>2133.16</v>
      </c>
    </row>
    <row r="107" spans="11:18" x14ac:dyDescent="0.25">
      <c r="L107" s="36">
        <v>2200.52</v>
      </c>
    </row>
    <row r="108" spans="11:18" x14ac:dyDescent="0.25">
      <c r="L108" s="36">
        <v>2366.6799999999998</v>
      </c>
    </row>
    <row r="109" spans="11:18" x14ac:dyDescent="0.25">
      <c r="L109" s="36">
        <v>2382.69</v>
      </c>
    </row>
    <row r="110" spans="11:18" x14ac:dyDescent="0.25">
      <c r="L110" s="36">
        <v>2366.6799999999998</v>
      </c>
    </row>
    <row r="111" spans="11:18" x14ac:dyDescent="0.25">
      <c r="L111" s="36">
        <v>2297.11</v>
      </c>
    </row>
    <row r="112" spans="11:18" x14ac:dyDescent="0.25">
      <c r="L112" s="36">
        <v>2366.6799999999998</v>
      </c>
    </row>
    <row r="113" spans="11:18" x14ac:dyDescent="0.25">
      <c r="L113" s="36">
        <v>2426.9699999999998</v>
      </c>
    </row>
    <row r="114" spans="11:18" x14ac:dyDescent="0.25">
      <c r="L114">
        <f>SUM(L102:L113)</f>
        <v>27213.370000000003</v>
      </c>
      <c r="M114">
        <f>47184.99-L114-12739.45</f>
        <v>7232.1699999999946</v>
      </c>
      <c r="N114">
        <v>12739.45</v>
      </c>
      <c r="R114">
        <f>+L114+M114</f>
        <v>34445.539999999994</v>
      </c>
    </row>
    <row r="116" spans="11:18" x14ac:dyDescent="0.25">
      <c r="L116">
        <f>+L99+L114</f>
        <v>71460.73</v>
      </c>
      <c r="M116">
        <f>+M99+M114</f>
        <v>15135.840000000004</v>
      </c>
      <c r="N116">
        <f>+N99+N114</f>
        <v>31853.75</v>
      </c>
    </row>
    <row r="118" spans="11:18" x14ac:dyDescent="0.25">
      <c r="L118" t="s">
        <v>44</v>
      </c>
      <c r="M118" t="s">
        <v>45</v>
      </c>
      <c r="N118" t="s">
        <v>46</v>
      </c>
    </row>
    <row r="119" spans="11:18" x14ac:dyDescent="0.25">
      <c r="K119" t="s">
        <v>49</v>
      </c>
      <c r="L119" s="36">
        <v>1020.08</v>
      </c>
    </row>
    <row r="120" spans="11:18" x14ac:dyDescent="0.25">
      <c r="L120" s="36">
        <v>1020.08</v>
      </c>
    </row>
    <row r="121" spans="11:18" x14ac:dyDescent="0.25">
      <c r="L121" s="36">
        <v>1020.08</v>
      </c>
    </row>
    <row r="122" spans="11:18" x14ac:dyDescent="0.25">
      <c r="L122" s="36">
        <v>1020.08</v>
      </c>
    </row>
    <row r="123" spans="11:18" x14ac:dyDescent="0.25">
      <c r="L123" s="36">
        <v>1020.08</v>
      </c>
    </row>
    <row r="124" spans="11:18" x14ac:dyDescent="0.25">
      <c r="L124" s="36">
        <v>1020.08</v>
      </c>
    </row>
    <row r="125" spans="11:18" x14ac:dyDescent="0.25">
      <c r="L125" s="36">
        <v>1060.8800000000001</v>
      </c>
    </row>
    <row r="126" spans="11:18" x14ac:dyDescent="0.25">
      <c r="L126" s="36">
        <v>1060.8800000000001</v>
      </c>
    </row>
    <row r="127" spans="11:18" x14ac:dyDescent="0.25">
      <c r="L127" s="36">
        <v>1060.8800000000001</v>
      </c>
    </row>
    <row r="128" spans="11:18" x14ac:dyDescent="0.25">
      <c r="L128" s="36">
        <v>1060.8800000000001</v>
      </c>
    </row>
    <row r="129" spans="12:18" x14ac:dyDescent="0.25">
      <c r="L129" s="36">
        <v>1060.8800000000001</v>
      </c>
    </row>
    <row r="130" spans="12:18" x14ac:dyDescent="0.25">
      <c r="L130" s="36">
        <v>1060.8800000000001</v>
      </c>
    </row>
    <row r="131" spans="12:18" x14ac:dyDescent="0.25">
      <c r="L131">
        <f>SUM(L119:L130)</f>
        <v>12485.760000000006</v>
      </c>
      <c r="M131">
        <f>27676.2-L131-N131</f>
        <v>3305.9999999999945</v>
      </c>
      <c r="N131">
        <v>11884.44</v>
      </c>
      <c r="R131">
        <f>+L131+M131</f>
        <v>15791.76</v>
      </c>
    </row>
    <row r="134" spans="12:18" x14ac:dyDescent="0.25">
      <c r="R134">
        <f>SUM(R48:R131)</f>
        <v>385049.24999999994</v>
      </c>
    </row>
  </sheetData>
  <mergeCells count="11">
    <mergeCell ref="O8:P8"/>
    <mergeCell ref="A2:P2"/>
    <mergeCell ref="A3:P3"/>
    <mergeCell ref="A5:P5"/>
    <mergeCell ref="A6:P6"/>
    <mergeCell ref="B8:C8"/>
    <mergeCell ref="D8:D9"/>
    <mergeCell ref="E8:F8"/>
    <mergeCell ref="G8:H8"/>
    <mergeCell ref="I8:J8"/>
    <mergeCell ref="K8:L8"/>
  </mergeCells>
  <pageMargins left="0.22" right="0.22" top="0.75" bottom="0.75" header="0.3" footer="0.3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B50F-78DD-4AFC-935A-75183E9A825B}">
  <sheetPr>
    <pageSetUpPr fitToPage="1"/>
  </sheetPr>
  <dimension ref="A1:R128"/>
  <sheetViews>
    <sheetView tabSelected="1" topLeftCell="A10" workbookViewId="0">
      <selection activeCell="A11" sqref="A11"/>
    </sheetView>
  </sheetViews>
  <sheetFormatPr defaultRowHeight="15" x14ac:dyDescent="0.25"/>
  <cols>
    <col min="1" max="1" width="21.140625" customWidth="1"/>
    <col min="2" max="2" width="12.85546875" customWidth="1"/>
    <col min="3" max="3" width="12.140625" customWidth="1"/>
    <col min="4" max="4" width="15.7109375" customWidth="1"/>
    <col min="5" max="5" width="14.7109375" customWidth="1"/>
    <col min="6" max="6" width="10.5703125" customWidth="1"/>
    <col min="7" max="8" width="10.85546875" customWidth="1"/>
    <col min="9" max="9" width="12.5703125" bestFit="1" customWidth="1"/>
    <col min="10" max="10" width="9.7109375" customWidth="1"/>
    <col min="11" max="12" width="11.5703125" bestFit="1" customWidth="1"/>
    <col min="13" max="13" width="12.7109375" customWidth="1"/>
    <col min="14" max="14" width="11.140625" customWidth="1"/>
    <col min="15" max="15" width="14.28515625" bestFit="1" customWidth="1"/>
    <col min="16" max="16" width="14.140625" customWidth="1"/>
  </cols>
  <sheetData>
    <row r="1" spans="1:1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 t="s">
        <v>0</v>
      </c>
    </row>
    <row r="2" spans="1:16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</row>
    <row r="3" spans="1:16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16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40" t="s">
        <v>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x14ac:dyDescent="0.25">
      <c r="A6" s="40" t="s">
        <v>50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spans="1:16" ht="48" customHeight="1" x14ac:dyDescent="0.25">
      <c r="A8" s="10" t="s">
        <v>5</v>
      </c>
      <c r="B8" s="38" t="s">
        <v>6</v>
      </c>
      <c r="C8" s="43"/>
      <c r="D8" s="44" t="s">
        <v>7</v>
      </c>
      <c r="E8" s="46" t="s">
        <v>8</v>
      </c>
      <c r="F8" s="47"/>
      <c r="G8" s="46" t="s">
        <v>9</v>
      </c>
      <c r="H8" s="47"/>
      <c r="I8" s="46" t="s">
        <v>10</v>
      </c>
      <c r="J8" s="47"/>
      <c r="K8" s="46" t="s">
        <v>11</v>
      </c>
      <c r="L8" s="47"/>
      <c r="M8" s="11" t="s">
        <v>12</v>
      </c>
      <c r="N8" s="11" t="s">
        <v>13</v>
      </c>
      <c r="O8" s="38" t="s">
        <v>14</v>
      </c>
      <c r="P8" s="39"/>
    </row>
    <row r="9" spans="1:16" x14ac:dyDescent="0.25">
      <c r="A9" s="12"/>
      <c r="B9" s="13" t="s">
        <v>15</v>
      </c>
      <c r="C9" s="13" t="s">
        <v>16</v>
      </c>
      <c r="D9" s="45"/>
      <c r="E9" s="14" t="s">
        <v>17</v>
      </c>
      <c r="F9" s="13" t="s">
        <v>18</v>
      </c>
      <c r="G9" s="13" t="s">
        <v>17</v>
      </c>
      <c r="H9" s="13" t="s">
        <v>18</v>
      </c>
      <c r="I9" s="13" t="s">
        <v>17</v>
      </c>
      <c r="J9" s="13" t="s">
        <v>18</v>
      </c>
      <c r="K9" s="13" t="s">
        <v>17</v>
      </c>
      <c r="L9" s="13" t="s">
        <v>18</v>
      </c>
      <c r="M9" s="15" t="s">
        <v>19</v>
      </c>
      <c r="N9" s="16"/>
      <c r="O9" s="13" t="s">
        <v>17</v>
      </c>
      <c r="P9" s="17" t="s">
        <v>18</v>
      </c>
    </row>
    <row r="10" spans="1:16" ht="31.5" customHeight="1" x14ac:dyDescent="0.25">
      <c r="A10" s="18" t="s">
        <v>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1:16" ht="15" customHeight="1" x14ac:dyDescent="0.25">
      <c r="A11" s="19" t="s">
        <v>21</v>
      </c>
      <c r="B11" s="20">
        <v>3000</v>
      </c>
      <c r="C11" s="20">
        <v>0</v>
      </c>
      <c r="D11" s="20">
        <f>+B11+C11</f>
        <v>3000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f>+D11+E11+G11+I11+K11+M11+N11</f>
        <v>3000</v>
      </c>
      <c r="P11" s="21">
        <f>+F11+H11+J11+L11</f>
        <v>0</v>
      </c>
    </row>
    <row r="12" spans="1:16" ht="15" customHeight="1" x14ac:dyDescent="0.25">
      <c r="A12" s="19" t="s">
        <v>22</v>
      </c>
      <c r="B12" s="20">
        <v>3000</v>
      </c>
      <c r="C12" s="20">
        <v>0</v>
      </c>
      <c r="D12" s="20">
        <f t="shared" ref="D12:D13" si="0">+B12+C12</f>
        <v>3000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f>+D12+E12+G12+I12+K12+M12+N12</f>
        <v>3000</v>
      </c>
      <c r="P12" s="21">
        <f>+F12+H12+J12+L12</f>
        <v>0</v>
      </c>
    </row>
    <row r="13" spans="1:16" ht="15" customHeight="1" x14ac:dyDescent="0.25">
      <c r="A13" s="19" t="s">
        <v>23</v>
      </c>
      <c r="B13" s="20">
        <v>3000</v>
      </c>
      <c r="C13" s="20">
        <v>0</v>
      </c>
      <c r="D13" s="20">
        <f t="shared" si="0"/>
        <v>3000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f>+D13+E13+G13+I13+K13+M13+N13</f>
        <v>3000</v>
      </c>
      <c r="P13" s="21">
        <f>+F13+H13+J13+L13</f>
        <v>0</v>
      </c>
    </row>
    <row r="14" spans="1:16" x14ac:dyDescent="0.25">
      <c r="A14" s="22" t="s">
        <v>27</v>
      </c>
      <c r="B14" s="23">
        <f t="shared" ref="B14:N14" si="1">SUM(B11:B13)</f>
        <v>9000</v>
      </c>
      <c r="C14" s="23">
        <f t="shared" si="1"/>
        <v>0</v>
      </c>
      <c r="D14" s="23">
        <f t="shared" si="1"/>
        <v>9000</v>
      </c>
      <c r="E14" s="23">
        <f t="shared" si="1"/>
        <v>0</v>
      </c>
      <c r="F14" s="23">
        <f t="shared" si="1"/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  <c r="N14" s="23">
        <f t="shared" si="1"/>
        <v>0</v>
      </c>
      <c r="O14" s="20">
        <f>+D14+E14+G14+I14+K14+M14+N14</f>
        <v>9000</v>
      </c>
      <c r="P14" s="21">
        <f>+F14+H14+J14+L14</f>
        <v>0</v>
      </c>
    </row>
    <row r="15" spans="1:16" x14ac:dyDescent="0.25">
      <c r="A15" s="24" t="s">
        <v>28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5"/>
    </row>
    <row r="16" spans="1:16" ht="30" x14ac:dyDescent="0.25">
      <c r="A16" s="18" t="s">
        <v>29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x14ac:dyDescent="0.25">
      <c r="A17" s="22" t="s">
        <v>27</v>
      </c>
      <c r="B17" s="26">
        <f>+B14</f>
        <v>9000</v>
      </c>
      <c r="C17" s="26">
        <f t="shared" ref="C17:P18" si="2">+C14</f>
        <v>0</v>
      </c>
      <c r="D17" s="26">
        <f t="shared" si="2"/>
        <v>9000</v>
      </c>
      <c r="E17" s="26">
        <f t="shared" si="2"/>
        <v>0</v>
      </c>
      <c r="F17" s="26">
        <f t="shared" si="2"/>
        <v>0</v>
      </c>
      <c r="G17" s="26">
        <f t="shared" si="2"/>
        <v>0</v>
      </c>
      <c r="H17" s="26">
        <f t="shared" si="2"/>
        <v>0</v>
      </c>
      <c r="I17" s="26">
        <f t="shared" si="2"/>
        <v>0</v>
      </c>
      <c r="J17" s="26">
        <f t="shared" si="2"/>
        <v>0</v>
      </c>
      <c r="K17" s="26">
        <f t="shared" si="2"/>
        <v>0</v>
      </c>
      <c r="L17" s="26">
        <f t="shared" si="2"/>
        <v>0</v>
      </c>
      <c r="M17" s="26">
        <f t="shared" si="2"/>
        <v>0</v>
      </c>
      <c r="N17" s="26">
        <f t="shared" si="2"/>
        <v>0</v>
      </c>
      <c r="O17" s="20">
        <f>+D17+E17+G17+I17+K17+M17+N17</f>
        <v>9000</v>
      </c>
      <c r="P17" s="21">
        <f>+F17+H17+J17+L17</f>
        <v>0</v>
      </c>
    </row>
    <row r="18" spans="1:16" x14ac:dyDescent="0.25">
      <c r="A18" s="24" t="s">
        <v>28</v>
      </c>
      <c r="B18" s="26">
        <f>+B15</f>
        <v>0</v>
      </c>
      <c r="C18" s="26">
        <f t="shared" si="2"/>
        <v>0</v>
      </c>
      <c r="D18" s="26">
        <f t="shared" si="2"/>
        <v>0</v>
      </c>
      <c r="E18" s="26">
        <f t="shared" si="2"/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26">
        <f t="shared" si="2"/>
        <v>0</v>
      </c>
      <c r="M18" s="26">
        <f t="shared" si="2"/>
        <v>0</v>
      </c>
      <c r="N18" s="26">
        <f t="shared" si="2"/>
        <v>0</v>
      </c>
      <c r="O18" s="26">
        <f t="shared" si="2"/>
        <v>0</v>
      </c>
      <c r="P18" s="27">
        <f t="shared" si="2"/>
        <v>0</v>
      </c>
    </row>
    <row r="19" spans="1:16" ht="45" x14ac:dyDescent="0.25">
      <c r="A19" s="28" t="s">
        <v>30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x14ac:dyDescent="0.25">
      <c r="A20" s="4" t="s">
        <v>31</v>
      </c>
      <c r="B20" s="23">
        <v>63436.800000000003</v>
      </c>
      <c r="C20" s="23">
        <v>0</v>
      </c>
      <c r="D20" s="20">
        <f t="shared" ref="D20:D21" si="3">+B20+C20</f>
        <v>63436.800000000003</v>
      </c>
      <c r="E20" s="23">
        <f>+L81-P77</f>
        <v>14574.26</v>
      </c>
      <c r="F20" s="23">
        <f>+L80</f>
        <v>236</v>
      </c>
      <c r="G20" s="23">
        <f>+N81</f>
        <v>168.30000000000007</v>
      </c>
      <c r="H20" s="23">
        <f>+N80</f>
        <v>140.32</v>
      </c>
      <c r="I20" s="23">
        <f>+M81</f>
        <v>1074.18</v>
      </c>
      <c r="J20" s="23">
        <f>+M80</f>
        <v>0</v>
      </c>
      <c r="K20" s="23">
        <f>+M128</f>
        <v>1903.0799999999981</v>
      </c>
      <c r="L20" s="23">
        <f>+N128</f>
        <v>5709.36</v>
      </c>
      <c r="M20" s="23">
        <f>+L128</f>
        <v>7187.4000000000024</v>
      </c>
      <c r="N20" s="23">
        <v>0</v>
      </c>
      <c r="O20" s="20">
        <f>+D20+E20+G20+I20+K20+M20+N20</f>
        <v>88344.02</v>
      </c>
      <c r="P20" s="21">
        <f>+F20+H20+J20+L20</f>
        <v>6085.6799999999994</v>
      </c>
    </row>
    <row r="21" spans="1:16" x14ac:dyDescent="0.25">
      <c r="A21" s="4" t="s">
        <v>32</v>
      </c>
      <c r="B21" s="23">
        <f>228971.21+135510.48</f>
        <v>364481.69</v>
      </c>
      <c r="C21" s="23">
        <f>8569.85+68.54</f>
        <v>8638.3900000000012</v>
      </c>
      <c r="D21" s="20">
        <f t="shared" si="3"/>
        <v>373120.08</v>
      </c>
      <c r="E21" s="23">
        <f>+L63-P61</f>
        <v>131531.07000000009</v>
      </c>
      <c r="F21" s="23">
        <f>+L62</f>
        <v>2478</v>
      </c>
      <c r="G21" s="23">
        <f>+N63</f>
        <v>2312.6399999999994</v>
      </c>
      <c r="H21" s="23">
        <f>+N62</f>
        <v>1827.8400000000001</v>
      </c>
      <c r="I21" s="23">
        <f>+M63</f>
        <v>7244.3799999999965</v>
      </c>
      <c r="J21" s="23">
        <f>+M62</f>
        <v>0</v>
      </c>
      <c r="K21" s="23">
        <f>+M113</f>
        <v>10996.839999999997</v>
      </c>
      <c r="L21" s="23">
        <f>+N113</f>
        <v>12992.46</v>
      </c>
      <c r="M21" s="23">
        <f>+L113</f>
        <v>41454.979999999996</v>
      </c>
      <c r="N21" s="23">
        <v>0</v>
      </c>
      <c r="O21" s="20">
        <f>+D21+E21+G21+I21+K21+M21+N21</f>
        <v>566659.99000000011</v>
      </c>
      <c r="P21" s="21">
        <f>+F21+H21+J21+L21</f>
        <v>17298.3</v>
      </c>
    </row>
    <row r="22" spans="1:16" x14ac:dyDescent="0.25">
      <c r="A22" s="22" t="s">
        <v>27</v>
      </c>
      <c r="B22" s="23">
        <f>SUM(B20:B21)</f>
        <v>427918.49</v>
      </c>
      <c r="C22" s="23">
        <f t="shared" ref="C22:D22" si="4">SUM(C20:C21)</f>
        <v>8638.3900000000012</v>
      </c>
      <c r="D22" s="23">
        <f t="shared" si="4"/>
        <v>436556.88</v>
      </c>
      <c r="E22" s="23">
        <f>SUM(E20:E21)</f>
        <v>146105.3300000001</v>
      </c>
      <c r="F22" s="23">
        <f>SUM(F20:F21)</f>
        <v>2714</v>
      </c>
      <c r="G22" s="23">
        <f>SUM(G20:G21)</f>
        <v>2480.9399999999996</v>
      </c>
      <c r="H22" s="23">
        <f>SUM(H20:H21)</f>
        <v>1968.16</v>
      </c>
      <c r="I22" s="23">
        <f>SUM(I20:I21)</f>
        <v>8318.5599999999959</v>
      </c>
      <c r="J22" s="23">
        <f t="shared" ref="J22:N22" si="5">SUM(J20:J21)</f>
        <v>0</v>
      </c>
      <c r="K22" s="23">
        <f t="shared" si="5"/>
        <v>12899.919999999995</v>
      </c>
      <c r="L22" s="23">
        <f t="shared" si="5"/>
        <v>18701.82</v>
      </c>
      <c r="M22" s="23">
        <f t="shared" si="5"/>
        <v>48642.38</v>
      </c>
      <c r="N22" s="23">
        <f t="shared" si="5"/>
        <v>0</v>
      </c>
      <c r="O22" s="20">
        <f>+D22+E22+G22+I22+K22+M22+N22</f>
        <v>655004.01</v>
      </c>
      <c r="P22" s="21">
        <f>+F22+H22+J22+L22</f>
        <v>23383.98</v>
      </c>
    </row>
    <row r="23" spans="1:16" x14ac:dyDescent="0.25">
      <c r="A23" s="24" t="s">
        <v>28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</row>
    <row r="24" spans="1:16" x14ac:dyDescent="0.25">
      <c r="A24" s="31" t="s">
        <v>33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16" x14ac:dyDescent="0.25">
      <c r="A25" s="22" t="s">
        <v>27</v>
      </c>
      <c r="B25" s="26">
        <f>+B17+B22</f>
        <v>436918.49</v>
      </c>
      <c r="C25" s="26">
        <f t="shared" ref="C25:N25" si="6">+C17+C22</f>
        <v>8638.3900000000012</v>
      </c>
      <c r="D25" s="26">
        <f t="shared" si="6"/>
        <v>445556.88</v>
      </c>
      <c r="E25" s="26">
        <f t="shared" si="6"/>
        <v>146105.3300000001</v>
      </c>
      <c r="F25" s="26">
        <f t="shared" si="6"/>
        <v>2714</v>
      </c>
      <c r="G25" s="26">
        <f t="shared" si="6"/>
        <v>2480.9399999999996</v>
      </c>
      <c r="H25" s="26">
        <f t="shared" si="6"/>
        <v>1968.16</v>
      </c>
      <c r="I25" s="26">
        <f t="shared" si="6"/>
        <v>8318.5599999999959</v>
      </c>
      <c r="J25" s="26">
        <f t="shared" si="6"/>
        <v>0</v>
      </c>
      <c r="K25" s="26">
        <f t="shared" si="6"/>
        <v>12899.919999999995</v>
      </c>
      <c r="L25" s="26">
        <f t="shared" si="6"/>
        <v>18701.82</v>
      </c>
      <c r="M25" s="26">
        <f t="shared" si="6"/>
        <v>48642.38</v>
      </c>
      <c r="N25" s="26">
        <f t="shared" si="6"/>
        <v>0</v>
      </c>
      <c r="O25" s="20">
        <f>+D25+E25+G25+I25+K25+M25+N25</f>
        <v>664004.01</v>
      </c>
      <c r="P25" s="21">
        <f>+F25+H25+J25+L25</f>
        <v>23383.98</v>
      </c>
    </row>
    <row r="26" spans="1:16" ht="15.75" thickBot="1" x14ac:dyDescent="0.3">
      <c r="A26" s="32" t="s">
        <v>28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/>
    </row>
    <row r="28" spans="1:16" x14ac:dyDescent="0.25">
      <c r="E28" s="35" t="s">
        <v>34</v>
      </c>
      <c r="F28" s="35"/>
      <c r="I28" s="35"/>
      <c r="M28" s="35"/>
      <c r="P28" s="35">
        <f>+E22+G22+I22+K22+M22+F22+H22</f>
        <v>223129.2900000001</v>
      </c>
    </row>
    <row r="29" spans="1:16" x14ac:dyDescent="0.25">
      <c r="I29" s="35"/>
    </row>
    <row r="30" spans="1:16" x14ac:dyDescent="0.25">
      <c r="P30" s="35">
        <f>223129.29-P28</f>
        <v>0</v>
      </c>
    </row>
    <row r="32" spans="1:16" x14ac:dyDescent="0.25">
      <c r="L32" t="s">
        <v>35</v>
      </c>
      <c r="M32" t="s">
        <v>36</v>
      </c>
      <c r="N32" t="s">
        <v>9</v>
      </c>
      <c r="O32" t="s">
        <v>13</v>
      </c>
      <c r="P32" t="s">
        <v>37</v>
      </c>
    </row>
    <row r="33" spans="11:18" x14ac:dyDescent="0.25">
      <c r="K33" t="s">
        <v>38</v>
      </c>
      <c r="L33" s="36">
        <f>6061.26+6061.26</f>
        <v>12122.52</v>
      </c>
      <c r="M33" s="36">
        <v>328.69</v>
      </c>
      <c r="N33" s="36">
        <f>226.14+226.14</f>
        <v>452.28</v>
      </c>
    </row>
    <row r="34" spans="11:18" x14ac:dyDescent="0.25">
      <c r="L34" s="36">
        <v>236.13</v>
      </c>
      <c r="M34" s="36">
        <v>328.69</v>
      </c>
      <c r="N34" s="36">
        <v>209.64</v>
      </c>
    </row>
    <row r="35" spans="11:18" x14ac:dyDescent="0.25">
      <c r="L35" s="36">
        <v>6139.97</v>
      </c>
      <c r="M35" s="36">
        <v>339.42</v>
      </c>
      <c r="N35" s="36">
        <v>220.64</v>
      </c>
    </row>
    <row r="36" spans="11:18" x14ac:dyDescent="0.25">
      <c r="L36" s="36">
        <v>6139.96</v>
      </c>
      <c r="M36" s="36">
        <v>339.42</v>
      </c>
      <c r="N36" s="36">
        <v>220.64</v>
      </c>
    </row>
    <row r="37" spans="11:18" x14ac:dyDescent="0.25">
      <c r="L37" s="36">
        <v>6139.97</v>
      </c>
      <c r="M37" s="36">
        <v>339.42</v>
      </c>
      <c r="N37" s="36">
        <v>220.64</v>
      </c>
    </row>
    <row r="38" spans="11:18" x14ac:dyDescent="0.25">
      <c r="L38" s="36">
        <v>6139.97</v>
      </c>
      <c r="M38" s="36">
        <v>339.42</v>
      </c>
      <c r="N38" s="36">
        <v>220.64</v>
      </c>
    </row>
    <row r="39" spans="11:18" x14ac:dyDescent="0.25">
      <c r="L39" s="36">
        <v>5533.01</v>
      </c>
      <c r="M39" s="36">
        <v>339.42</v>
      </c>
      <c r="N39" s="36">
        <v>220.64</v>
      </c>
    </row>
    <row r="40" spans="11:18" x14ac:dyDescent="0.25">
      <c r="L40" s="36">
        <v>6139.97</v>
      </c>
      <c r="M40" s="36">
        <v>339.42</v>
      </c>
      <c r="N40" s="36">
        <v>220.64</v>
      </c>
    </row>
    <row r="41" spans="11:18" x14ac:dyDescent="0.25">
      <c r="L41" s="36">
        <v>6139.97</v>
      </c>
      <c r="M41" s="36">
        <v>339.42</v>
      </c>
      <c r="N41" s="36">
        <v>220.64</v>
      </c>
    </row>
    <row r="42" spans="11:18" x14ac:dyDescent="0.25">
      <c r="L42" s="36">
        <v>6139.97</v>
      </c>
      <c r="M42" s="36">
        <v>339.42</v>
      </c>
      <c r="N42" s="36">
        <v>220.64</v>
      </c>
    </row>
    <row r="43" spans="11:18" x14ac:dyDescent="0.25">
      <c r="L43" s="36">
        <v>6139.97</v>
      </c>
      <c r="M43" s="36">
        <v>339.42</v>
      </c>
      <c r="N43" s="36">
        <v>220.64</v>
      </c>
    </row>
    <row r="44" spans="11:18" x14ac:dyDescent="0.25">
      <c r="L44" s="36">
        <v>6139.97</v>
      </c>
      <c r="M44" s="36">
        <v>339.42</v>
      </c>
      <c r="N44" s="36">
        <v>220.64</v>
      </c>
    </row>
    <row r="45" spans="11:18" x14ac:dyDescent="0.25">
      <c r="K45">
        <f>SUM(L33:N44)</f>
        <v>80071.279999999984</v>
      </c>
      <c r="O45" s="36">
        <f>85292.04-K45</f>
        <v>5220.7600000000093</v>
      </c>
      <c r="P45" s="36">
        <v>2916.48</v>
      </c>
      <c r="R45">
        <f>+K45+O45-P45</f>
        <v>82375.56</v>
      </c>
    </row>
    <row r="46" spans="11:18" x14ac:dyDescent="0.25">
      <c r="P46" t="s">
        <v>34</v>
      </c>
    </row>
    <row r="47" spans="11:18" x14ac:dyDescent="0.25">
      <c r="K47" t="s">
        <v>39</v>
      </c>
      <c r="L47" s="36">
        <f>4157.4+4157.4</f>
        <v>8314.7999999999993</v>
      </c>
      <c r="M47" s="36">
        <v>259.2</v>
      </c>
      <c r="N47" s="36">
        <f>100.29+100.29</f>
        <v>200.58</v>
      </c>
      <c r="P47" t="s">
        <v>34</v>
      </c>
    </row>
    <row r="48" spans="11:18" x14ac:dyDescent="0.25">
      <c r="L48" s="36">
        <v>161.96</v>
      </c>
      <c r="M48" s="36">
        <v>259.2</v>
      </c>
      <c r="N48" s="36">
        <v>92.98</v>
      </c>
    </row>
    <row r="49" spans="10:18" x14ac:dyDescent="0.25">
      <c r="L49" s="36">
        <v>4211.38</v>
      </c>
      <c r="M49" s="36">
        <v>267.44</v>
      </c>
      <c r="N49" s="36">
        <v>97.86</v>
      </c>
    </row>
    <row r="50" spans="10:18" x14ac:dyDescent="0.25">
      <c r="L50" s="36">
        <v>4211.38</v>
      </c>
      <c r="M50" s="36">
        <v>267.44</v>
      </c>
      <c r="N50" s="36">
        <v>97.86</v>
      </c>
    </row>
    <row r="51" spans="10:18" x14ac:dyDescent="0.25">
      <c r="L51" s="36">
        <v>4211.38</v>
      </c>
      <c r="M51" s="36">
        <v>267.44</v>
      </c>
      <c r="N51" s="36">
        <v>97.86</v>
      </c>
    </row>
    <row r="52" spans="10:18" x14ac:dyDescent="0.25">
      <c r="L52" s="36">
        <v>4211.38</v>
      </c>
      <c r="M52" s="36">
        <v>267.44</v>
      </c>
      <c r="N52" s="36">
        <v>97.86</v>
      </c>
    </row>
    <row r="53" spans="10:18" x14ac:dyDescent="0.25">
      <c r="L53" s="36">
        <v>3795.07</v>
      </c>
      <c r="M53" s="36">
        <v>267.44</v>
      </c>
      <c r="N53" s="36">
        <v>97.86</v>
      </c>
    </row>
    <row r="54" spans="10:18" x14ac:dyDescent="0.25">
      <c r="L54" s="36">
        <v>4211.38</v>
      </c>
      <c r="M54" s="36">
        <v>267.44</v>
      </c>
      <c r="N54" s="36">
        <v>97.86</v>
      </c>
    </row>
    <row r="55" spans="10:18" x14ac:dyDescent="0.25">
      <c r="L55" s="36">
        <v>4211.38</v>
      </c>
      <c r="M55" s="36">
        <v>267.44</v>
      </c>
      <c r="N55" s="36">
        <v>97.86</v>
      </c>
    </row>
    <row r="56" spans="10:18" x14ac:dyDescent="0.25">
      <c r="L56" s="36">
        <v>4211.38</v>
      </c>
      <c r="M56" s="36">
        <v>267.44</v>
      </c>
      <c r="N56" s="36">
        <v>97.86</v>
      </c>
    </row>
    <row r="57" spans="10:18" x14ac:dyDescent="0.25">
      <c r="L57" s="36">
        <v>4211.38</v>
      </c>
      <c r="M57" s="36">
        <v>267.44</v>
      </c>
      <c r="N57" s="36">
        <v>97.86</v>
      </c>
    </row>
    <row r="58" spans="10:18" x14ac:dyDescent="0.25">
      <c r="L58" s="36">
        <v>4211.38</v>
      </c>
      <c r="M58" s="36">
        <v>267.44</v>
      </c>
      <c r="N58" s="36">
        <v>97.86</v>
      </c>
    </row>
    <row r="59" spans="10:18" x14ac:dyDescent="0.25">
      <c r="K59">
        <f>SUM(L47:N58)</f>
        <v>54639.21</v>
      </c>
      <c r="O59" s="36">
        <f>64407.73-K59</f>
        <v>9768.5200000000041</v>
      </c>
      <c r="P59" s="36">
        <v>1389.36</v>
      </c>
      <c r="R59">
        <f>+K59+O59-P59</f>
        <v>63018.37</v>
      </c>
    </row>
    <row r="61" spans="10:18" x14ac:dyDescent="0.25">
      <c r="J61" t="s">
        <v>40</v>
      </c>
      <c r="L61">
        <f>SUM(L33:L59)+O61</f>
        <v>138314.91000000009</v>
      </c>
      <c r="M61">
        <f>SUM(M33:M58)</f>
        <v>7244.3799999999965</v>
      </c>
      <c r="N61">
        <f>SUM(N33:N59)</f>
        <v>4140.4799999999996</v>
      </c>
      <c r="O61">
        <f>SUM(O33:O59)</f>
        <v>14989.280000000013</v>
      </c>
      <c r="P61">
        <f>SUM(P33:P59)</f>
        <v>4305.84</v>
      </c>
    </row>
    <row r="62" spans="10:18" x14ac:dyDescent="0.25">
      <c r="J62" t="s">
        <v>41</v>
      </c>
      <c r="L62" s="36">
        <f>4200*0.59</f>
        <v>2478</v>
      </c>
      <c r="M62">
        <v>0</v>
      </c>
      <c r="N62">
        <f>+P61-L62</f>
        <v>1827.8400000000001</v>
      </c>
    </row>
    <row r="63" spans="10:18" x14ac:dyDescent="0.25">
      <c r="J63" t="s">
        <v>42</v>
      </c>
      <c r="L63">
        <f>+L61-L62</f>
        <v>135836.91000000009</v>
      </c>
      <c r="M63">
        <f>+M61-M62</f>
        <v>7244.3799999999965</v>
      </c>
      <c r="N63">
        <f>+N61-N62</f>
        <v>2312.6399999999994</v>
      </c>
    </row>
    <row r="65" spans="10:18" x14ac:dyDescent="0.25">
      <c r="K65" t="s">
        <v>43</v>
      </c>
      <c r="L65" s="36">
        <f>815.49+815.49</f>
        <v>1630.98</v>
      </c>
      <c r="M65" s="36">
        <v>86.59</v>
      </c>
      <c r="N65" s="36">
        <f>24.33+24.33</f>
        <v>48.66</v>
      </c>
    </row>
    <row r="66" spans="10:18" x14ac:dyDescent="0.25">
      <c r="L66" s="36">
        <v>31.77</v>
      </c>
      <c r="M66" s="36">
        <v>86.59</v>
      </c>
      <c r="N66" s="36">
        <v>22.56</v>
      </c>
    </row>
    <row r="67" spans="10:18" x14ac:dyDescent="0.25">
      <c r="L67" s="36">
        <v>826.09</v>
      </c>
      <c r="M67" s="36">
        <v>90.1</v>
      </c>
      <c r="N67" s="36">
        <v>23.74</v>
      </c>
    </row>
    <row r="68" spans="10:18" x14ac:dyDescent="0.25">
      <c r="L68" s="36">
        <v>826.09</v>
      </c>
      <c r="M68" s="36">
        <v>90.1</v>
      </c>
      <c r="N68" s="36">
        <v>23.74</v>
      </c>
    </row>
    <row r="69" spans="10:18" x14ac:dyDescent="0.25">
      <c r="L69" s="36">
        <v>826.09</v>
      </c>
      <c r="M69" s="36">
        <v>90.1</v>
      </c>
      <c r="N69" s="36">
        <v>23.74</v>
      </c>
    </row>
    <row r="70" spans="10:18" x14ac:dyDescent="0.25">
      <c r="L70" s="36">
        <v>826.09</v>
      </c>
      <c r="M70" s="36">
        <v>90.1</v>
      </c>
      <c r="N70" s="36">
        <v>23.74</v>
      </c>
    </row>
    <row r="71" spans="10:18" x14ac:dyDescent="0.25">
      <c r="L71" s="36">
        <v>744.39</v>
      </c>
      <c r="M71" s="36">
        <v>90.1</v>
      </c>
      <c r="N71" s="36">
        <v>23.74</v>
      </c>
    </row>
    <row r="72" spans="10:18" x14ac:dyDescent="0.25">
      <c r="L72" s="36">
        <v>826.09</v>
      </c>
      <c r="M72" s="36">
        <v>90.1</v>
      </c>
      <c r="N72" s="36">
        <v>23.74</v>
      </c>
    </row>
    <row r="73" spans="10:18" x14ac:dyDescent="0.25">
      <c r="L73" s="36">
        <v>826.09</v>
      </c>
      <c r="M73" s="36">
        <v>90.1</v>
      </c>
      <c r="N73" s="36">
        <v>23.74</v>
      </c>
    </row>
    <row r="74" spans="10:18" x14ac:dyDescent="0.25">
      <c r="L74" s="36">
        <v>826.09</v>
      </c>
      <c r="M74" s="36">
        <v>90.1</v>
      </c>
      <c r="N74" s="36">
        <v>23.74</v>
      </c>
    </row>
    <row r="75" spans="10:18" x14ac:dyDescent="0.25">
      <c r="L75" s="36">
        <v>826.09</v>
      </c>
      <c r="M75" s="36">
        <v>90.1</v>
      </c>
      <c r="N75" s="36">
        <v>23.74</v>
      </c>
    </row>
    <row r="76" spans="10:18" x14ac:dyDescent="0.25">
      <c r="L76" s="36">
        <v>826.09</v>
      </c>
      <c r="M76" s="36">
        <v>90.1</v>
      </c>
      <c r="N76" s="36">
        <v>23.74</v>
      </c>
    </row>
    <row r="77" spans="10:18" x14ac:dyDescent="0.25">
      <c r="K77">
        <f>SUM(L65:N76)</f>
        <v>11224.750000000002</v>
      </c>
      <c r="O77" s="36">
        <f>16569.38-K77</f>
        <v>5344.6299999999992</v>
      </c>
      <c r="P77" s="36">
        <v>376.32</v>
      </c>
      <c r="R77">
        <f>+K77+O77-P77</f>
        <v>16193.060000000001</v>
      </c>
    </row>
    <row r="79" spans="10:18" x14ac:dyDescent="0.25">
      <c r="J79" t="s">
        <v>40</v>
      </c>
      <c r="L79">
        <f>SUM(L65:L78)+O79</f>
        <v>15186.58</v>
      </c>
      <c r="M79">
        <f>SUM(M65:M76)</f>
        <v>1074.18</v>
      </c>
      <c r="N79">
        <f>SUM(N65:N76)</f>
        <v>308.62000000000006</v>
      </c>
      <c r="O79">
        <f>SUM(O65:O77)</f>
        <v>5344.6299999999992</v>
      </c>
      <c r="P79">
        <f>SUM(P65:P77)</f>
        <v>376.32</v>
      </c>
    </row>
    <row r="80" spans="10:18" x14ac:dyDescent="0.25">
      <c r="J80" t="s">
        <v>41</v>
      </c>
      <c r="L80" s="36">
        <f>400*0.59</f>
        <v>236</v>
      </c>
      <c r="M80">
        <v>0</v>
      </c>
      <c r="N80">
        <f>+P79-L80</f>
        <v>140.32</v>
      </c>
    </row>
    <row r="81" spans="10:18" x14ac:dyDescent="0.25">
      <c r="J81" t="s">
        <v>42</v>
      </c>
      <c r="L81">
        <f>+L79-L80</f>
        <v>14950.58</v>
      </c>
      <c r="M81">
        <f>+M79-M80</f>
        <v>1074.18</v>
      </c>
      <c r="N81">
        <f>+N79-N80</f>
        <v>168.30000000000007</v>
      </c>
    </row>
    <row r="83" spans="10:18" x14ac:dyDescent="0.25">
      <c r="L83" t="s">
        <v>44</v>
      </c>
      <c r="M83" t="s">
        <v>45</v>
      </c>
      <c r="N83" t="s">
        <v>46</v>
      </c>
    </row>
    <row r="84" spans="10:18" x14ac:dyDescent="0.25">
      <c r="K84" t="s">
        <v>47</v>
      </c>
      <c r="L84" s="36">
        <v>2276.21</v>
      </c>
    </row>
    <row r="85" spans="10:18" x14ac:dyDescent="0.25">
      <c r="L85" s="36">
        <v>1973.48</v>
      </c>
    </row>
    <row r="86" spans="10:18" x14ac:dyDescent="0.25">
      <c r="L86" s="36">
        <v>2168.79</v>
      </c>
    </row>
    <row r="87" spans="10:18" x14ac:dyDescent="0.25">
      <c r="L87" s="36">
        <v>2168.04</v>
      </c>
    </row>
    <row r="88" spans="10:18" x14ac:dyDescent="0.25">
      <c r="L88" s="36">
        <v>2089.34</v>
      </c>
    </row>
    <row r="89" spans="10:18" x14ac:dyDescent="0.25">
      <c r="L89" s="36">
        <v>2177.0300000000002</v>
      </c>
    </row>
    <row r="90" spans="10:18" x14ac:dyDescent="0.25">
      <c r="L90" s="36">
        <v>2298.0100000000002</v>
      </c>
    </row>
    <row r="91" spans="10:18" x14ac:dyDescent="0.25">
      <c r="L91" s="36">
        <v>2117.81</v>
      </c>
    </row>
    <row r="92" spans="10:18" x14ac:dyDescent="0.25">
      <c r="L92" s="36">
        <v>2183.77</v>
      </c>
    </row>
    <row r="93" spans="10:18" x14ac:dyDescent="0.25">
      <c r="L93" s="36">
        <v>2234.2800000000002</v>
      </c>
    </row>
    <row r="94" spans="10:18" x14ac:dyDescent="0.25">
      <c r="L94" s="36">
        <v>2091.7399999999998</v>
      </c>
    </row>
    <row r="95" spans="10:18" x14ac:dyDescent="0.25">
      <c r="L95" s="36">
        <v>2392.12</v>
      </c>
    </row>
    <row r="96" spans="10:18" x14ac:dyDescent="0.25">
      <c r="L96">
        <f>SUM(L84:L95)</f>
        <v>26170.62</v>
      </c>
      <c r="M96" s="36">
        <f>42025.34-L96-N96</f>
        <v>6929.5499999999975</v>
      </c>
      <c r="N96" s="36">
        <v>8925.17</v>
      </c>
      <c r="R96">
        <f>+L96+M96</f>
        <v>33100.17</v>
      </c>
    </row>
    <row r="98" spans="11:18" x14ac:dyDescent="0.25">
      <c r="L98" t="s">
        <v>44</v>
      </c>
      <c r="M98" t="s">
        <v>45</v>
      </c>
      <c r="N98" t="s">
        <v>46</v>
      </c>
    </row>
    <row r="99" spans="11:18" x14ac:dyDescent="0.25">
      <c r="K99" t="s">
        <v>48</v>
      </c>
      <c r="L99" s="36">
        <v>1309.6400000000001</v>
      </c>
    </row>
    <row r="100" spans="11:18" x14ac:dyDescent="0.25">
      <c r="L100" s="36">
        <v>1201.1099999999999</v>
      </c>
    </row>
    <row r="101" spans="11:18" x14ac:dyDescent="0.25">
      <c r="L101" s="36">
        <v>1272.8599999999999</v>
      </c>
    </row>
    <row r="102" spans="11:18" x14ac:dyDescent="0.25">
      <c r="L102" s="36">
        <v>1279.97</v>
      </c>
    </row>
    <row r="103" spans="11:18" x14ac:dyDescent="0.25">
      <c r="L103" s="36">
        <v>1235.82</v>
      </c>
    </row>
    <row r="104" spans="11:18" x14ac:dyDescent="0.25">
      <c r="L104" s="36">
        <v>1225.75</v>
      </c>
    </row>
    <row r="105" spans="11:18" x14ac:dyDescent="0.25">
      <c r="L105" s="36">
        <v>1333.97</v>
      </c>
    </row>
    <row r="106" spans="11:18" x14ac:dyDescent="0.25">
      <c r="L106" s="36">
        <v>1236.8900000000001</v>
      </c>
    </row>
    <row r="107" spans="11:18" x14ac:dyDescent="0.25">
      <c r="L107" s="36">
        <v>1298.3599999999999</v>
      </c>
    </row>
    <row r="108" spans="11:18" x14ac:dyDescent="0.25">
      <c r="L108" s="36">
        <v>1295.07</v>
      </c>
    </row>
    <row r="109" spans="11:18" x14ac:dyDescent="0.25">
      <c r="L109" s="36">
        <v>1260.32</v>
      </c>
    </row>
    <row r="110" spans="11:18" x14ac:dyDescent="0.25">
      <c r="L110" s="36">
        <v>1334.6</v>
      </c>
    </row>
    <row r="111" spans="11:18" x14ac:dyDescent="0.25">
      <c r="L111">
        <f>SUM(L99:L110)</f>
        <v>15284.359999999999</v>
      </c>
      <c r="M111" s="36">
        <f>23418.94-L111-N111</f>
        <v>4067.29</v>
      </c>
      <c r="N111" s="36">
        <v>4067.29</v>
      </c>
      <c r="R111">
        <f>+L111+M111</f>
        <v>19351.649999999998</v>
      </c>
    </row>
    <row r="113" spans="11:18" x14ac:dyDescent="0.25">
      <c r="L113">
        <f>+L96+L111</f>
        <v>41454.979999999996</v>
      </c>
      <c r="M113">
        <f>+M96+M111</f>
        <v>10996.839999999997</v>
      </c>
      <c r="N113">
        <f>+N96+N111</f>
        <v>12992.46</v>
      </c>
    </row>
    <row r="115" spans="11:18" x14ac:dyDescent="0.25">
      <c r="L115" t="s">
        <v>44</v>
      </c>
      <c r="M115" t="s">
        <v>45</v>
      </c>
      <c r="N115" t="s">
        <v>46</v>
      </c>
    </row>
    <row r="116" spans="11:18" x14ac:dyDescent="0.25">
      <c r="K116" t="s">
        <v>49</v>
      </c>
      <c r="L116" s="36">
        <v>596.04999999999995</v>
      </c>
    </row>
    <row r="117" spans="11:18" x14ac:dyDescent="0.25">
      <c r="L117" s="37">
        <f>+L116</f>
        <v>596.04999999999995</v>
      </c>
    </row>
    <row r="118" spans="11:18" x14ac:dyDescent="0.25">
      <c r="L118" s="37">
        <f t="shared" ref="L118:L121" si="7">+L117</f>
        <v>596.04999999999995</v>
      </c>
    </row>
    <row r="119" spans="11:18" x14ac:dyDescent="0.25">
      <c r="L119" s="37">
        <f t="shared" si="7"/>
        <v>596.04999999999995</v>
      </c>
    </row>
    <row r="120" spans="11:18" x14ac:dyDescent="0.25">
      <c r="L120" s="37">
        <f t="shared" si="7"/>
        <v>596.04999999999995</v>
      </c>
    </row>
    <row r="121" spans="11:18" x14ac:dyDescent="0.25">
      <c r="L121" s="37">
        <f t="shared" si="7"/>
        <v>596.04999999999995</v>
      </c>
    </row>
    <row r="122" spans="11:18" x14ac:dyDescent="0.25">
      <c r="L122" s="36">
        <v>601.85</v>
      </c>
    </row>
    <row r="123" spans="11:18" x14ac:dyDescent="0.25">
      <c r="L123" s="37">
        <f>+L122</f>
        <v>601.85</v>
      </c>
    </row>
    <row r="124" spans="11:18" x14ac:dyDescent="0.25">
      <c r="L124" s="37">
        <f t="shared" ref="L124:L127" si="8">+L123</f>
        <v>601.85</v>
      </c>
    </row>
    <row r="125" spans="11:18" x14ac:dyDescent="0.25">
      <c r="L125" s="37">
        <f t="shared" si="8"/>
        <v>601.85</v>
      </c>
    </row>
    <row r="126" spans="11:18" x14ac:dyDescent="0.25">
      <c r="L126" s="37">
        <f t="shared" si="8"/>
        <v>601.85</v>
      </c>
    </row>
    <row r="127" spans="11:18" x14ac:dyDescent="0.25">
      <c r="L127" s="37">
        <f t="shared" si="8"/>
        <v>601.85</v>
      </c>
    </row>
    <row r="128" spans="11:18" x14ac:dyDescent="0.25">
      <c r="L128">
        <f>SUM(L116:L127)</f>
        <v>7187.4000000000024</v>
      </c>
      <c r="M128">
        <f>14799.84-L128-N128</f>
        <v>1903.0799999999981</v>
      </c>
      <c r="N128">
        <v>5709.36</v>
      </c>
      <c r="R128">
        <f>+L128+M128</f>
        <v>9090.48</v>
      </c>
    </row>
  </sheetData>
  <mergeCells count="11">
    <mergeCell ref="O8:P8"/>
    <mergeCell ref="A2:P2"/>
    <mergeCell ref="A3:P3"/>
    <mergeCell ref="A5:P5"/>
    <mergeCell ref="A6:P6"/>
    <mergeCell ref="B8:C8"/>
    <mergeCell ref="D8:D9"/>
    <mergeCell ref="E8:F8"/>
    <mergeCell ref="G8:H8"/>
    <mergeCell ref="I8:J8"/>
    <mergeCell ref="K8:L8"/>
  </mergeCells>
  <pageMargins left="0.36" right="0.43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</vt:lpstr>
      <vt:lpstr>2020</vt:lpstr>
      <vt:lpstr>'2020'!Print_Area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2022-07-31T01:37:24Z</dcterms:created>
  <dcterms:modified xsi:type="dcterms:W3CDTF">2022-07-31T01:37:33Z</dcterms:modified>
</cp:coreProperties>
</file>