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Z:\PSC Case Filings\PSC Case 2022_00141\"/>
    </mc:Choice>
  </mc:AlternateContent>
  <xr:revisionPtr revIDLastSave="0" documentId="13_ncr:1_{9A5240BD-B0C5-41AD-9838-050F6BECF7F2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Chart1" sheetId="2" r:id="rId1"/>
    <sheet name="Salt River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'Salt River'!$B$4:$R$233</definedName>
  </definedNames>
  <calcPr calcId="191029"/>
</workbook>
</file>

<file path=xl/calcChain.xml><?xml version="1.0" encoding="utf-8"?>
<calcChain xmlns="http://schemas.openxmlformats.org/spreadsheetml/2006/main">
  <c r="V229" i="1" l="1"/>
  <c r="P228" i="1"/>
  <c r="F229" i="1"/>
  <c r="I229" i="1"/>
  <c r="V228" i="1" l="1"/>
  <c r="P227" i="1"/>
  <c r="F228" i="1"/>
  <c r="I228" i="1"/>
  <c r="V227" i="1" l="1"/>
  <c r="P226" i="1"/>
  <c r="F227" i="1"/>
  <c r="I227" i="1"/>
  <c r="V226" i="1" l="1"/>
  <c r="P225" i="1"/>
  <c r="F226" i="1"/>
  <c r="I226" i="1"/>
  <c r="V225" i="1" l="1"/>
  <c r="P224" i="1"/>
  <c r="F225" i="1"/>
  <c r="I225" i="1"/>
  <c r="V224" i="1" l="1"/>
  <c r="P223" i="1"/>
  <c r="F224" i="1"/>
  <c r="I224" i="1"/>
  <c r="V223" i="1" l="1"/>
  <c r="P222" i="1"/>
  <c r="F223" i="1"/>
  <c r="I223" i="1"/>
  <c r="V222" i="1" l="1"/>
  <c r="P221" i="1"/>
  <c r="F222" i="1"/>
  <c r="I222" i="1"/>
  <c r="P220" i="1" l="1"/>
  <c r="F221" i="1"/>
  <c r="I221" i="1"/>
  <c r="V221" i="1"/>
  <c r="P219" i="1" l="1"/>
  <c r="V220" i="1"/>
  <c r="F220" i="1"/>
  <c r="I220" i="1"/>
  <c r="V219" i="1" l="1"/>
  <c r="P218" i="1"/>
  <c r="F219" i="1"/>
  <c r="I219" i="1"/>
  <c r="V218" i="1" l="1"/>
  <c r="P217" i="1"/>
  <c r="F218" i="1"/>
  <c r="I218" i="1"/>
  <c r="J229" i="1" s="1"/>
  <c r="K229" i="1" s="1"/>
  <c r="M229" i="1" s="1"/>
  <c r="Q228" i="1" l="1"/>
  <c r="R229" i="1" s="1"/>
  <c r="P216" i="1"/>
  <c r="Q227" i="1" s="1"/>
  <c r="F217" i="1"/>
  <c r="I217" i="1"/>
  <c r="V217" i="1"/>
  <c r="J228" i="1" l="1"/>
  <c r="K228" i="1" s="1"/>
  <c r="M228" i="1" s="1"/>
  <c r="R228" i="1" s="1"/>
  <c r="P215" i="1"/>
  <c r="Q226" i="1" s="1"/>
  <c r="F216" i="1"/>
  <c r="I216" i="1"/>
  <c r="J227" i="1" s="1"/>
  <c r="K227" i="1" s="1"/>
  <c r="M227" i="1" s="1"/>
  <c r="R227" i="1" s="1"/>
  <c r="V216" i="1"/>
  <c r="V215" i="1" l="1"/>
  <c r="P214" i="1"/>
  <c r="Q225" i="1" s="1"/>
  <c r="F215" i="1"/>
  <c r="I215" i="1"/>
  <c r="J226" i="1" s="1"/>
  <c r="K226" i="1" s="1"/>
  <c r="M226" i="1" s="1"/>
  <c r="R226" i="1" s="1"/>
  <c r="T214" i="1" l="1"/>
  <c r="V214" i="1"/>
  <c r="P213" i="1"/>
  <c r="Q224" i="1" s="1"/>
  <c r="F214" i="1"/>
  <c r="I214" i="1"/>
  <c r="J225" i="1" s="1"/>
  <c r="K225" i="1" s="1"/>
  <c r="M225" i="1" s="1"/>
  <c r="R225" i="1" l="1"/>
  <c r="V213" i="1"/>
  <c r="P212" i="1"/>
  <c r="Q223" i="1" s="1"/>
  <c r="F213" i="1"/>
  <c r="I213" i="1"/>
  <c r="J224" i="1" s="1"/>
  <c r="K224" i="1" s="1"/>
  <c r="M224" i="1" s="1"/>
  <c r="R224" i="1" s="1"/>
  <c r="V212" i="1" l="1"/>
  <c r="P211" i="1"/>
  <c r="Q222" i="1" s="1"/>
  <c r="F212" i="1"/>
  <c r="I212" i="1"/>
  <c r="J223" i="1" s="1"/>
  <c r="K223" i="1" s="1"/>
  <c r="M223" i="1" s="1"/>
  <c r="R223" i="1" s="1"/>
  <c r="V211" i="1" l="1"/>
  <c r="P210" i="1"/>
  <c r="Q221" i="1" s="1"/>
  <c r="F211" i="1"/>
  <c r="I211" i="1"/>
  <c r="J222" i="1" s="1"/>
  <c r="K222" i="1" s="1"/>
  <c r="M222" i="1" s="1"/>
  <c r="R222" i="1" s="1"/>
  <c r="V210" i="1" l="1"/>
  <c r="P209" i="1"/>
  <c r="Q220" i="1" s="1"/>
  <c r="F210" i="1"/>
  <c r="I210" i="1"/>
  <c r="J221" i="1" s="1"/>
  <c r="K221" i="1" s="1"/>
  <c r="M221" i="1" s="1"/>
  <c r="R221" i="1" s="1"/>
  <c r="V209" i="1" l="1"/>
  <c r="P208" i="1"/>
  <c r="Q219" i="1" s="1"/>
  <c r="F209" i="1"/>
  <c r="I209" i="1"/>
  <c r="J220" i="1" s="1"/>
  <c r="K220" i="1" s="1"/>
  <c r="M220" i="1" s="1"/>
  <c r="R220" i="1" s="1"/>
  <c r="V208" i="1" l="1"/>
  <c r="P207" i="1"/>
  <c r="Q218" i="1" s="1"/>
  <c r="F208" i="1"/>
  <c r="I208" i="1"/>
  <c r="J219" i="1" s="1"/>
  <c r="K219" i="1" s="1"/>
  <c r="M219" i="1" s="1"/>
  <c r="R219" i="1" s="1"/>
  <c r="V207" i="1" l="1"/>
  <c r="P206" i="1"/>
  <c r="Q217" i="1" s="1"/>
  <c r="F207" i="1"/>
  <c r="I207" i="1"/>
  <c r="J218" i="1" s="1"/>
  <c r="K218" i="1" s="1"/>
  <c r="M218" i="1" s="1"/>
  <c r="R218" i="1" s="1"/>
  <c r="T206" i="1" l="1"/>
  <c r="V206" i="1" s="1"/>
  <c r="P205" i="1"/>
  <c r="Q216" i="1" s="1"/>
  <c r="F206" i="1"/>
  <c r="I206" i="1"/>
  <c r="J217" i="1" s="1"/>
  <c r="K217" i="1" s="1"/>
  <c r="M217" i="1" s="1"/>
  <c r="R217" i="1" l="1"/>
  <c r="V205" i="1"/>
  <c r="P204" i="1"/>
  <c r="Q215" i="1" s="1"/>
  <c r="F205" i="1"/>
  <c r="I205" i="1"/>
  <c r="J216" i="1" s="1"/>
  <c r="K216" i="1" s="1"/>
  <c r="M216" i="1" s="1"/>
  <c r="R216" i="1" l="1"/>
  <c r="V204" i="1"/>
  <c r="P203" i="1"/>
  <c r="Q214" i="1" s="1"/>
  <c r="F204" i="1"/>
  <c r="I204" i="1"/>
  <c r="J215" i="1" s="1"/>
  <c r="K215" i="1" s="1"/>
  <c r="M215" i="1" s="1"/>
  <c r="R215" i="1" l="1"/>
  <c r="V203" i="1"/>
  <c r="P202" i="1"/>
  <c r="Q213" i="1" s="1"/>
  <c r="F203" i="1"/>
  <c r="I203" i="1"/>
  <c r="J214" i="1" s="1"/>
  <c r="K214" i="1" s="1"/>
  <c r="M214" i="1" s="1"/>
  <c r="R214" i="1" l="1"/>
  <c r="V202" i="1"/>
  <c r="P201" i="1"/>
  <c r="Q212" i="1" s="1"/>
  <c r="F202" i="1"/>
  <c r="I202" i="1"/>
  <c r="J213" i="1" s="1"/>
  <c r="K213" i="1" s="1"/>
  <c r="M213" i="1" s="1"/>
  <c r="R213" i="1" l="1"/>
  <c r="V201" i="1"/>
  <c r="P200" i="1"/>
  <c r="Q211" i="1" s="1"/>
  <c r="F201" i="1"/>
  <c r="I201" i="1"/>
  <c r="J212" i="1" s="1"/>
  <c r="K212" i="1" s="1"/>
  <c r="M212" i="1" s="1"/>
  <c r="R212" i="1" l="1"/>
  <c r="V200" i="1"/>
  <c r="P199" i="1"/>
  <c r="Q210" i="1" s="1"/>
  <c r="F200" i="1"/>
  <c r="I200" i="1"/>
  <c r="J211" i="1" s="1"/>
  <c r="K211" i="1" s="1"/>
  <c r="M211" i="1" s="1"/>
  <c r="R211" i="1" l="1"/>
  <c r="T199" i="1"/>
  <c r="V199" i="1" s="1"/>
  <c r="P198" i="1"/>
  <c r="Q209" i="1" s="1"/>
  <c r="F199" i="1"/>
  <c r="I199" i="1"/>
  <c r="J210" i="1" s="1"/>
  <c r="K210" i="1" s="1"/>
  <c r="M210" i="1" s="1"/>
  <c r="R210" i="1" l="1"/>
  <c r="V198" i="1"/>
  <c r="P197" i="1"/>
  <c r="Q208" i="1" s="1"/>
  <c r="F198" i="1"/>
  <c r="I198" i="1"/>
  <c r="J209" i="1" s="1"/>
  <c r="K209" i="1" s="1"/>
  <c r="M209" i="1" s="1"/>
  <c r="R209" i="1" l="1"/>
  <c r="V197" i="1"/>
  <c r="P196" i="1"/>
  <c r="Q207" i="1" s="1"/>
  <c r="F197" i="1"/>
  <c r="I197" i="1"/>
  <c r="J208" i="1" s="1"/>
  <c r="K208" i="1" s="1"/>
  <c r="M208" i="1" s="1"/>
  <c r="R208" i="1" l="1"/>
  <c r="V196" i="1"/>
  <c r="P195" i="1"/>
  <c r="Q206" i="1" s="1"/>
  <c r="F196" i="1"/>
  <c r="I196" i="1"/>
  <c r="J207" i="1" s="1"/>
  <c r="K207" i="1" s="1"/>
  <c r="M207" i="1" s="1"/>
  <c r="R207" i="1" l="1"/>
  <c r="V195" i="1"/>
  <c r="P194" i="1"/>
  <c r="Q205" i="1" s="1"/>
  <c r="F195" i="1"/>
  <c r="I195" i="1"/>
  <c r="J206" i="1" s="1"/>
  <c r="K206" i="1" s="1"/>
  <c r="M206" i="1" s="1"/>
  <c r="R206" i="1" l="1"/>
  <c r="V194" i="1"/>
  <c r="P193" i="1"/>
  <c r="Q204" i="1" s="1"/>
  <c r="F194" i="1"/>
  <c r="I194" i="1"/>
  <c r="J205" i="1" s="1"/>
  <c r="K205" i="1" s="1"/>
  <c r="M205" i="1" s="1"/>
  <c r="R205" i="1" l="1"/>
  <c r="T193" i="1"/>
  <c r="V193" i="1" s="1"/>
  <c r="P192" i="1"/>
  <c r="Q203" i="1" s="1"/>
  <c r="F193" i="1"/>
  <c r="I193" i="1"/>
  <c r="J204" i="1" s="1"/>
  <c r="K204" i="1" s="1"/>
  <c r="M204" i="1" s="1"/>
  <c r="R204" i="1" l="1"/>
  <c r="P191" i="1"/>
  <c r="Q202" i="1" s="1"/>
  <c r="F192" i="1"/>
  <c r="I192" i="1"/>
  <c r="J203" i="1" s="1"/>
  <c r="K203" i="1" s="1"/>
  <c r="M203" i="1" s="1"/>
  <c r="V192" i="1"/>
  <c r="R203" i="1" l="1"/>
  <c r="V191" i="1"/>
  <c r="P190" i="1"/>
  <c r="Q201" i="1" s="1"/>
  <c r="F191" i="1"/>
  <c r="I191" i="1"/>
  <c r="J202" i="1" s="1"/>
  <c r="K202" i="1" s="1"/>
  <c r="M202" i="1" s="1"/>
  <c r="R202" i="1" l="1"/>
  <c r="V190" i="1"/>
  <c r="P189" i="1"/>
  <c r="Q200" i="1" s="1"/>
  <c r="F190" i="1"/>
  <c r="I190" i="1"/>
  <c r="J201" i="1" s="1"/>
  <c r="K201" i="1" s="1"/>
  <c r="M201" i="1" s="1"/>
  <c r="R201" i="1" l="1"/>
  <c r="V189" i="1"/>
  <c r="P188" i="1"/>
  <c r="Q199" i="1" s="1"/>
  <c r="F189" i="1"/>
  <c r="I189" i="1"/>
  <c r="J200" i="1" s="1"/>
  <c r="K200" i="1" s="1"/>
  <c r="M200" i="1" s="1"/>
  <c r="R200" i="1" l="1"/>
  <c r="V188" i="1"/>
  <c r="P187" i="1"/>
  <c r="Q198" i="1" s="1"/>
  <c r="F188" i="1"/>
  <c r="I188" i="1"/>
  <c r="J199" i="1" s="1"/>
  <c r="K199" i="1" s="1"/>
  <c r="M199" i="1" s="1"/>
  <c r="R199" i="1" l="1"/>
  <c r="P186" i="1"/>
  <c r="Q197" i="1" s="1"/>
  <c r="F187" i="1"/>
  <c r="I187" i="1"/>
  <c r="J198" i="1" s="1"/>
  <c r="K198" i="1" s="1"/>
  <c r="M198" i="1" s="1"/>
  <c r="R198" i="1" l="1"/>
  <c r="T186" i="1"/>
  <c r="V186" i="1" s="1"/>
  <c r="P185" i="1"/>
  <c r="Q196" i="1" s="1"/>
  <c r="F186" i="1"/>
  <c r="I186" i="1"/>
  <c r="J197" i="1" s="1"/>
  <c r="K197" i="1" s="1"/>
  <c r="M197" i="1" s="1"/>
  <c r="R197" i="1" l="1"/>
  <c r="V185" i="1"/>
  <c r="P184" i="1"/>
  <c r="Q195" i="1" s="1"/>
  <c r="F185" i="1"/>
  <c r="I185" i="1"/>
  <c r="J196" i="1" s="1"/>
  <c r="K196" i="1" s="1"/>
  <c r="M196" i="1" s="1"/>
  <c r="R196" i="1" l="1"/>
  <c r="V184" i="1"/>
  <c r="P183" i="1"/>
  <c r="Q194" i="1" s="1"/>
  <c r="F184" i="1"/>
  <c r="I184" i="1"/>
  <c r="J195" i="1" s="1"/>
  <c r="K195" i="1" s="1"/>
  <c r="M195" i="1" s="1"/>
  <c r="R195" i="1" l="1"/>
  <c r="V183" i="1"/>
  <c r="P182" i="1"/>
  <c r="Q193" i="1" s="1"/>
  <c r="F183" i="1"/>
  <c r="I183" i="1"/>
  <c r="J194" i="1" s="1"/>
  <c r="K194" i="1" s="1"/>
  <c r="M194" i="1" s="1"/>
  <c r="R194" i="1" l="1"/>
  <c r="V182" i="1"/>
  <c r="P181" i="1"/>
  <c r="Q192" i="1" s="1"/>
  <c r="F182" i="1"/>
  <c r="I182" i="1"/>
  <c r="J193" i="1" s="1"/>
  <c r="K193" i="1" s="1"/>
  <c r="M193" i="1" s="1"/>
  <c r="R193" i="1" l="1"/>
  <c r="V181" i="1"/>
  <c r="P180" i="1"/>
  <c r="Q191" i="1" s="1"/>
  <c r="F181" i="1"/>
  <c r="I181" i="1"/>
  <c r="J192" i="1" s="1"/>
  <c r="K192" i="1" s="1"/>
  <c r="M192" i="1" s="1"/>
  <c r="R192" i="1" l="1"/>
  <c r="U180" i="1"/>
  <c r="V180" i="1" s="1"/>
  <c r="P179" i="1"/>
  <c r="Q190" i="1" s="1"/>
  <c r="F180" i="1"/>
  <c r="I180" i="1"/>
  <c r="J191" i="1" s="1"/>
  <c r="K191" i="1" s="1"/>
  <c r="M191" i="1" s="1"/>
  <c r="R191" i="1" l="1"/>
  <c r="V179" i="1"/>
  <c r="P178" i="1"/>
  <c r="Q189" i="1" s="1"/>
  <c r="F179" i="1"/>
  <c r="I179" i="1"/>
  <c r="J190" i="1" s="1"/>
  <c r="K190" i="1" s="1"/>
  <c r="M190" i="1" s="1"/>
  <c r="R190" i="1" l="1"/>
  <c r="T178" i="1"/>
  <c r="V178" i="1" s="1"/>
  <c r="P177" i="1"/>
  <c r="Q188" i="1" s="1"/>
  <c r="F178" i="1"/>
  <c r="I178" i="1"/>
  <c r="J189" i="1" s="1"/>
  <c r="K189" i="1" s="1"/>
  <c r="M189" i="1" s="1"/>
  <c r="R189" i="1" l="1"/>
  <c r="V177" i="1"/>
  <c r="P176" i="1"/>
  <c r="Q187" i="1" s="1"/>
  <c r="F177" i="1"/>
  <c r="I177" i="1"/>
  <c r="J188" i="1" s="1"/>
  <c r="K188" i="1" s="1"/>
  <c r="M188" i="1" s="1"/>
  <c r="R188" i="1" l="1"/>
  <c r="V176" i="1"/>
  <c r="P175" i="1"/>
  <c r="Q186" i="1" s="1"/>
  <c r="F176" i="1"/>
  <c r="I176" i="1"/>
  <c r="J187" i="1" s="1"/>
  <c r="K187" i="1" s="1"/>
  <c r="M187" i="1" s="1"/>
  <c r="R187" i="1" l="1"/>
  <c r="V175" i="1"/>
  <c r="P174" i="1"/>
  <c r="Q185" i="1" s="1"/>
  <c r="F175" i="1"/>
  <c r="I175" i="1"/>
  <c r="J186" i="1" s="1"/>
  <c r="K186" i="1" s="1"/>
  <c r="M186" i="1" s="1"/>
  <c r="R186" i="1" l="1"/>
  <c r="V174" i="1"/>
  <c r="P173" i="1"/>
  <c r="Q184" i="1" s="1"/>
  <c r="F174" i="1"/>
  <c r="I174" i="1"/>
  <c r="J185" i="1" s="1"/>
  <c r="K185" i="1" s="1"/>
  <c r="M185" i="1" s="1"/>
  <c r="R185" i="1" l="1"/>
  <c r="V173" i="1"/>
  <c r="P172" i="1" l="1"/>
  <c r="Q183" i="1" s="1"/>
  <c r="F173" i="1"/>
  <c r="I173" i="1"/>
  <c r="J184" i="1" s="1"/>
  <c r="K184" i="1" s="1"/>
  <c r="M184" i="1" s="1"/>
  <c r="R184" i="1" l="1"/>
  <c r="P171" i="1"/>
  <c r="Q182" i="1" s="1"/>
  <c r="F172" i="1"/>
  <c r="I172" i="1"/>
  <c r="J183" i="1" s="1"/>
  <c r="K183" i="1" s="1"/>
  <c r="M183" i="1" s="1"/>
  <c r="R183" i="1" l="1"/>
  <c r="P170" i="1"/>
  <c r="Q181" i="1" s="1"/>
  <c r="F171" i="1"/>
  <c r="I171" i="1"/>
  <c r="J182" i="1" s="1"/>
  <c r="K182" i="1" s="1"/>
  <c r="M182" i="1" s="1"/>
  <c r="R182" i="1" l="1"/>
  <c r="U170" i="1"/>
  <c r="V170" i="1" l="1"/>
  <c r="P169" i="1"/>
  <c r="Q180" i="1" s="1"/>
  <c r="F170" i="1"/>
  <c r="I170" i="1"/>
  <c r="J181" i="1" s="1"/>
  <c r="K181" i="1" s="1"/>
  <c r="M181" i="1" s="1"/>
  <c r="R181" i="1" l="1"/>
  <c r="V169" i="1"/>
  <c r="P168" i="1"/>
  <c r="Q179" i="1" s="1"/>
  <c r="F169" i="1"/>
  <c r="I169" i="1"/>
  <c r="J180" i="1" s="1"/>
  <c r="K180" i="1" s="1"/>
  <c r="M180" i="1" s="1"/>
  <c r="R180" i="1" l="1"/>
  <c r="V168" i="1"/>
  <c r="P167" i="1"/>
  <c r="Q178" i="1" s="1"/>
  <c r="F168" i="1"/>
  <c r="I168" i="1"/>
  <c r="J179" i="1" s="1"/>
  <c r="K179" i="1" s="1"/>
  <c r="M179" i="1" s="1"/>
  <c r="R179" i="1" l="1"/>
  <c r="V167" i="1"/>
  <c r="P166" i="1"/>
  <c r="Q177" i="1" s="1"/>
  <c r="F167" i="1"/>
  <c r="I167" i="1"/>
  <c r="J178" i="1" s="1"/>
  <c r="K178" i="1" s="1"/>
  <c r="M178" i="1" s="1"/>
  <c r="R178" i="1" l="1"/>
  <c r="V166" i="1"/>
  <c r="P165" i="1"/>
  <c r="Q176" i="1" s="1"/>
  <c r="F166" i="1"/>
  <c r="I166" i="1"/>
  <c r="J177" i="1" s="1"/>
  <c r="K177" i="1" s="1"/>
  <c r="M177" i="1" s="1"/>
  <c r="R177" i="1" l="1"/>
  <c r="V165" i="1"/>
  <c r="P164" i="1"/>
  <c r="Q175" i="1" s="1"/>
  <c r="F165" i="1"/>
  <c r="I165" i="1"/>
  <c r="J176" i="1" s="1"/>
  <c r="K176" i="1" s="1"/>
  <c r="M176" i="1" s="1"/>
  <c r="R176" i="1" l="1"/>
  <c r="V164" i="1"/>
  <c r="P163" i="1"/>
  <c r="Q174" i="1" s="1"/>
  <c r="F164" i="1"/>
  <c r="I164" i="1"/>
  <c r="J175" i="1" s="1"/>
  <c r="K175" i="1" s="1"/>
  <c r="M175" i="1" s="1"/>
  <c r="R175" i="1" l="1"/>
  <c r="V163" i="1"/>
  <c r="P162" i="1"/>
  <c r="Q173" i="1" s="1"/>
  <c r="F163" i="1"/>
  <c r="I163" i="1"/>
  <c r="J174" i="1" s="1"/>
  <c r="K174" i="1" s="1"/>
  <c r="M174" i="1" s="1"/>
  <c r="R174" i="1" l="1"/>
  <c r="V162" i="1"/>
  <c r="P161" i="1"/>
  <c r="Q172" i="1" s="1"/>
  <c r="F162" i="1"/>
  <c r="I162" i="1"/>
  <c r="J173" i="1" s="1"/>
  <c r="K173" i="1" s="1"/>
  <c r="M173" i="1" s="1"/>
  <c r="R173" i="1" l="1"/>
  <c r="P160" i="1"/>
  <c r="Q171" i="1" s="1"/>
  <c r="V161" i="1"/>
  <c r="F161" i="1"/>
  <c r="I161" i="1"/>
  <c r="J172" i="1" s="1"/>
  <c r="K172" i="1" s="1"/>
  <c r="M172" i="1" s="1"/>
  <c r="R172" i="1" l="1"/>
  <c r="V160" i="1"/>
  <c r="P159" i="1" l="1"/>
  <c r="Q170" i="1" s="1"/>
  <c r="F160" i="1"/>
  <c r="I160" i="1"/>
  <c r="J171" i="1" s="1"/>
  <c r="K171" i="1" s="1"/>
  <c r="M171" i="1" s="1"/>
  <c r="R171" i="1" l="1"/>
  <c r="P158" i="1"/>
  <c r="Q169" i="1" s="1"/>
  <c r="F159" i="1"/>
  <c r="I159" i="1"/>
  <c r="J170" i="1" s="1"/>
  <c r="K170" i="1" s="1"/>
  <c r="M170" i="1" s="1"/>
  <c r="R170" i="1" l="1"/>
  <c r="V158" i="1"/>
  <c r="P157" i="1"/>
  <c r="Q168" i="1" s="1"/>
  <c r="F158" i="1"/>
  <c r="I158" i="1"/>
  <c r="J169" i="1" s="1"/>
  <c r="K169" i="1" s="1"/>
  <c r="M169" i="1" s="1"/>
  <c r="R169" i="1" l="1"/>
  <c r="P156" i="1"/>
  <c r="Q167" i="1" s="1"/>
  <c r="F157" i="1"/>
  <c r="I157" i="1"/>
  <c r="J168" i="1" s="1"/>
  <c r="K168" i="1" s="1"/>
  <c r="M168" i="1" s="1"/>
  <c r="V157" i="1"/>
  <c r="P155" i="1"/>
  <c r="Q166" i="1" s="1"/>
  <c r="F156" i="1"/>
  <c r="I156" i="1"/>
  <c r="V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J167" i="1" l="1"/>
  <c r="K167" i="1" s="1"/>
  <c r="M167" i="1" s="1"/>
  <c r="R167" i="1" s="1"/>
  <c r="R168" i="1"/>
  <c r="V155" i="1"/>
  <c r="P154" i="1"/>
  <c r="Q165" i="1" s="1"/>
  <c r="I155" i="1"/>
  <c r="J166" i="1" s="1"/>
  <c r="K166" i="1" s="1"/>
  <c r="M166" i="1" s="1"/>
  <c r="V154" i="1"/>
  <c r="P153" i="1"/>
  <c r="I154" i="1"/>
  <c r="V153" i="1"/>
  <c r="J165" i="1" l="1"/>
  <c r="K165" i="1" s="1"/>
  <c r="M165" i="1" s="1"/>
  <c r="Q164" i="1"/>
  <c r="R166" i="1"/>
  <c r="P152" i="1"/>
  <c r="Q163" i="1" s="1"/>
  <c r="I153" i="1"/>
  <c r="J164" i="1" s="1"/>
  <c r="K164" i="1" s="1"/>
  <c r="M164" i="1" s="1"/>
  <c r="P151" i="1"/>
  <c r="I152" i="1"/>
  <c r="R164" i="1" l="1"/>
  <c r="R165" i="1"/>
  <c r="Q162" i="1"/>
  <c r="J163" i="1"/>
  <c r="K163" i="1" s="1"/>
  <c r="M163" i="1" s="1"/>
  <c r="P150" i="1"/>
  <c r="Q161" i="1" s="1"/>
  <c r="I151" i="1"/>
  <c r="J162" i="1" s="1"/>
  <c r="K162" i="1" s="1"/>
  <c r="M162" i="1" s="1"/>
  <c r="P149" i="1"/>
  <c r="I150" i="1"/>
  <c r="P148" i="1"/>
  <c r="I149" i="1"/>
  <c r="P147" i="1"/>
  <c r="I148" i="1"/>
  <c r="P146" i="1"/>
  <c r="I147" i="1"/>
  <c r="R162" i="1" l="1"/>
  <c r="R163" i="1"/>
  <c r="Q158" i="1"/>
  <c r="J160" i="1"/>
  <c r="K160" i="1" s="1"/>
  <c r="M160" i="1" s="1"/>
  <c r="Q159" i="1"/>
  <c r="J159" i="1"/>
  <c r="K159" i="1" s="1"/>
  <c r="M159" i="1" s="1"/>
  <c r="J161" i="1"/>
  <c r="K161" i="1" s="1"/>
  <c r="M161" i="1" s="1"/>
  <c r="Q160" i="1"/>
  <c r="J158" i="1"/>
  <c r="K158" i="1" s="1"/>
  <c r="M158" i="1" s="1"/>
  <c r="Q157" i="1"/>
  <c r="P145" i="1"/>
  <c r="Q156" i="1" s="1"/>
  <c r="I146" i="1"/>
  <c r="J157" i="1" s="1"/>
  <c r="K157" i="1" s="1"/>
  <c r="M157" i="1" s="1"/>
  <c r="R159" i="1" l="1"/>
  <c r="R157" i="1"/>
  <c r="R160" i="1"/>
  <c r="R158" i="1"/>
  <c r="R161" i="1"/>
  <c r="P144" i="1"/>
  <c r="Q155" i="1" s="1"/>
  <c r="I145" i="1"/>
  <c r="J156" i="1" s="1"/>
  <c r="K156" i="1" s="1"/>
  <c r="M156" i="1" s="1"/>
  <c r="P143" i="1"/>
  <c r="I144" i="1"/>
  <c r="P142" i="1"/>
  <c r="I143" i="1"/>
  <c r="P141" i="1"/>
  <c r="I142" i="1"/>
  <c r="V141" i="1"/>
  <c r="P140" i="1"/>
  <c r="I141" i="1"/>
  <c r="V140" i="1"/>
  <c r="P139" i="1"/>
  <c r="I140" i="1"/>
  <c r="P138" i="1"/>
  <c r="I139" i="1"/>
  <c r="V139" i="1"/>
  <c r="V138" i="1"/>
  <c r="P137" i="1"/>
  <c r="I138" i="1"/>
  <c r="V137" i="1"/>
  <c r="P136" i="1"/>
  <c r="I137" i="1"/>
  <c r="R156" i="1" l="1"/>
  <c r="J155" i="1"/>
  <c r="K155" i="1" s="1"/>
  <c r="M155" i="1" s="1"/>
  <c r="Q154" i="1"/>
  <c r="Q153" i="1"/>
  <c r="J154" i="1"/>
  <c r="K154" i="1" s="1"/>
  <c r="M154" i="1" s="1"/>
  <c r="Q151" i="1"/>
  <c r="J153" i="1"/>
  <c r="K153" i="1" s="1"/>
  <c r="M153" i="1" s="1"/>
  <c r="J152" i="1"/>
  <c r="K152" i="1" s="1"/>
  <c r="M152" i="1" s="1"/>
  <c r="Q152" i="1"/>
  <c r="Q149" i="1"/>
  <c r="J150" i="1"/>
  <c r="K150" i="1" s="1"/>
  <c r="M150" i="1" s="1"/>
  <c r="J149" i="1"/>
  <c r="K149" i="1" s="1"/>
  <c r="M149" i="1" s="1"/>
  <c r="J151" i="1"/>
  <c r="K151" i="1" s="1"/>
  <c r="M151" i="1" s="1"/>
  <c r="Q150" i="1"/>
  <c r="Q148" i="1"/>
  <c r="J148" i="1"/>
  <c r="K148" i="1" s="1"/>
  <c r="M148" i="1" s="1"/>
  <c r="Q147" i="1"/>
  <c r="V136" i="1"/>
  <c r="P135" i="1"/>
  <c r="Q146" i="1" s="1"/>
  <c r="I136" i="1"/>
  <c r="J147" i="1" s="1"/>
  <c r="K147" i="1" s="1"/>
  <c r="M147" i="1" s="1"/>
  <c r="P134" i="1"/>
  <c r="I135" i="1"/>
  <c r="L241" i="1"/>
  <c r="R155" i="1" l="1"/>
  <c r="R154" i="1"/>
  <c r="R147" i="1"/>
  <c r="R150" i="1"/>
  <c r="R152" i="1"/>
  <c r="R149" i="1"/>
  <c r="R153" i="1"/>
  <c r="R151" i="1"/>
  <c r="J146" i="1"/>
  <c r="K146" i="1" s="1"/>
  <c r="M146" i="1" s="1"/>
  <c r="Q145" i="1"/>
  <c r="R148" i="1"/>
  <c r="P133" i="1"/>
  <c r="Q144" i="1" s="1"/>
  <c r="I134" i="1"/>
  <c r="J145" i="1" s="1"/>
  <c r="K145" i="1" s="1"/>
  <c r="M145" i="1" s="1"/>
  <c r="V134" i="1"/>
  <c r="P132" i="1"/>
  <c r="I133" i="1"/>
  <c r="V133" i="1"/>
  <c r="V132" i="1"/>
  <c r="P131" i="1"/>
  <c r="I132" i="1"/>
  <c r="V131" i="1"/>
  <c r="P130" i="1"/>
  <c r="F131" i="1"/>
  <c r="I131" i="1"/>
  <c r="V130" i="1"/>
  <c r="P129" i="1"/>
  <c r="F130" i="1"/>
  <c r="I130" i="1"/>
  <c r="V129" i="1"/>
  <c r="V128" i="1"/>
  <c r="J144" i="1" l="1"/>
  <c r="K144" i="1" s="1"/>
  <c r="M144" i="1" s="1"/>
  <c r="J143" i="1"/>
  <c r="K143" i="1" s="1"/>
  <c r="M143" i="1" s="1"/>
  <c r="R145" i="1"/>
  <c r="J142" i="1"/>
  <c r="K142" i="1" s="1"/>
  <c r="M142" i="1" s="1"/>
  <c r="Q143" i="1"/>
  <c r="J141" i="1"/>
  <c r="K141" i="1" s="1"/>
  <c r="M141" i="1" s="1"/>
  <c r="Q140" i="1"/>
  <c r="Q142" i="1"/>
  <c r="Q141" i="1"/>
  <c r="R146" i="1"/>
  <c r="P128" i="1"/>
  <c r="Q139" i="1" s="1"/>
  <c r="F129" i="1"/>
  <c r="I129" i="1"/>
  <c r="J140" i="1" s="1"/>
  <c r="K140" i="1" s="1"/>
  <c r="M140" i="1" s="1"/>
  <c r="R144" i="1" l="1"/>
  <c r="R140" i="1"/>
  <c r="R143" i="1"/>
  <c r="R141" i="1"/>
  <c r="R142" i="1"/>
  <c r="P127" i="1"/>
  <c r="Q138" i="1" s="1"/>
  <c r="F128" i="1"/>
  <c r="I128" i="1"/>
  <c r="J139" i="1" s="1"/>
  <c r="K139" i="1" s="1"/>
  <c r="M139" i="1" s="1"/>
  <c r="R139" i="1" l="1"/>
  <c r="I240" i="1"/>
  <c r="K240" i="1" s="1"/>
  <c r="M240" i="1" s="1"/>
  <c r="I239" i="1"/>
  <c r="H241" i="1"/>
  <c r="J241" i="1"/>
  <c r="K239" i="1" l="1"/>
  <c r="M239" i="1" s="1"/>
  <c r="M241" i="1" s="1"/>
  <c r="I241" i="1"/>
  <c r="P126" i="1"/>
  <c r="Q137" i="1" s="1"/>
  <c r="F127" i="1"/>
  <c r="I127" i="1"/>
  <c r="J138" i="1" s="1"/>
  <c r="K138" i="1" s="1"/>
  <c r="M138" i="1" s="1"/>
  <c r="P125" i="1"/>
  <c r="F126" i="1"/>
  <c r="I126" i="1"/>
  <c r="P124" i="1"/>
  <c r="F125" i="1"/>
  <c r="I125" i="1"/>
  <c r="P123" i="1"/>
  <c r="F124" i="1"/>
  <c r="I124" i="1"/>
  <c r="P122" i="1"/>
  <c r="F123" i="1"/>
  <c r="I123" i="1"/>
  <c r="P121" i="1"/>
  <c r="F122" i="1"/>
  <c r="I122" i="1"/>
  <c r="P120" i="1"/>
  <c r="I121" i="1"/>
  <c r="F121" i="1"/>
  <c r="P119" i="1"/>
  <c r="F120" i="1"/>
  <c r="I120" i="1"/>
  <c r="P118" i="1"/>
  <c r="F119" i="1"/>
  <c r="I119" i="1"/>
  <c r="P117" i="1"/>
  <c r="F118" i="1"/>
  <c r="I118" i="1"/>
  <c r="P116" i="1"/>
  <c r="I117" i="1"/>
  <c r="F117" i="1"/>
  <c r="P115" i="1"/>
  <c r="I116" i="1"/>
  <c r="F116" i="1"/>
  <c r="P114" i="1"/>
  <c r="I115" i="1"/>
  <c r="F115" i="1"/>
  <c r="K241" i="1" l="1"/>
  <c r="J137" i="1"/>
  <c r="K137" i="1" s="1"/>
  <c r="M137" i="1" s="1"/>
  <c r="Q136" i="1"/>
  <c r="Q135" i="1"/>
  <c r="Q133" i="1"/>
  <c r="J135" i="1"/>
  <c r="K135" i="1" s="1"/>
  <c r="M135" i="1" s="1"/>
  <c r="R138" i="1"/>
  <c r="Q134" i="1"/>
  <c r="J136" i="1"/>
  <c r="K136" i="1" s="1"/>
  <c r="M136" i="1" s="1"/>
  <c r="Q125" i="1"/>
  <c r="Q126" i="1"/>
  <c r="J133" i="1"/>
  <c r="K133" i="1" s="1"/>
  <c r="M133" i="1" s="1"/>
  <c r="J134" i="1"/>
  <c r="K134" i="1" s="1"/>
  <c r="M134" i="1" s="1"/>
  <c r="J131" i="1"/>
  <c r="K131" i="1" s="1"/>
  <c r="M131" i="1" s="1"/>
  <c r="Q132" i="1"/>
  <c r="J128" i="1"/>
  <c r="K128" i="1" s="1"/>
  <c r="M128" i="1" s="1"/>
  <c r="J126" i="1"/>
  <c r="K126" i="1" s="1"/>
  <c r="M126" i="1" s="1"/>
  <c r="Q127" i="1"/>
  <c r="Q130" i="1"/>
  <c r="J132" i="1"/>
  <c r="K132" i="1" s="1"/>
  <c r="M132" i="1" s="1"/>
  <c r="Q129" i="1"/>
  <c r="J127" i="1"/>
  <c r="K127" i="1" s="1"/>
  <c r="M127" i="1" s="1"/>
  <c r="J129" i="1"/>
  <c r="K129" i="1" s="1"/>
  <c r="M129" i="1" s="1"/>
  <c r="Q128" i="1"/>
  <c r="J130" i="1"/>
  <c r="K130" i="1" s="1"/>
  <c r="M130" i="1" s="1"/>
  <c r="Q131" i="1"/>
  <c r="P113" i="1"/>
  <c r="Q124" i="1" s="1"/>
  <c r="I114" i="1"/>
  <c r="J125" i="1" s="1"/>
  <c r="K125" i="1" s="1"/>
  <c r="M125" i="1" s="1"/>
  <c r="F113" i="1"/>
  <c r="F114" i="1"/>
  <c r="P112" i="1"/>
  <c r="I113" i="1"/>
  <c r="R137" i="1" l="1"/>
  <c r="R136" i="1"/>
  <c r="R134" i="1"/>
  <c r="R135" i="1"/>
  <c r="R127" i="1"/>
  <c r="R125" i="1"/>
  <c r="R126" i="1"/>
  <c r="J124" i="1"/>
  <c r="K124" i="1" s="1"/>
  <c r="M124" i="1" s="1"/>
  <c r="Q123" i="1"/>
  <c r="R130" i="1"/>
  <c r="R129" i="1"/>
  <c r="R133" i="1"/>
  <c r="R128" i="1"/>
  <c r="R131" i="1"/>
  <c r="R132" i="1"/>
  <c r="P111" i="1"/>
  <c r="Q122" i="1" s="1"/>
  <c r="F112" i="1"/>
  <c r="I112" i="1"/>
  <c r="J123" i="1" s="1"/>
  <c r="K123" i="1" s="1"/>
  <c r="M123" i="1" s="1"/>
  <c r="P110" i="1"/>
  <c r="I111" i="1"/>
  <c r="F111" i="1"/>
  <c r="P109" i="1"/>
  <c r="I110" i="1"/>
  <c r="F110" i="1"/>
  <c r="G241" i="1"/>
  <c r="P108" i="1"/>
  <c r="I109" i="1"/>
  <c r="F109" i="1"/>
  <c r="P107" i="1"/>
  <c r="I108" i="1"/>
  <c r="F108" i="1"/>
  <c r="P106" i="1"/>
  <c r="I107" i="1"/>
  <c r="F107" i="1"/>
  <c r="P105" i="1"/>
  <c r="I106" i="1"/>
  <c r="F106" i="1"/>
  <c r="R124" i="1" l="1"/>
  <c r="J122" i="1"/>
  <c r="K122" i="1" s="1"/>
  <c r="M122" i="1" s="1"/>
  <c r="J117" i="1"/>
  <c r="K117" i="1" s="1"/>
  <c r="M117" i="1" s="1"/>
  <c r="Q118" i="1"/>
  <c r="J120" i="1"/>
  <c r="K120" i="1" s="1"/>
  <c r="M120" i="1" s="1"/>
  <c r="Q119" i="1"/>
  <c r="J118" i="1"/>
  <c r="K118" i="1" s="1"/>
  <c r="M118" i="1" s="1"/>
  <c r="Q121" i="1"/>
  <c r="Q117" i="1"/>
  <c r="R123" i="1"/>
  <c r="J121" i="1"/>
  <c r="K121" i="1" s="1"/>
  <c r="M121" i="1" s="1"/>
  <c r="J119" i="1"/>
  <c r="K119" i="1" s="1"/>
  <c r="M119" i="1" s="1"/>
  <c r="Q120" i="1"/>
  <c r="Q116" i="1"/>
  <c r="P104" i="1"/>
  <c r="Q115" i="1" s="1"/>
  <c r="I105" i="1"/>
  <c r="J116" i="1" s="1"/>
  <c r="K116" i="1" s="1"/>
  <c r="M116" i="1" s="1"/>
  <c r="F105" i="1"/>
  <c r="P103" i="1"/>
  <c r="G104" i="1"/>
  <c r="I104" i="1" s="1"/>
  <c r="F104" i="1"/>
  <c r="G103" i="1"/>
  <c r="I103" i="1" s="1"/>
  <c r="P102" i="1"/>
  <c r="F103" i="1"/>
  <c r="P101" i="1"/>
  <c r="G102" i="1"/>
  <c r="I102" i="1" s="1"/>
  <c r="F102" i="1"/>
  <c r="P100" i="1"/>
  <c r="F101" i="1"/>
  <c r="G101" i="1"/>
  <c r="I101" i="1" s="1"/>
  <c r="G100" i="1"/>
  <c r="I100" i="1" s="1"/>
  <c r="P99" i="1"/>
  <c r="F100" i="1"/>
  <c r="P98" i="1"/>
  <c r="G99" i="1"/>
  <c r="I99" i="1" s="1"/>
  <c r="D99" i="1"/>
  <c r="F99" i="1" s="1"/>
  <c r="L98" i="1"/>
  <c r="G98" i="1"/>
  <c r="I98" i="1" s="1"/>
  <c r="D98" i="1"/>
  <c r="F98" i="1" s="1"/>
  <c r="P97" i="1"/>
  <c r="G97" i="1"/>
  <c r="I97" i="1" s="1"/>
  <c r="D97" i="1"/>
  <c r="F97" i="1" s="1"/>
  <c r="P96" i="1"/>
  <c r="G96" i="1"/>
  <c r="I96" i="1" s="1"/>
  <c r="D96" i="1"/>
  <c r="F96" i="1" s="1"/>
  <c r="P95" i="1"/>
  <c r="G95" i="1"/>
  <c r="I95" i="1" s="1"/>
  <c r="D95" i="1"/>
  <c r="F95" i="1" s="1"/>
  <c r="P94" i="1"/>
  <c r="I19" i="1"/>
  <c r="P19" i="1"/>
  <c r="I20" i="1"/>
  <c r="P20" i="1"/>
  <c r="I21" i="1"/>
  <c r="P21" i="1"/>
  <c r="I22" i="1"/>
  <c r="P22" i="1"/>
  <c r="I23" i="1"/>
  <c r="P23" i="1"/>
  <c r="I24" i="1"/>
  <c r="P24" i="1"/>
  <c r="I25" i="1"/>
  <c r="P25" i="1"/>
  <c r="I26" i="1"/>
  <c r="P26" i="1"/>
  <c r="I27" i="1"/>
  <c r="P27" i="1"/>
  <c r="I28" i="1"/>
  <c r="P28" i="1"/>
  <c r="I29" i="1"/>
  <c r="P29" i="1"/>
  <c r="I30" i="1"/>
  <c r="P30" i="1"/>
  <c r="F31" i="1"/>
  <c r="I31" i="1"/>
  <c r="P31" i="1"/>
  <c r="F32" i="1"/>
  <c r="G32" i="1"/>
  <c r="I32" i="1" s="1"/>
  <c r="P32" i="1"/>
  <c r="F33" i="1"/>
  <c r="G33" i="1"/>
  <c r="I33" i="1" s="1"/>
  <c r="P33" i="1"/>
  <c r="F34" i="1"/>
  <c r="G34" i="1"/>
  <c r="I34" i="1" s="1"/>
  <c r="P34" i="1"/>
  <c r="F35" i="1"/>
  <c r="G35" i="1"/>
  <c r="I35" i="1" s="1"/>
  <c r="P35" i="1"/>
  <c r="F36" i="1"/>
  <c r="G36" i="1"/>
  <c r="I36" i="1" s="1"/>
  <c r="P36" i="1"/>
  <c r="F37" i="1"/>
  <c r="G37" i="1"/>
  <c r="I37" i="1" s="1"/>
  <c r="P37" i="1"/>
  <c r="F38" i="1"/>
  <c r="G38" i="1"/>
  <c r="I38" i="1" s="1"/>
  <c r="P38" i="1"/>
  <c r="F39" i="1"/>
  <c r="G39" i="1"/>
  <c r="I39" i="1" s="1"/>
  <c r="P39" i="1"/>
  <c r="F40" i="1"/>
  <c r="G40" i="1"/>
  <c r="I40" i="1" s="1"/>
  <c r="P40" i="1"/>
  <c r="F41" i="1"/>
  <c r="G41" i="1"/>
  <c r="I41" i="1" s="1"/>
  <c r="P41" i="1"/>
  <c r="F42" i="1"/>
  <c r="G42" i="1"/>
  <c r="I42" i="1" s="1"/>
  <c r="P42" i="1"/>
  <c r="F43" i="1"/>
  <c r="G43" i="1"/>
  <c r="I43" i="1" s="1"/>
  <c r="P43" i="1"/>
  <c r="F44" i="1"/>
  <c r="G44" i="1"/>
  <c r="I44" i="1" s="1"/>
  <c r="P44" i="1"/>
  <c r="F45" i="1"/>
  <c r="G45" i="1"/>
  <c r="I45" i="1" s="1"/>
  <c r="P45" i="1"/>
  <c r="F46" i="1"/>
  <c r="G46" i="1"/>
  <c r="I46" i="1" s="1"/>
  <c r="P46" i="1"/>
  <c r="F47" i="1"/>
  <c r="G47" i="1"/>
  <c r="I47" i="1" s="1"/>
  <c r="P47" i="1"/>
  <c r="F48" i="1"/>
  <c r="G48" i="1"/>
  <c r="I48" i="1" s="1"/>
  <c r="P48" i="1"/>
  <c r="F49" i="1"/>
  <c r="G49" i="1"/>
  <c r="I49" i="1" s="1"/>
  <c r="P49" i="1"/>
  <c r="F50" i="1"/>
  <c r="G50" i="1"/>
  <c r="I50" i="1" s="1"/>
  <c r="P50" i="1"/>
  <c r="F51" i="1"/>
  <c r="G51" i="1"/>
  <c r="I51" i="1" s="1"/>
  <c r="P51" i="1"/>
  <c r="F52" i="1"/>
  <c r="G52" i="1"/>
  <c r="I52" i="1" s="1"/>
  <c r="P52" i="1"/>
  <c r="F53" i="1"/>
  <c r="G53" i="1"/>
  <c r="I53" i="1" s="1"/>
  <c r="P53" i="1"/>
  <c r="F54" i="1"/>
  <c r="G54" i="1"/>
  <c r="I54" i="1" s="1"/>
  <c r="P54" i="1"/>
  <c r="F55" i="1"/>
  <c r="G55" i="1"/>
  <c r="I55" i="1" s="1"/>
  <c r="P55" i="1"/>
  <c r="F56" i="1"/>
  <c r="G56" i="1"/>
  <c r="I56" i="1" s="1"/>
  <c r="P56" i="1"/>
  <c r="F57" i="1"/>
  <c r="G57" i="1"/>
  <c r="I57" i="1" s="1"/>
  <c r="P57" i="1"/>
  <c r="F58" i="1"/>
  <c r="G58" i="1"/>
  <c r="I58" i="1" s="1"/>
  <c r="P58" i="1"/>
  <c r="F59" i="1"/>
  <c r="G59" i="1"/>
  <c r="I59" i="1" s="1"/>
  <c r="P59" i="1"/>
  <c r="F60" i="1"/>
  <c r="G60" i="1"/>
  <c r="I60" i="1" s="1"/>
  <c r="P60" i="1"/>
  <c r="F61" i="1"/>
  <c r="G61" i="1"/>
  <c r="I61" i="1" s="1"/>
  <c r="P61" i="1"/>
  <c r="F62" i="1"/>
  <c r="G62" i="1"/>
  <c r="I62" i="1" s="1"/>
  <c r="P62" i="1"/>
  <c r="F63" i="1"/>
  <c r="G63" i="1"/>
  <c r="I63" i="1" s="1"/>
  <c r="P63" i="1"/>
  <c r="F64" i="1"/>
  <c r="G64" i="1"/>
  <c r="I64" i="1" s="1"/>
  <c r="P64" i="1"/>
  <c r="F65" i="1"/>
  <c r="G65" i="1"/>
  <c r="I65" i="1" s="1"/>
  <c r="P65" i="1"/>
  <c r="F66" i="1"/>
  <c r="G66" i="1"/>
  <c r="I66" i="1" s="1"/>
  <c r="P66" i="1"/>
  <c r="F67" i="1"/>
  <c r="G67" i="1"/>
  <c r="I67" i="1" s="1"/>
  <c r="P67" i="1"/>
  <c r="F68" i="1"/>
  <c r="G68" i="1"/>
  <c r="I68" i="1" s="1"/>
  <c r="P68" i="1"/>
  <c r="F69" i="1"/>
  <c r="G69" i="1"/>
  <c r="I69" i="1" s="1"/>
  <c r="L69" i="1"/>
  <c r="L70" i="1" s="1"/>
  <c r="L71" i="1" s="1"/>
  <c r="L72" i="1" s="1"/>
  <c r="L73" i="1" s="1"/>
  <c r="P69" i="1"/>
  <c r="F70" i="1"/>
  <c r="G70" i="1"/>
  <c r="I70" i="1" s="1"/>
  <c r="P70" i="1"/>
  <c r="F71" i="1"/>
  <c r="G71" i="1"/>
  <c r="I71" i="1" s="1"/>
  <c r="P71" i="1"/>
  <c r="F72" i="1"/>
  <c r="G72" i="1"/>
  <c r="I72" i="1" s="1"/>
  <c r="P72" i="1"/>
  <c r="F73" i="1"/>
  <c r="G73" i="1"/>
  <c r="I73" i="1" s="1"/>
  <c r="P73" i="1"/>
  <c r="F74" i="1"/>
  <c r="G74" i="1"/>
  <c r="I74" i="1" s="1"/>
  <c r="P74" i="1"/>
  <c r="F75" i="1"/>
  <c r="G75" i="1"/>
  <c r="I75" i="1" s="1"/>
  <c r="P75" i="1"/>
  <c r="F76" i="1"/>
  <c r="G76" i="1"/>
  <c r="I76" i="1" s="1"/>
  <c r="P76" i="1"/>
  <c r="F77" i="1"/>
  <c r="G77" i="1"/>
  <c r="I77" i="1" s="1"/>
  <c r="P77" i="1"/>
  <c r="F78" i="1"/>
  <c r="G78" i="1"/>
  <c r="I78" i="1" s="1"/>
  <c r="P78" i="1"/>
  <c r="F79" i="1"/>
  <c r="G79" i="1"/>
  <c r="I79" i="1" s="1"/>
  <c r="P79" i="1"/>
  <c r="F80" i="1"/>
  <c r="G80" i="1"/>
  <c r="I80" i="1" s="1"/>
  <c r="P80" i="1"/>
  <c r="F81" i="1"/>
  <c r="G81" i="1"/>
  <c r="I81" i="1" s="1"/>
  <c r="P81" i="1"/>
  <c r="F82" i="1"/>
  <c r="G82" i="1"/>
  <c r="I82" i="1" s="1"/>
  <c r="P82" i="1"/>
  <c r="D83" i="1"/>
  <c r="F83" i="1" s="1"/>
  <c r="G83" i="1"/>
  <c r="I83" i="1" s="1"/>
  <c r="P83" i="1"/>
  <c r="D84" i="1"/>
  <c r="E84" i="1"/>
  <c r="E85" i="1" s="1"/>
  <c r="G84" i="1"/>
  <c r="I84" i="1" s="1"/>
  <c r="L84" i="1"/>
  <c r="P84" i="1"/>
  <c r="D85" i="1"/>
  <c r="G85" i="1"/>
  <c r="I85" i="1" s="1"/>
  <c r="L85" i="1"/>
  <c r="P85" i="1"/>
  <c r="D86" i="1"/>
  <c r="F86" i="1" s="1"/>
  <c r="G86" i="1"/>
  <c r="I86" i="1" s="1"/>
  <c r="L86" i="1"/>
  <c r="P86" i="1"/>
  <c r="D87" i="1"/>
  <c r="F87" i="1" s="1"/>
  <c r="G87" i="1"/>
  <c r="I87" i="1" s="1"/>
  <c r="L87" i="1"/>
  <c r="P87" i="1"/>
  <c r="D88" i="1"/>
  <c r="F88" i="1" s="1"/>
  <c r="G88" i="1"/>
  <c r="I88" i="1" s="1"/>
  <c r="L88" i="1"/>
  <c r="P88" i="1"/>
  <c r="D89" i="1"/>
  <c r="F89" i="1" s="1"/>
  <c r="G89" i="1"/>
  <c r="I89" i="1" s="1"/>
  <c r="L89" i="1"/>
  <c r="P89" i="1"/>
  <c r="D90" i="1"/>
  <c r="F90" i="1" s="1"/>
  <c r="G90" i="1"/>
  <c r="I90" i="1" s="1"/>
  <c r="L90" i="1"/>
  <c r="P90" i="1"/>
  <c r="D91" i="1"/>
  <c r="F91" i="1" s="1"/>
  <c r="G91" i="1"/>
  <c r="I91" i="1" s="1"/>
  <c r="L91" i="1"/>
  <c r="P91" i="1"/>
  <c r="D92" i="1"/>
  <c r="F92" i="1" s="1"/>
  <c r="G92" i="1"/>
  <c r="I92" i="1" s="1"/>
  <c r="L92" i="1"/>
  <c r="N92" i="1"/>
  <c r="P92" i="1" s="1"/>
  <c r="D93" i="1"/>
  <c r="F93" i="1" s="1"/>
  <c r="G93" i="1"/>
  <c r="I93" i="1" s="1"/>
  <c r="L93" i="1"/>
  <c r="P93" i="1"/>
  <c r="D94" i="1"/>
  <c r="F94" i="1" s="1"/>
  <c r="G94" i="1"/>
  <c r="I94" i="1" s="1"/>
  <c r="L94" i="1"/>
  <c r="R122" i="1" l="1"/>
  <c r="R119" i="1"/>
  <c r="R117" i="1"/>
  <c r="R116" i="1"/>
  <c r="J114" i="1"/>
  <c r="K114" i="1" s="1"/>
  <c r="M114" i="1" s="1"/>
  <c r="Q106" i="1"/>
  <c r="Q108" i="1"/>
  <c r="Q110" i="1"/>
  <c r="Q112" i="1"/>
  <c r="Q104" i="1"/>
  <c r="J109" i="1"/>
  <c r="K109" i="1" s="1"/>
  <c r="M109" i="1" s="1"/>
  <c r="J106" i="1"/>
  <c r="K106" i="1" s="1"/>
  <c r="M106" i="1" s="1"/>
  <c r="J108" i="1"/>
  <c r="K108" i="1" s="1"/>
  <c r="M108" i="1" s="1"/>
  <c r="J107" i="1"/>
  <c r="K107" i="1" s="1"/>
  <c r="M107" i="1" s="1"/>
  <c r="R107" i="1" s="1"/>
  <c r="J113" i="1"/>
  <c r="K113" i="1" s="1"/>
  <c r="M113" i="1" s="1"/>
  <c r="J31" i="1"/>
  <c r="K31" i="1" s="1"/>
  <c r="M31" i="1" s="1"/>
  <c r="J111" i="1"/>
  <c r="K111" i="1" s="1"/>
  <c r="M111" i="1" s="1"/>
  <c r="J112" i="1"/>
  <c r="K112" i="1" s="1"/>
  <c r="M112" i="1" s="1"/>
  <c r="Q113" i="1"/>
  <c r="R118" i="1"/>
  <c r="Q105" i="1"/>
  <c r="Q107" i="1"/>
  <c r="Q111" i="1"/>
  <c r="R120" i="1"/>
  <c r="J110" i="1"/>
  <c r="K110" i="1" s="1"/>
  <c r="M110" i="1" s="1"/>
  <c r="J115" i="1"/>
  <c r="K115" i="1" s="1"/>
  <c r="M115" i="1" s="1"/>
  <c r="Q109" i="1"/>
  <c r="Q114" i="1"/>
  <c r="R121" i="1"/>
  <c r="J105" i="1"/>
  <c r="K105" i="1" s="1"/>
  <c r="M105" i="1" s="1"/>
  <c r="Q103" i="1"/>
  <c r="J102" i="1"/>
  <c r="K102" i="1" s="1"/>
  <c r="M102" i="1" s="1"/>
  <c r="F84" i="1"/>
  <c r="Q84" i="1"/>
  <c r="Q73" i="1"/>
  <c r="Q69" i="1"/>
  <c r="Q64" i="1"/>
  <c r="Q60" i="1"/>
  <c r="Q56" i="1"/>
  <c r="Q52" i="1"/>
  <c r="Q48" i="1"/>
  <c r="Q44" i="1"/>
  <c r="Q40" i="1"/>
  <c r="Q32" i="1"/>
  <c r="Q36" i="1"/>
  <c r="Q34" i="1"/>
  <c r="Q31" i="1"/>
  <c r="Q88" i="1"/>
  <c r="Q74" i="1"/>
  <c r="Q71" i="1"/>
  <c r="Q66" i="1"/>
  <c r="Q62" i="1"/>
  <c r="Q58" i="1"/>
  <c r="Q54" i="1"/>
  <c r="Q50" i="1"/>
  <c r="Q46" i="1"/>
  <c r="Q42" i="1"/>
  <c r="J103" i="1"/>
  <c r="K103" i="1" s="1"/>
  <c r="M103" i="1" s="1"/>
  <c r="Q102" i="1"/>
  <c r="Q101" i="1"/>
  <c r="J104" i="1"/>
  <c r="K104" i="1" s="1"/>
  <c r="M104" i="1" s="1"/>
  <c r="Q94" i="1"/>
  <c r="Q86" i="1"/>
  <c r="Q30" i="1"/>
  <c r="Q99" i="1"/>
  <c r="Q98" i="1"/>
  <c r="Q97" i="1"/>
  <c r="J32" i="1"/>
  <c r="K32" i="1" s="1"/>
  <c r="M32" i="1" s="1"/>
  <c r="Q100" i="1"/>
  <c r="Q95" i="1"/>
  <c r="Q72" i="1"/>
  <c r="Q70" i="1"/>
  <c r="Q68" i="1"/>
  <c r="Q65" i="1"/>
  <c r="Q63" i="1"/>
  <c r="Q61" i="1"/>
  <c r="Q57" i="1"/>
  <c r="Q55" i="1"/>
  <c r="Q53" i="1"/>
  <c r="Q51" i="1"/>
  <c r="Q49" i="1"/>
  <c r="Q47" i="1"/>
  <c r="Q45" i="1"/>
  <c r="Q41" i="1"/>
  <c r="Q38" i="1"/>
  <c r="Q39" i="1"/>
  <c r="Q37" i="1"/>
  <c r="Q33" i="1"/>
  <c r="Q91" i="1"/>
  <c r="Q96" i="1"/>
  <c r="Q89" i="1"/>
  <c r="Q90" i="1"/>
  <c r="F85" i="1"/>
  <c r="Q79" i="1"/>
  <c r="Q77" i="1"/>
  <c r="J74" i="1"/>
  <c r="K74" i="1" s="1"/>
  <c r="M74" i="1" s="1"/>
  <c r="J75" i="1"/>
  <c r="K75" i="1" s="1"/>
  <c r="M75" i="1" s="1"/>
  <c r="R75" i="1" s="1"/>
  <c r="J72" i="1"/>
  <c r="K72" i="1" s="1"/>
  <c r="M72" i="1" s="1"/>
  <c r="R72" i="1" s="1"/>
  <c r="J73" i="1"/>
  <c r="K73" i="1" s="1"/>
  <c r="M73" i="1" s="1"/>
  <c r="J70" i="1"/>
  <c r="K70" i="1" s="1"/>
  <c r="M70" i="1" s="1"/>
  <c r="R70" i="1" s="1"/>
  <c r="J71" i="1"/>
  <c r="K71" i="1" s="1"/>
  <c r="M71" i="1" s="1"/>
  <c r="J68" i="1"/>
  <c r="K68" i="1" s="1"/>
  <c r="M68" i="1" s="1"/>
  <c r="J69" i="1"/>
  <c r="K69" i="1" s="1"/>
  <c r="M69" i="1" s="1"/>
  <c r="J66" i="1"/>
  <c r="K66" i="1" s="1"/>
  <c r="M66" i="1" s="1"/>
  <c r="J67" i="1"/>
  <c r="K67" i="1" s="1"/>
  <c r="M67" i="1" s="1"/>
  <c r="J64" i="1"/>
  <c r="K64" i="1" s="1"/>
  <c r="M64" i="1" s="1"/>
  <c r="J65" i="1"/>
  <c r="K65" i="1" s="1"/>
  <c r="M65" i="1" s="1"/>
  <c r="J62" i="1"/>
  <c r="K62" i="1" s="1"/>
  <c r="M62" i="1" s="1"/>
  <c r="J63" i="1"/>
  <c r="K63" i="1" s="1"/>
  <c r="M63" i="1" s="1"/>
  <c r="J60" i="1"/>
  <c r="K60" i="1" s="1"/>
  <c r="M60" i="1" s="1"/>
  <c r="J61" i="1"/>
  <c r="K61" i="1" s="1"/>
  <c r="M61" i="1" s="1"/>
  <c r="J58" i="1"/>
  <c r="K58" i="1" s="1"/>
  <c r="M58" i="1" s="1"/>
  <c r="J59" i="1"/>
  <c r="K59" i="1" s="1"/>
  <c r="M59" i="1" s="1"/>
  <c r="J56" i="1"/>
  <c r="K56" i="1" s="1"/>
  <c r="M56" i="1" s="1"/>
  <c r="J57" i="1"/>
  <c r="K57" i="1" s="1"/>
  <c r="M57" i="1" s="1"/>
  <c r="J54" i="1"/>
  <c r="K54" i="1" s="1"/>
  <c r="M54" i="1" s="1"/>
  <c r="J55" i="1"/>
  <c r="K55" i="1" s="1"/>
  <c r="M55" i="1" s="1"/>
  <c r="J52" i="1"/>
  <c r="K52" i="1" s="1"/>
  <c r="M52" i="1" s="1"/>
  <c r="J53" i="1"/>
  <c r="K53" i="1" s="1"/>
  <c r="M53" i="1" s="1"/>
  <c r="J50" i="1"/>
  <c r="K50" i="1" s="1"/>
  <c r="M50" i="1" s="1"/>
  <c r="J51" i="1"/>
  <c r="K51" i="1" s="1"/>
  <c r="M51" i="1" s="1"/>
  <c r="J48" i="1"/>
  <c r="K48" i="1" s="1"/>
  <c r="M48" i="1" s="1"/>
  <c r="R48" i="1" s="1"/>
  <c r="J49" i="1"/>
  <c r="K49" i="1" s="1"/>
  <c r="M49" i="1" s="1"/>
  <c r="J46" i="1"/>
  <c r="K46" i="1" s="1"/>
  <c r="M46" i="1" s="1"/>
  <c r="J47" i="1"/>
  <c r="K47" i="1" s="1"/>
  <c r="M47" i="1" s="1"/>
  <c r="J34" i="1"/>
  <c r="K34" i="1" s="1"/>
  <c r="M34" i="1" s="1"/>
  <c r="J36" i="1"/>
  <c r="K36" i="1" s="1"/>
  <c r="M36" i="1" s="1"/>
  <c r="J38" i="1"/>
  <c r="K38" i="1" s="1"/>
  <c r="M38" i="1" s="1"/>
  <c r="J40" i="1"/>
  <c r="K40" i="1" s="1"/>
  <c r="M40" i="1" s="1"/>
  <c r="J42" i="1"/>
  <c r="K42" i="1" s="1"/>
  <c r="M42" i="1" s="1"/>
  <c r="J44" i="1"/>
  <c r="K44" i="1" s="1"/>
  <c r="M44" i="1" s="1"/>
  <c r="J37" i="1"/>
  <c r="K37" i="1" s="1"/>
  <c r="M37" i="1" s="1"/>
  <c r="J39" i="1"/>
  <c r="K39" i="1" s="1"/>
  <c r="M39" i="1" s="1"/>
  <c r="J41" i="1"/>
  <c r="K41" i="1" s="1"/>
  <c r="M41" i="1" s="1"/>
  <c r="J43" i="1"/>
  <c r="K43" i="1" s="1"/>
  <c r="M43" i="1" s="1"/>
  <c r="J45" i="1"/>
  <c r="K45" i="1" s="1"/>
  <c r="M45" i="1" s="1"/>
  <c r="J101" i="1"/>
  <c r="K101" i="1" s="1"/>
  <c r="M101" i="1" s="1"/>
  <c r="J99" i="1"/>
  <c r="K99" i="1" s="1"/>
  <c r="M99" i="1" s="1"/>
  <c r="J86" i="1"/>
  <c r="K86" i="1" s="1"/>
  <c r="M86" i="1" s="1"/>
  <c r="J77" i="1"/>
  <c r="K77" i="1" s="1"/>
  <c r="M77" i="1" s="1"/>
  <c r="J96" i="1"/>
  <c r="K96" i="1" s="1"/>
  <c r="M96" i="1" s="1"/>
  <c r="J89" i="1"/>
  <c r="K89" i="1" s="1"/>
  <c r="M89" i="1" s="1"/>
  <c r="J92" i="1"/>
  <c r="K92" i="1" s="1"/>
  <c r="M92" i="1" s="1"/>
  <c r="J93" i="1"/>
  <c r="K93" i="1" s="1"/>
  <c r="M93" i="1" s="1"/>
  <c r="J94" i="1"/>
  <c r="K94" i="1" s="1"/>
  <c r="M94" i="1" s="1"/>
  <c r="J87" i="1"/>
  <c r="K87" i="1" s="1"/>
  <c r="M87" i="1" s="1"/>
  <c r="J88" i="1"/>
  <c r="K88" i="1" s="1"/>
  <c r="M88" i="1" s="1"/>
  <c r="J91" i="1"/>
  <c r="K91" i="1" s="1"/>
  <c r="M91" i="1" s="1"/>
  <c r="J98" i="1"/>
  <c r="K98" i="1" s="1"/>
  <c r="M98" i="1" s="1"/>
  <c r="J95" i="1"/>
  <c r="K95" i="1" s="1"/>
  <c r="M95" i="1" s="1"/>
  <c r="J90" i="1"/>
  <c r="K90" i="1" s="1"/>
  <c r="M90" i="1" s="1"/>
  <c r="J85" i="1"/>
  <c r="J79" i="1"/>
  <c r="K79" i="1" s="1"/>
  <c r="M79" i="1" s="1"/>
  <c r="J97" i="1"/>
  <c r="K97" i="1" s="1"/>
  <c r="M97" i="1" s="1"/>
  <c r="R97" i="1" s="1"/>
  <c r="J84" i="1"/>
  <c r="J83" i="1"/>
  <c r="K83" i="1" s="1"/>
  <c r="M83" i="1" s="1"/>
  <c r="J82" i="1"/>
  <c r="K82" i="1" s="1"/>
  <c r="M82" i="1" s="1"/>
  <c r="J81" i="1"/>
  <c r="K81" i="1" s="1"/>
  <c r="M81" i="1" s="1"/>
  <c r="J80" i="1"/>
  <c r="K80" i="1" s="1"/>
  <c r="M80" i="1" s="1"/>
  <c r="J78" i="1"/>
  <c r="K78" i="1" s="1"/>
  <c r="M78" i="1" s="1"/>
  <c r="Q93" i="1"/>
  <c r="Q92" i="1"/>
  <c r="Q87" i="1"/>
  <c r="Q85" i="1"/>
  <c r="Q83" i="1"/>
  <c r="Q82" i="1"/>
  <c r="Q81" i="1"/>
  <c r="Q80" i="1"/>
  <c r="Q78" i="1"/>
  <c r="Q76" i="1"/>
  <c r="Q75" i="1"/>
  <c r="Q67" i="1"/>
  <c r="Q59" i="1"/>
  <c r="Q43" i="1"/>
  <c r="Q35" i="1"/>
  <c r="J35" i="1"/>
  <c r="K35" i="1" s="1"/>
  <c r="M35" i="1" s="1"/>
  <c r="J33" i="1"/>
  <c r="K33" i="1" s="1"/>
  <c r="M33" i="1" s="1"/>
  <c r="J100" i="1"/>
  <c r="K100" i="1" s="1"/>
  <c r="M100" i="1" s="1"/>
  <c r="J76" i="1"/>
  <c r="K76" i="1" s="1"/>
  <c r="M76" i="1" s="1"/>
  <c r="R62" i="1" l="1"/>
  <c r="R47" i="1"/>
  <c r="R63" i="1"/>
  <c r="R64" i="1"/>
  <c r="R33" i="1"/>
  <c r="R43" i="1"/>
  <c r="R69" i="1"/>
  <c r="R89" i="1"/>
  <c r="R41" i="1"/>
  <c r="R34" i="1"/>
  <c r="R52" i="1"/>
  <c r="R42" i="1"/>
  <c r="R56" i="1"/>
  <c r="R35" i="1"/>
  <c r="R40" i="1"/>
  <c r="R59" i="1"/>
  <c r="R58" i="1"/>
  <c r="R53" i="1"/>
  <c r="R37" i="1"/>
  <c r="R78" i="1"/>
  <c r="R50" i="1"/>
  <c r="R31" i="1"/>
  <c r="R105" i="1"/>
  <c r="R96" i="1"/>
  <c r="R55" i="1"/>
  <c r="R114" i="1"/>
  <c r="R109" i="1"/>
  <c r="R106" i="1"/>
  <c r="R115" i="1"/>
  <c r="R111" i="1"/>
  <c r="R110" i="1"/>
  <c r="R113" i="1"/>
  <c r="R108" i="1"/>
  <c r="R104" i="1"/>
  <c r="R112" i="1"/>
  <c r="R49" i="1"/>
  <c r="R57" i="1"/>
  <c r="R65" i="1"/>
  <c r="R45" i="1"/>
  <c r="R66" i="1"/>
  <c r="R74" i="1"/>
  <c r="R51" i="1"/>
  <c r="R67" i="1"/>
  <c r="R80" i="1"/>
  <c r="R61" i="1"/>
  <c r="R100" i="1"/>
  <c r="R102" i="1"/>
  <c r="R99" i="1"/>
  <c r="R95" i="1"/>
  <c r="K84" i="1"/>
  <c r="M84" i="1" s="1"/>
  <c r="R84" i="1" s="1"/>
  <c r="R94" i="1"/>
  <c r="R93" i="1"/>
  <c r="K85" i="1"/>
  <c r="M85" i="1" s="1"/>
  <c r="R85" i="1" s="1"/>
  <c r="R92" i="1"/>
  <c r="R87" i="1"/>
  <c r="R98" i="1"/>
  <c r="R38" i="1"/>
  <c r="R46" i="1"/>
  <c r="R54" i="1"/>
  <c r="R90" i="1"/>
  <c r="R101" i="1"/>
  <c r="R39" i="1"/>
  <c r="R71" i="1"/>
  <c r="R103" i="1"/>
  <c r="R76" i="1"/>
  <c r="R86" i="1"/>
  <c r="R73" i="1"/>
  <c r="R83" i="1"/>
  <c r="R91" i="1"/>
  <c r="R81" i="1"/>
  <c r="R77" i="1"/>
  <c r="R60" i="1"/>
  <c r="R68" i="1"/>
  <c r="R82" i="1"/>
  <c r="R88" i="1"/>
  <c r="R79" i="1"/>
  <c r="R44" i="1"/>
  <c r="R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</author>
    <author>mitch</author>
  </authors>
  <commentList>
    <comment ref="N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per Eddie Boone, voicemail,
Fri. June 24, 2005.</t>
        </r>
      </text>
    </comment>
    <comment ref="N9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mitch:</t>
        </r>
        <r>
          <rPr>
            <sz val="8"/>
            <color indexed="81"/>
            <rFont val="Tahoma"/>
            <family val="2"/>
          </rPr>
          <t xml:space="preserve">
Last month's revenues should have been 7,486,121.  Make the correction this month. Subtract $1 M from July revenue to make correction, per Eddie's Aug 23 email.</t>
        </r>
      </text>
    </comment>
    <comment ref="L9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This is what was filed in Dec.  It should have been $0.  The amount is reversed in Jan to correct the error.
</t>
        </r>
      </text>
    </comment>
    <comment ref="L9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george:
$30,681 is to reverse the error from Dec.
This would normally be $0.</t>
        </r>
      </text>
    </comment>
  </commentList>
</comments>
</file>

<file path=xl/sharedStrings.xml><?xml version="1.0" encoding="utf-8"?>
<sst xmlns="http://schemas.openxmlformats.org/spreadsheetml/2006/main" count="174" uniqueCount="106">
  <si>
    <t>East Kentucky Power Cooperative, Inc. - Distribution Cooperatives</t>
  </si>
  <si>
    <t>Pass Through Mechanism Report for Salt River RECC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</si>
  <si>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</si>
  <si>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</si>
  <si>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</si>
  <si>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</si>
  <si>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</si>
  <si>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</si>
  <si>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</si>
  <si>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</si>
  <si>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</si>
  <si>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</si>
  <si>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</si>
  <si>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</si>
  <si>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(14)</t>
  </si>
  <si>
    <t>(15)</t>
  </si>
  <si>
    <t xml:space="preserve">EKPC </t>
  </si>
  <si>
    <t>On-peak</t>
  </si>
  <si>
    <t>EKPC Net</t>
  </si>
  <si>
    <t>EKPC 12-months</t>
  </si>
  <si>
    <t>Salt River</t>
  </si>
  <si>
    <t>Amortization</t>
  </si>
  <si>
    <t>On-Peak</t>
  </si>
  <si>
    <t>12-months</t>
  </si>
  <si>
    <t>Monthly</t>
  </si>
  <si>
    <t>Revenue</t>
  </si>
  <si>
    <t>Ended Average</t>
  </si>
  <si>
    <t xml:space="preserve">Revenue </t>
  </si>
  <si>
    <t>of</t>
  </si>
  <si>
    <t>Net Revenue</t>
  </si>
  <si>
    <t>Total</t>
  </si>
  <si>
    <t>Retail</t>
  </si>
  <si>
    <t>Net Monthly</t>
  </si>
  <si>
    <t>ended</t>
  </si>
  <si>
    <t>Pass</t>
  </si>
  <si>
    <t>Surcharge</t>
  </si>
  <si>
    <t>Revenues from</t>
  </si>
  <si>
    <t>Adjustment</t>
  </si>
  <si>
    <t xml:space="preserve">Sales </t>
  </si>
  <si>
    <t>Monthly Revenue</t>
  </si>
  <si>
    <t>Requirement</t>
  </si>
  <si>
    <t>(Over)/Under</t>
  </si>
  <si>
    <t xml:space="preserve">Monthly Retail </t>
  </si>
  <si>
    <t xml:space="preserve">Retail </t>
  </si>
  <si>
    <t>Avg. Retail</t>
  </si>
  <si>
    <t>Through</t>
  </si>
  <si>
    <t>Factor</t>
  </si>
  <si>
    <t xml:space="preserve">Sales to </t>
  </si>
  <si>
    <t xml:space="preserve">to </t>
  </si>
  <si>
    <t>from Sales to</t>
  </si>
  <si>
    <t>Recovery</t>
  </si>
  <si>
    <t>Revenues</t>
  </si>
  <si>
    <t>Revenues,</t>
  </si>
  <si>
    <t>Mechanism</t>
  </si>
  <si>
    <t>Expense</t>
  </si>
  <si>
    <t>EKPC</t>
  </si>
  <si>
    <t xml:space="preserve">Net </t>
  </si>
  <si>
    <t>Month</t>
  </si>
  <si>
    <t>CESF %</t>
  </si>
  <si>
    <t>BESF %</t>
  </si>
  <si>
    <t>MESF %</t>
  </si>
  <si>
    <t>Col. (1) - Col. (2)</t>
  </si>
  <si>
    <t>Col. (4) - Col. (5)</t>
  </si>
  <si>
    <t>Col (3) x Col (7)</t>
  </si>
  <si>
    <t>Col (8) + Col (9)</t>
  </si>
  <si>
    <t>Col. (11) - Col. (12)</t>
  </si>
  <si>
    <t>Col (10) / Col (14)</t>
  </si>
  <si>
    <t xml:space="preserve">Notes: </t>
  </si>
  <si>
    <t>Salt River Total Monthly Retail Revenues in Column (11) includes demand and energy charges, customer charges, and FAC revenues.</t>
  </si>
  <si>
    <t>Revenues reported in Columns (4), (6), (7), (11), (13), and (14) are net of Green Power Revenues.</t>
  </si>
  <si>
    <t>(9)*</t>
  </si>
  <si>
    <t>*The December (over)/under recovery was mistakenly recorded as ($30,681) instead of $0.</t>
  </si>
  <si>
    <t>The (over)/under recovery is reversed in January 2011 in order to correct the error.</t>
  </si>
  <si>
    <t>Column 4 - EKPC Revenues</t>
  </si>
  <si>
    <t>Total Revenues</t>
  </si>
  <si>
    <t>Note for August 2011 Expense Month:</t>
  </si>
  <si>
    <t xml:space="preserve">  EKPC Revenues (Column 4) for the July 2011 Expense Month did not reflect the corrected power bill.</t>
  </si>
  <si>
    <t xml:space="preserve">  Adjustment included on August power bill provides the correction needed for pass-through calculation purposes.</t>
  </si>
  <si>
    <t>Total Surcharge</t>
  </si>
  <si>
    <t>Revenue for Column 4</t>
  </si>
  <si>
    <t>DLC Rev</t>
  </si>
  <si>
    <t>Net Revenues</t>
  </si>
  <si>
    <t>330 Rpt</t>
  </si>
  <si>
    <t>SR Gen Cr</t>
  </si>
  <si>
    <t>Net Rev</t>
  </si>
  <si>
    <t>Subtot Revenues</t>
  </si>
  <si>
    <t>Buy-thru Charges (*)</t>
  </si>
  <si>
    <t>Note (*):</t>
  </si>
  <si>
    <r>
      <t xml:space="preserve">For Amer Fuji Seal, exclude buy through charge, per SR/Amer Fuji Seal Contract dated 6/1/2013 </t>
    </r>
    <r>
      <rPr>
        <b/>
        <sz val="10"/>
        <color rgb="FFFF0000"/>
        <rFont val="Arial"/>
        <family val="2"/>
      </rPr>
      <t>(no buy thru in Jan-14)</t>
    </r>
  </si>
  <si>
    <t>CN 2012-00486 (Col.T)</t>
  </si>
  <si>
    <t>CN 2012-00486 (Col.T); CN 2013-00140 (Col.U)</t>
  </si>
  <si>
    <t>CN 2013-00140 (Col.U)</t>
  </si>
  <si>
    <t>CN 2013-00324 (Col.T)</t>
  </si>
  <si>
    <t>CN 2014-00051 (Col.T)</t>
  </si>
  <si>
    <t>CN 2015-00281 (Col.T)</t>
  </si>
  <si>
    <t>CN 2015-00281 (Col.T); CN 2016-00144 (Col.U)</t>
  </si>
  <si>
    <t>CN 2016-00144 (Col.U)</t>
  </si>
  <si>
    <t>CN 2016-00335 (Col.T)</t>
  </si>
  <si>
    <t>CN 2016-00335 (Col.T); CN 2017-00071 (Col. U)</t>
  </si>
  <si>
    <t>CN 2017-00071 (Col. U)</t>
  </si>
  <si>
    <t>CN 2017-00326 (Col.T)</t>
  </si>
  <si>
    <t>CN 2018-00075 (Col.T)</t>
  </si>
  <si>
    <t>CN 2018-00306 (Col.T)</t>
  </si>
  <si>
    <t>CN 2019-00171 (Col.T)</t>
  </si>
  <si>
    <t>CN 2019-00380 (Col.T)</t>
  </si>
  <si>
    <t>For the Month Ending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</si>
</sst>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1" xfId="0" quotePrefix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5" fillId="0" borderId="9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0" fillId="0" borderId="0" xfId="0" applyNumberFormat="1"/>
    <xf numFmtId="6" fontId="0" fillId="0" borderId="0" xfId="0" applyNumberFormat="1"/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/>
    <xf numFmtId="164" fontId="1" fillId="0" borderId="0" xfId="1" applyNumberFormat="1" applyFont="1" applyAlignment="1">
      <alignment horizontal="center"/>
    </xf>
    <xf numFmtId="0" fontId="1" fillId="0" borderId="0" xfId="0" applyFont="1"/>
    <xf numFmtId="38" fontId="0" fillId="0" borderId="0" xfId="0" applyNumberFormat="1"/>
    <xf numFmtId="0" fontId="1" fillId="0" borderId="0" xfId="0" applyFont="1" applyBorder="1"/>
    <xf numFmtId="0" fontId="0" fillId="0" borderId="0" xfId="0" applyBorder="1"/>
    <xf numFmtId="38" fontId="0" fillId="0" borderId="0" xfId="0" applyNumberFormat="1" applyBorder="1"/>
    <xf numFmtId="0" fontId="3" fillId="2" borderId="0" xfId="0" applyFont="1" applyFill="1" applyAlignment="1">
      <alignment horizontal="center"/>
    </xf>
    <xf numFmtId="10" fontId="1" fillId="0" borderId="0" xfId="0" applyNumberFormat="1" applyFont="1" applyFill="1" applyAlignment="1"/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10" fontId="0" fillId="0" borderId="0" xfId="0" applyNumberFormat="1" applyFill="1" applyAlignment="1"/>
    <xf numFmtId="0" fontId="0" fillId="0" borderId="0" xfId="0" applyFill="1"/>
    <xf numFmtId="37" fontId="8" fillId="0" borderId="8" xfId="3" applyNumberFormat="1" applyFont="1" applyBorder="1"/>
    <xf numFmtId="37" fontId="0" fillId="0" borderId="0" xfId="0" applyNumberFormat="1"/>
    <xf numFmtId="37" fontId="1" fillId="0" borderId="0" xfId="0" applyNumberFormat="1" applyFont="1"/>
    <xf numFmtId="37" fontId="8" fillId="0" borderId="0" xfId="0" applyNumberFormat="1" applyFont="1"/>
    <xf numFmtId="37" fontId="8" fillId="0" borderId="12" xfId="0" applyNumberFormat="1" applyFont="1" applyBorder="1"/>
    <xf numFmtId="37" fontId="1" fillId="0" borderId="13" xfId="0" applyNumberFormat="1" applyFont="1" applyBorder="1"/>
    <xf numFmtId="0" fontId="1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Fill="1"/>
    <xf numFmtId="37" fontId="11" fillId="0" borderId="0" xfId="0" applyNumberFormat="1" applyFont="1"/>
    <xf numFmtId="37" fontId="11" fillId="0" borderId="12" xfId="0" applyNumberFormat="1" applyFont="1" applyBorder="1"/>
    <xf numFmtId="0" fontId="10" fillId="0" borderId="0" xfId="0" applyFont="1" applyAlignment="1">
      <alignment horizontal="right"/>
    </xf>
    <xf numFmtId="167" fontId="8" fillId="0" borderId="0" xfId="3" applyNumberFormat="1" applyFont="1"/>
    <xf numFmtId="167" fontId="0" fillId="0" borderId="0" xfId="0" applyNumberFormat="1"/>
    <xf numFmtId="0" fontId="1" fillId="0" borderId="12" xfId="0" applyFont="1" applyBorder="1" applyAlignment="1">
      <alignment horizontal="center" wrapText="1"/>
    </xf>
    <xf numFmtId="167" fontId="1" fillId="0" borderId="13" xfId="3" applyNumberFormat="1" applyFont="1" applyBorder="1"/>
    <xf numFmtId="167" fontId="11" fillId="0" borderId="0" xfId="3" applyNumberFormat="1" applyFont="1"/>
    <xf numFmtId="0" fontId="0" fillId="0" borderId="12" xfId="0" applyFont="1" applyFill="1" applyBorder="1" applyAlignment="1">
      <alignment horizontal="center" wrapText="1"/>
    </xf>
    <xf numFmtId="167" fontId="11" fillId="0" borderId="12" xfId="3" applyNumberFormat="1" applyFont="1" applyBorder="1"/>
    <xf numFmtId="37" fontId="8" fillId="0" borderId="10" xfId="3" applyNumberFormat="1" applyFont="1" applyBorder="1"/>
    <xf numFmtId="167" fontId="0" fillId="0" borderId="0" xfId="0" applyNumberFormat="1" applyBorder="1"/>
    <xf numFmtId="167" fontId="1" fillId="0" borderId="14" xfId="3" applyNumberFormat="1" applyFont="1" applyBorder="1"/>
    <xf numFmtId="0" fontId="1" fillId="0" borderId="0" xfId="0" applyFont="1" applyFill="1" applyBorder="1"/>
    <xf numFmtId="167" fontId="8" fillId="0" borderId="2" xfId="3" applyNumberFormat="1" applyFont="1" applyBorder="1"/>
    <xf numFmtId="167" fontId="0" fillId="0" borderId="2" xfId="0" applyNumberFormat="1" applyBorder="1"/>
    <xf numFmtId="0" fontId="1" fillId="0" borderId="1" xfId="0" applyFont="1" applyBorder="1"/>
    <xf numFmtId="0" fontId="0" fillId="0" borderId="15" xfId="0" applyBorder="1"/>
    <xf numFmtId="0" fontId="0" fillId="0" borderId="3" xfId="0" applyBorder="1"/>
    <xf numFmtId="167" fontId="8" fillId="0" borderId="0" xfId="3" applyNumberFormat="1" applyFont="1" applyBorder="1"/>
    <xf numFmtId="167" fontId="11" fillId="0" borderId="2" xfId="3" applyNumberFormat="1" applyFont="1" applyBorder="1"/>
    <xf numFmtId="167" fontId="11" fillId="0" borderId="0" xfId="3" applyNumberFormat="1" applyFont="1" applyBorder="1"/>
    <xf numFmtId="0" fontId="2" fillId="0" borderId="0" xfId="0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 River Electric Enviromental Surcharge Pass-Through Factors</a:t>
            </a:r>
          </a:p>
        </c:rich>
      </c:tx>
      <c:layout>
        <c:manualLayout>
          <c:xMode val="edge"/>
          <c:yMode val="edge"/>
          <c:x val="0.21975582685904554"/>
          <c:y val="1.9575856443719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098779134295227E-2"/>
          <c:y val="0.10440456769983635"/>
          <c:w val="0.97780244173140951"/>
          <c:h val="0.87928221859706368"/>
        </c:manualLayout>
      </c:layout>
      <c:lineChart>
        <c:grouping val="standard"/>
        <c:varyColors val="0"/>
        <c:ser>
          <c:idx val="0"/>
          <c:order val="0"/>
          <c:cat>
            <c:multiLvlStrRef>
              <c:f>'Salt River'!$C$31:$C$55</c:f>
            </c:multiLvlStrRef>
          </c:cat>
          <c:val>
            <c:numRef>
              <c:f>'Salt River'!$R$31:$R$55</c:f>
            </c:numRef>
          </c:val>
          <c:smooth val="0"/>
          <c:extLst>
            <c:ext xmlns:c16="http://schemas.microsoft.com/office/drawing/2014/chart" uri="{C3380CC4-5D6E-409C-BE32-E72D297353CC}">
              <c16:uniqueId val="{00000000-14C8-4E78-90F4-8D8C6C6E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27552"/>
        <c:axId val="80279040"/>
      </c:lineChart>
      <c:catAx>
        <c:axId val="799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Expense Month/Year</a:t>
                </a:r>
              </a:p>
            </c:rich>
          </c:tx>
          <c:layout>
            <c:manualLayout>
              <c:xMode val="edge"/>
              <c:yMode val="edge"/>
              <c:x val="0.42397336293008703"/>
              <c:y val="0.87601957585644352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79040"/>
        <c:crosses val="autoZero"/>
        <c:auto val="1"/>
        <c:lblAlgn val="ctr"/>
        <c:lblOffset val="100"/>
        <c:tickMarkSkip val="1"/>
        <c:noMultiLvlLbl val="0"/>
      </c:catAx>
      <c:valAx>
        <c:axId val="8027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Factor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Oct%2009%20Exp%20Month\EKPC%20Factor%20-%20with%20Future%20Vintage%20Yr%20Allowances%20Oct%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y%202010%20Exp%20Month\EKPC%20Factor%20-%20with%20Future%20Vintage%20Yr%20Allowances%20May%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ne%202010%20Exp%20Month\EKPC%20Factor%20-%20with%20Future%20Vintage%20Yr%20Allowances%20June%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ly%202010%20Exp%20Month\EKPC%20Factor%20-%20with%20Future%20Vintage%20Yr%20Allowances%20July%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ug%202010%20Exp%20Month\EKPC%20Factor%20-%20with%20Future%20Vintage%20Yr%20Allowances%20Aug%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Sept%202010%20Exp%20Month\EKPC%20Factor%20-%20with%20Future%20Vintage%20Yr%20Allowances%20Sept%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Oct%202010%20Exp%20Month\EKPC%20Factor%20-%20with%20Future%20Vintage%20Yr%20Allowances%20Oct%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Nov%202010%20Exp%20Month\EKPC%20Factor%20-%20with%20Future%20Vintage%20Yr%20Allowances%20Nov%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Dec%202010%20Exp%20Month\EKPC%20Factor%20-%20with%20Future%20Vintage%20Yr%20Allowances%20Dec%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Jan%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February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Nov%2009%20Exp%20Month\EKPC%20Factor%20-%20with%20Future%20Vintage%20Yr%20Allowances%20Nov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EKPC%20Factor%20-%20with%20Future%20Vintage%20Yr%20Allowances%20Dec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From%20Coops%20-%20Over_Under%20Dec%2009\MASTER%20All%20Coops%20-%20OVER_UNDER%20Dec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an%202010%20Exp%20Month\EKPC%20Factor%20-%20with%20Future%20Vintage%20Yr%20Allowances%20Jan%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MASTER%20FILE%20All%20Coops%20-%20OVER_UNDER%20for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Feb%202010%20Exp%20Month\EKPC%20Factor%20-%20with%20Future%20Vintage%20Yr%20Allowances%20Feb%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rch%202010%20Exp%20Month\EKPC%20Factor%20-%20with%20Future%20Vintage%20Yr%20Allowances%20Mar%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pr%2010%20Exp%20Month\EKPC%20Factor%20-%20with%20Future%20Vintage%20Yr%20Allowances%20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8.3385711707093149E-2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0.11103310077324695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0.13188866003484037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0.12894002233333171</v>
          </cell>
        </row>
      </sheetData>
      <sheetData sheetId="2">
        <row r="29">
          <cell r="F29">
            <v>603722879.70369995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4">
          <cell r="G34">
            <v>58759808.916666664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0.11323565448999388</v>
          </cell>
        </row>
      </sheetData>
      <sheetData sheetId="2">
        <row r="29">
          <cell r="F29">
            <v>602103181.94210005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C31">
            <v>75133701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9.542427390594671E-2</v>
          </cell>
        </row>
      </sheetData>
      <sheetData sheetId="2">
        <row r="29">
          <cell r="F29">
            <v>656511504.42904997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E31">
            <v>6054258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0.12265232976770672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0.15846049484313979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0.14711863184623605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 refreshError="1"/>
      <sheetData sheetId="1" refreshError="1">
        <row r="20">
          <cell r="H20">
            <v>6.4705701936854237E-2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  <sheetName val="Sheet1"/>
    </sheetNames>
    <sheetDataSet>
      <sheetData sheetId="0" refreshError="1"/>
      <sheetData sheetId="1" refreshError="1">
        <row r="23">
          <cell r="H23">
            <v>6.4534784465299963E-2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9.4326189721395101E-2</v>
          </cell>
        </row>
      </sheetData>
      <sheetData sheetId="2">
        <row r="69">
          <cell r="F69">
            <v>9.4326189721395101E-2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0.14590105297536887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6">
          <cell r="H66">
            <v>-36675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0.1361470278098281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  <sheetName val="System"/>
      <sheetName val="System Over Under"/>
    </sheetNames>
    <sheetDataSet>
      <sheetData sheetId="0">
        <row r="66">
          <cell r="J66">
            <v>34931</v>
          </cell>
        </row>
      </sheetData>
      <sheetData sheetId="1">
        <row r="66">
          <cell r="J66">
            <v>-31659</v>
          </cell>
        </row>
      </sheetData>
      <sheetData sheetId="2">
        <row r="68">
          <cell r="K68">
            <v>117.17000000001281</v>
          </cell>
        </row>
      </sheetData>
      <sheetData sheetId="3">
        <row r="67">
          <cell r="I67">
            <v>-6401</v>
          </cell>
        </row>
      </sheetData>
      <sheetData sheetId="4">
        <row r="67">
          <cell r="I67">
            <v>-9852</v>
          </cell>
        </row>
      </sheetData>
      <sheetData sheetId="5">
        <row r="68">
          <cell r="I68">
            <v>0</v>
          </cell>
        </row>
      </sheetData>
      <sheetData sheetId="6">
        <row r="67">
          <cell r="I67">
            <v>-17567</v>
          </cell>
        </row>
      </sheetData>
      <sheetData sheetId="7">
        <row r="67">
          <cell r="I67">
            <v>-11269</v>
          </cell>
        </row>
      </sheetData>
      <sheetData sheetId="8">
        <row r="67">
          <cell r="I67">
            <v>-39859</v>
          </cell>
        </row>
      </sheetData>
      <sheetData sheetId="9">
        <row r="67">
          <cell r="I67">
            <v>-12035.369999999995</v>
          </cell>
        </row>
      </sheetData>
      <sheetData sheetId="10">
        <row r="67">
          <cell r="H67">
            <v>-24435</v>
          </cell>
        </row>
      </sheetData>
      <sheetData sheetId="11"/>
      <sheetData sheetId="12">
        <row r="67">
          <cell r="H67">
            <v>-25591</v>
          </cell>
        </row>
        <row r="68">
          <cell r="H68">
            <v>-162012</v>
          </cell>
        </row>
        <row r="69">
          <cell r="H69">
            <v>155366.47999999998</v>
          </cell>
        </row>
        <row r="70">
          <cell r="H70">
            <v>529665.19999999995</v>
          </cell>
        </row>
        <row r="71">
          <cell r="H71">
            <v>100355.26000000001</v>
          </cell>
        </row>
        <row r="72">
          <cell r="H72">
            <v>-148670.22999999998</v>
          </cell>
        </row>
        <row r="73">
          <cell r="H73">
            <v>-127195.62</v>
          </cell>
        </row>
        <row r="74">
          <cell r="H74">
            <v>-67786.669999999984</v>
          </cell>
        </row>
        <row r="75">
          <cell r="H75">
            <v>-239177.93000000005</v>
          </cell>
        </row>
      </sheetData>
      <sheetData sheetId="13">
        <row r="67">
          <cell r="H67">
            <v>-3689</v>
          </cell>
        </row>
      </sheetData>
      <sheetData sheetId="14">
        <row r="67">
          <cell r="H67">
            <v>-22024</v>
          </cell>
        </row>
      </sheetData>
      <sheetData sheetId="15">
        <row r="67">
          <cell r="J67">
            <v>-1283</v>
          </cell>
        </row>
      </sheetData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0.10677660128078398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5.2688746350572933E-2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6.750351882627266E-2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AA247"/>
  <sheetViews>
    <sheetView tabSelected="1" view="pageLayout" topLeftCell="B244" zoomScaleNormal="90" zoomScaleSheetLayoutView="90" workbookViewId="0">
      <selection activeCell="L230" sqref="L230"/>
    </sheetView>
  </sheetViews>
  <sheetFormatPr defaultRowHeight="12.75" x14ac:dyDescent="0.2"/>
  <cols>
    <col min="1" max="1" width="0" hidden="1" customWidth="1"/>
    <col min="2" max="2" width="3.42578125" customWidth="1"/>
    <col min="4" max="4" width="9" bestFit="1" customWidth="1"/>
    <col min="6" max="6" width="12.28515625" customWidth="1"/>
    <col min="7" max="7" width="13" customWidth="1"/>
    <col min="8" max="8" width="11.42578125" customWidth="1"/>
    <col min="9" max="9" width="13.28515625" bestFit="1" customWidth="1"/>
    <col min="10" max="10" width="14.85546875" customWidth="1"/>
    <col min="11" max="11" width="12.42578125" bestFit="1" customWidth="1"/>
    <col min="12" max="12" width="11.7109375" customWidth="1"/>
    <col min="13" max="13" width="11.85546875" bestFit="1" customWidth="1"/>
    <col min="14" max="14" width="15" bestFit="1" customWidth="1"/>
    <col min="15" max="15" width="10.85546875" customWidth="1"/>
    <col min="16" max="16" width="14" customWidth="1"/>
    <col min="17" max="17" width="13.28515625" bestFit="1" customWidth="1"/>
    <col min="18" max="18" width="13" customWidth="1"/>
    <col min="19" max="19" width="3.7109375" customWidth="1"/>
    <col min="20" max="20" width="9.5703125" bestFit="1" customWidth="1"/>
  </cols>
  <sheetData>
    <row r="4" spans="3:18" x14ac:dyDescent="0.2">
      <c r="C4" s="1" t="s">
        <v>0</v>
      </c>
    </row>
    <row r="5" spans="3:18" x14ac:dyDescent="0.2">
      <c r="C5" s="1" t="s">
        <v>1</v>
      </c>
    </row>
    <row r="6" spans="3:18" x14ac:dyDescent="0.2">
      <c r="C6" s="1"/>
    </row>
    <row r="7" spans="3:18" x14ac:dyDescent="0.2">
      <c r="C7" s="91" t="s">
        <v>105</v>
      </c>
      <c r="D7" s="59"/>
      <c r="E7" s="59"/>
      <c r="F7" s="59"/>
    </row>
    <row r="8" spans="3:18" hidden="1" x14ac:dyDescent="0.2"/>
    <row r="10" spans="3:18" x14ac:dyDescent="0.2">
      <c r="C10" s="54"/>
      <c r="D10" s="2" t="s">
        <v>2</v>
      </c>
      <c r="E10" s="3" t="s">
        <v>3</v>
      </c>
      <c r="F10" s="4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70</v>
      </c>
      <c r="M10" s="6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</row>
    <row r="11" spans="3:18" x14ac:dyDescent="0.2">
      <c r="C11" s="7"/>
      <c r="D11" s="8"/>
      <c r="E11" s="9"/>
      <c r="F11" s="9"/>
      <c r="G11" s="10" t="s">
        <v>16</v>
      </c>
      <c r="H11" s="11" t="s">
        <v>17</v>
      </c>
      <c r="I11" s="12" t="s">
        <v>18</v>
      </c>
      <c r="J11" s="7" t="s">
        <v>19</v>
      </c>
      <c r="K11" s="7" t="s">
        <v>20</v>
      </c>
      <c r="L11" s="13" t="s">
        <v>21</v>
      </c>
      <c r="M11" s="12" t="s">
        <v>20</v>
      </c>
      <c r="N11" s="7" t="s">
        <v>20</v>
      </c>
      <c r="O11" s="14" t="s">
        <v>22</v>
      </c>
      <c r="P11" s="13" t="s">
        <v>20</v>
      </c>
      <c r="Q11" s="7" t="s">
        <v>23</v>
      </c>
      <c r="R11" s="7" t="s">
        <v>20</v>
      </c>
    </row>
    <row r="12" spans="3:18" x14ac:dyDescent="0.2">
      <c r="C12" s="14"/>
      <c r="D12" s="15"/>
      <c r="E12" s="14"/>
      <c r="F12" s="14"/>
      <c r="G12" s="16" t="s">
        <v>24</v>
      </c>
      <c r="H12" s="11" t="s">
        <v>25</v>
      </c>
      <c r="I12" s="11" t="s">
        <v>24</v>
      </c>
      <c r="J12" s="14" t="s">
        <v>26</v>
      </c>
      <c r="K12" s="14" t="s">
        <v>27</v>
      </c>
      <c r="L12" s="17" t="s">
        <v>28</v>
      </c>
      <c r="M12" s="18" t="s">
        <v>29</v>
      </c>
      <c r="N12" s="18" t="s">
        <v>30</v>
      </c>
      <c r="O12" s="14" t="s">
        <v>31</v>
      </c>
      <c r="P12" s="17" t="s">
        <v>32</v>
      </c>
      <c r="Q12" s="19" t="s">
        <v>33</v>
      </c>
      <c r="R12" s="14" t="s">
        <v>34</v>
      </c>
    </row>
    <row r="13" spans="3:18" x14ac:dyDescent="0.2">
      <c r="C13" s="14" t="s">
        <v>35</v>
      </c>
      <c r="D13" s="15"/>
      <c r="E13" s="14"/>
      <c r="F13" s="14"/>
      <c r="G13" s="16" t="s">
        <v>36</v>
      </c>
      <c r="H13" s="11" t="s">
        <v>37</v>
      </c>
      <c r="I13" s="11" t="s">
        <v>38</v>
      </c>
      <c r="J13" s="14" t="s">
        <v>39</v>
      </c>
      <c r="K13" s="14" t="s">
        <v>40</v>
      </c>
      <c r="L13" s="17" t="s">
        <v>41</v>
      </c>
      <c r="M13" s="18" t="s">
        <v>25</v>
      </c>
      <c r="N13" s="14" t="s">
        <v>42</v>
      </c>
      <c r="O13" s="14" t="s">
        <v>25</v>
      </c>
      <c r="P13" s="17" t="s">
        <v>43</v>
      </c>
      <c r="Q13" s="19" t="s">
        <v>44</v>
      </c>
      <c r="R13" s="14" t="s">
        <v>45</v>
      </c>
    </row>
    <row r="14" spans="3:18" x14ac:dyDescent="0.2">
      <c r="C14" s="14" t="s">
        <v>46</v>
      </c>
      <c r="D14" s="15"/>
      <c r="E14" s="14"/>
      <c r="F14" s="14"/>
      <c r="G14" s="16" t="s">
        <v>47</v>
      </c>
      <c r="H14" s="11"/>
      <c r="I14" s="11" t="s">
        <v>48</v>
      </c>
      <c r="J14" s="14" t="s">
        <v>49</v>
      </c>
      <c r="K14" s="14"/>
      <c r="L14" s="17" t="s">
        <v>50</v>
      </c>
      <c r="M14" s="14" t="s">
        <v>40</v>
      </c>
      <c r="N14" s="14" t="s">
        <v>51</v>
      </c>
      <c r="O14" s="14" t="s">
        <v>37</v>
      </c>
      <c r="P14" s="17" t="s">
        <v>51</v>
      </c>
      <c r="Q14" s="14" t="s">
        <v>52</v>
      </c>
      <c r="R14" s="14" t="s">
        <v>53</v>
      </c>
    </row>
    <row r="15" spans="3:18" x14ac:dyDescent="0.2">
      <c r="C15" s="14" t="s">
        <v>54</v>
      </c>
      <c r="D15" s="21" t="s">
        <v>55</v>
      </c>
      <c r="E15" s="11" t="s">
        <v>55</v>
      </c>
      <c r="F15" s="11" t="s">
        <v>55</v>
      </c>
      <c r="G15" s="16" t="s">
        <v>20</v>
      </c>
      <c r="H15" s="11"/>
      <c r="I15" s="11" t="s">
        <v>20</v>
      </c>
      <c r="J15" s="14" t="s">
        <v>20</v>
      </c>
      <c r="K15" s="14"/>
      <c r="L15" s="22"/>
      <c r="M15" s="14"/>
      <c r="N15" s="20"/>
      <c r="O15" s="20"/>
      <c r="P15" s="17"/>
      <c r="Q15" s="14" t="s">
        <v>56</v>
      </c>
      <c r="R15" s="14" t="s">
        <v>46</v>
      </c>
    </row>
    <row r="16" spans="3:18" x14ac:dyDescent="0.2">
      <c r="C16" s="23" t="s">
        <v>57</v>
      </c>
      <c r="D16" s="24" t="s">
        <v>58</v>
      </c>
      <c r="E16" s="23" t="s">
        <v>59</v>
      </c>
      <c r="F16" s="23" t="s">
        <v>60</v>
      </c>
      <c r="G16" s="25"/>
      <c r="H16" s="23"/>
      <c r="I16" s="23"/>
      <c r="J16" s="23"/>
      <c r="K16" s="23"/>
      <c r="L16" s="26"/>
      <c r="M16" s="23"/>
      <c r="N16" s="27"/>
      <c r="O16" s="27"/>
      <c r="P16" s="26"/>
      <c r="Q16" s="23"/>
      <c r="R16" s="23"/>
    </row>
    <row r="17" spans="2:20" x14ac:dyDescent="0.2">
      <c r="C17" s="28"/>
      <c r="D17" s="24"/>
      <c r="E17" s="23"/>
      <c r="F17" s="29" t="s">
        <v>61</v>
      </c>
      <c r="G17" s="25"/>
      <c r="H17" s="23"/>
      <c r="I17" s="30" t="s">
        <v>62</v>
      </c>
      <c r="J17" s="23"/>
      <c r="K17" s="30" t="s">
        <v>63</v>
      </c>
      <c r="L17" s="26"/>
      <c r="M17" s="29" t="s">
        <v>64</v>
      </c>
      <c r="N17" s="27"/>
      <c r="O17" s="27"/>
      <c r="P17" s="31" t="s">
        <v>65</v>
      </c>
      <c r="Q17" s="23"/>
      <c r="R17" s="29" t="s">
        <v>66</v>
      </c>
    </row>
    <row r="19" spans="2:20" hidden="1" x14ac:dyDescent="0.2">
      <c r="C19" s="32">
        <v>38139</v>
      </c>
      <c r="G19" s="36">
        <v>3280291</v>
      </c>
      <c r="H19" s="36"/>
      <c r="I19" s="36">
        <f t="shared" ref="I19:I31" si="0">+G19-H19</f>
        <v>3280291</v>
      </c>
      <c r="J19" s="37"/>
      <c r="K19" s="37"/>
      <c r="L19" s="37"/>
      <c r="M19" s="37"/>
      <c r="N19" s="38">
        <v>4875454.96</v>
      </c>
      <c r="P19" s="33">
        <f t="shared" ref="P19:P31" si="1">+N19-O19</f>
        <v>4875454.96</v>
      </c>
    </row>
    <row r="20" spans="2:20" hidden="1" x14ac:dyDescent="0.2">
      <c r="C20" s="32">
        <v>38169</v>
      </c>
      <c r="G20" s="36">
        <v>3664533</v>
      </c>
      <c r="H20" s="36"/>
      <c r="I20" s="36">
        <f t="shared" si="0"/>
        <v>3664533</v>
      </c>
      <c r="J20" s="37"/>
      <c r="K20" s="37"/>
      <c r="L20" s="37"/>
      <c r="M20" s="37"/>
      <c r="N20" s="38">
        <v>4805290.3899999997</v>
      </c>
      <c r="P20" s="33">
        <f t="shared" si="1"/>
        <v>4805290.3899999997</v>
      </c>
    </row>
    <row r="21" spans="2:20" hidden="1" x14ac:dyDescent="0.2">
      <c r="C21" s="32">
        <v>38200</v>
      </c>
      <c r="G21" s="36">
        <v>3477600</v>
      </c>
      <c r="H21" s="36"/>
      <c r="I21" s="36">
        <f t="shared" si="0"/>
        <v>3477600</v>
      </c>
      <c r="J21" s="37"/>
      <c r="K21" s="37"/>
      <c r="L21" s="37"/>
      <c r="M21" s="37"/>
      <c r="N21" s="38">
        <v>4362358.1900000004</v>
      </c>
      <c r="P21" s="33">
        <f t="shared" si="1"/>
        <v>4362358.1900000004</v>
      </c>
    </row>
    <row r="22" spans="2:20" hidden="1" x14ac:dyDescent="0.2">
      <c r="C22" s="32">
        <v>38231</v>
      </c>
      <c r="G22" s="36">
        <v>3277971</v>
      </c>
      <c r="H22" s="36"/>
      <c r="I22" s="36">
        <f t="shared" si="0"/>
        <v>3277971</v>
      </c>
      <c r="J22" s="37"/>
      <c r="K22" s="37"/>
      <c r="L22" s="37"/>
      <c r="M22" s="37"/>
      <c r="N22" s="38">
        <v>4282967.41</v>
      </c>
      <c r="P22" s="33">
        <f t="shared" si="1"/>
        <v>4282967.41</v>
      </c>
    </row>
    <row r="23" spans="2:20" hidden="1" x14ac:dyDescent="0.2">
      <c r="C23" s="32">
        <v>38261</v>
      </c>
      <c r="G23" s="36">
        <v>2453713</v>
      </c>
      <c r="H23" s="36"/>
      <c r="I23" s="36">
        <f t="shared" si="0"/>
        <v>2453713</v>
      </c>
      <c r="J23" s="37"/>
      <c r="K23" s="37"/>
      <c r="L23" s="37"/>
      <c r="M23" s="37"/>
      <c r="N23" s="38">
        <v>3586671.94</v>
      </c>
      <c r="P23" s="33">
        <f t="shared" si="1"/>
        <v>3586671.94</v>
      </c>
    </row>
    <row r="24" spans="2:20" hidden="1" x14ac:dyDescent="0.2">
      <c r="C24" s="32">
        <v>38292</v>
      </c>
      <c r="G24" s="36">
        <v>2814221</v>
      </c>
      <c r="H24" s="36"/>
      <c r="I24" s="36">
        <f t="shared" si="0"/>
        <v>2814221</v>
      </c>
      <c r="J24" s="37"/>
      <c r="K24" s="37"/>
      <c r="L24" s="37"/>
      <c r="M24" s="37"/>
      <c r="N24" s="38">
        <v>4341943.5999999996</v>
      </c>
      <c r="P24" s="33">
        <f t="shared" si="1"/>
        <v>4341943.5999999996</v>
      </c>
    </row>
    <row r="25" spans="2:20" hidden="1" x14ac:dyDescent="0.2">
      <c r="C25" s="32">
        <v>38322</v>
      </c>
      <c r="G25" s="36">
        <v>4138971</v>
      </c>
      <c r="H25" s="36"/>
      <c r="I25" s="36">
        <f t="shared" si="0"/>
        <v>4138971</v>
      </c>
      <c r="J25" s="37"/>
      <c r="K25" s="37"/>
      <c r="L25" s="37"/>
      <c r="M25" s="37"/>
      <c r="N25" s="38">
        <v>5409270.0300000003</v>
      </c>
      <c r="P25" s="33">
        <f t="shared" si="1"/>
        <v>5409270.0300000003</v>
      </c>
    </row>
    <row r="26" spans="2:20" hidden="1" x14ac:dyDescent="0.2">
      <c r="C26" s="32">
        <v>38353</v>
      </c>
      <c r="G26" s="36">
        <v>4535777</v>
      </c>
      <c r="H26" s="36"/>
      <c r="I26" s="36">
        <f t="shared" si="0"/>
        <v>4535777</v>
      </c>
      <c r="J26" s="37"/>
      <c r="K26" s="37"/>
      <c r="L26" s="37"/>
      <c r="M26" s="37"/>
      <c r="N26" s="38">
        <v>5230936.59</v>
      </c>
      <c r="P26" s="33">
        <f t="shared" si="1"/>
        <v>5230936.59</v>
      </c>
    </row>
    <row r="27" spans="2:20" hidden="1" x14ac:dyDescent="0.2">
      <c r="C27" s="32">
        <v>38384</v>
      </c>
      <c r="G27" s="36">
        <v>3909060</v>
      </c>
      <c r="H27" s="36"/>
      <c r="I27" s="36">
        <f t="shared" si="0"/>
        <v>3909060</v>
      </c>
      <c r="J27" s="37"/>
      <c r="K27" s="37"/>
      <c r="L27" s="37"/>
      <c r="M27" s="37"/>
      <c r="N27" s="38">
        <v>4979394.5999999996</v>
      </c>
      <c r="P27" s="33">
        <f t="shared" si="1"/>
        <v>4979394.5999999996</v>
      </c>
    </row>
    <row r="28" spans="2:20" hidden="1" x14ac:dyDescent="0.2">
      <c r="C28" s="32">
        <v>38412</v>
      </c>
      <c r="G28" s="36">
        <v>3692876</v>
      </c>
      <c r="H28" s="36"/>
      <c r="I28" s="36">
        <f t="shared" si="0"/>
        <v>3692876</v>
      </c>
      <c r="J28" s="37"/>
      <c r="K28" s="37"/>
      <c r="L28" s="37"/>
      <c r="M28" s="37"/>
      <c r="N28" s="38">
        <v>5352141.03</v>
      </c>
      <c r="P28" s="33">
        <f t="shared" si="1"/>
        <v>5352141.03</v>
      </c>
    </row>
    <row r="29" spans="2:20" hidden="1" x14ac:dyDescent="0.2">
      <c r="C29" s="32">
        <v>38443</v>
      </c>
      <c r="G29" s="36">
        <v>2778403</v>
      </c>
      <c r="H29" s="36"/>
      <c r="I29" s="36">
        <f t="shared" si="0"/>
        <v>2778403</v>
      </c>
      <c r="J29" s="35"/>
      <c r="K29" s="37"/>
      <c r="L29" s="37"/>
      <c r="M29" s="37"/>
      <c r="N29" s="38">
        <v>4447537.91</v>
      </c>
      <c r="P29" s="33">
        <f t="shared" si="1"/>
        <v>4447537.91</v>
      </c>
      <c r="Q29" s="34"/>
      <c r="T29" s="42"/>
    </row>
    <row r="30" spans="2:20" hidden="1" x14ac:dyDescent="0.2">
      <c r="C30" s="32">
        <v>38473</v>
      </c>
      <c r="D30" s="39"/>
      <c r="E30" s="40"/>
      <c r="F30" s="39"/>
      <c r="G30" s="36">
        <v>3138394</v>
      </c>
      <c r="H30" s="36"/>
      <c r="I30" s="36">
        <f t="shared" si="0"/>
        <v>3138394</v>
      </c>
      <c r="J30" s="35"/>
      <c r="K30" s="36"/>
      <c r="L30" s="37"/>
      <c r="M30" s="36"/>
      <c r="N30" s="36">
        <v>4527650.3499999996</v>
      </c>
      <c r="P30" s="33">
        <f t="shared" si="1"/>
        <v>4527650.3499999996</v>
      </c>
      <c r="Q30" s="34">
        <f t="shared" ref="Q30:Q36" si="2">SUM(P19:P30)/12</f>
        <v>4683468.083333334</v>
      </c>
      <c r="R30" s="41"/>
    </row>
    <row r="31" spans="2:20" hidden="1" x14ac:dyDescent="0.2">
      <c r="C31" s="32">
        <v>38504</v>
      </c>
      <c r="D31" s="39">
        <v>6.2799999999999995E-2</v>
      </c>
      <c r="E31" s="39">
        <v>5.1000000000000004E-3</v>
      </c>
      <c r="F31" s="39">
        <f t="shared" ref="F31:F36" si="3">D31-E31</f>
        <v>5.7699999999999994E-2</v>
      </c>
      <c r="G31" s="36">
        <v>3970091</v>
      </c>
      <c r="H31" s="36"/>
      <c r="I31" s="36">
        <f t="shared" si="0"/>
        <v>3970091</v>
      </c>
      <c r="J31" s="35">
        <f t="shared" ref="J31:J36" si="4">SUM(I20:I31)/12</f>
        <v>3487634.1666666665</v>
      </c>
      <c r="K31" s="36">
        <f>+F31*J31</f>
        <v>201236.49141666663</v>
      </c>
      <c r="L31" s="37"/>
      <c r="M31" s="36">
        <f t="shared" ref="M31:M36" si="5">+K31+L31</f>
        <v>201236.49141666663</v>
      </c>
      <c r="N31" s="38">
        <v>5993861.3600000003</v>
      </c>
      <c r="P31" s="33">
        <f t="shared" si="1"/>
        <v>5993861.3600000003</v>
      </c>
      <c r="Q31" s="34">
        <f t="shared" si="2"/>
        <v>4776668.6166666662</v>
      </c>
      <c r="R31" s="41">
        <f>+M31/Q30</f>
        <v>4.2967409585386113E-2</v>
      </c>
    </row>
    <row r="32" spans="2:20" hidden="1" x14ac:dyDescent="0.2">
      <c r="B32" s="43"/>
      <c r="C32" s="32">
        <v>38534</v>
      </c>
      <c r="D32" s="39">
        <v>6.2100000000000002E-2</v>
      </c>
      <c r="E32" s="39">
        <v>5.1000000000000004E-3</v>
      </c>
      <c r="F32" s="39">
        <f t="shared" si="3"/>
        <v>5.7000000000000002E-2</v>
      </c>
      <c r="G32" s="36">
        <f>4864256--265360</f>
        <v>5129616</v>
      </c>
      <c r="H32" s="36"/>
      <c r="I32" s="36">
        <f t="shared" ref="I32:I37" si="6">+G32-H32</f>
        <v>5129616</v>
      </c>
      <c r="J32" s="35">
        <f t="shared" si="4"/>
        <v>3609724.4166666665</v>
      </c>
      <c r="K32" s="36">
        <f>+F32*J32</f>
        <v>205754.29175</v>
      </c>
      <c r="L32" s="37"/>
      <c r="M32" s="36">
        <f t="shared" si="5"/>
        <v>205754.29175</v>
      </c>
      <c r="N32" s="38">
        <v>6228290.8700000001</v>
      </c>
      <c r="P32" s="33">
        <f t="shared" ref="P32:P37" si="7">+N32-O32</f>
        <v>6228290.8700000001</v>
      </c>
      <c r="Q32" s="34">
        <f t="shared" si="2"/>
        <v>4895251.9899999993</v>
      </c>
      <c r="R32" s="41">
        <v>4.2799999999999998E-2</v>
      </c>
    </row>
    <row r="33" spans="2:18" hidden="1" x14ac:dyDescent="0.2">
      <c r="B33" s="43"/>
      <c r="C33" s="32">
        <v>38565</v>
      </c>
      <c r="D33" s="39">
        <v>0.1169</v>
      </c>
      <c r="E33" s="39">
        <v>5.1000000000000004E-3</v>
      </c>
      <c r="F33" s="39">
        <f t="shared" si="3"/>
        <v>0.11180000000000001</v>
      </c>
      <c r="G33" s="36">
        <f>4969489-267988</f>
        <v>4701501</v>
      </c>
      <c r="I33" s="36">
        <f t="shared" si="6"/>
        <v>4701501</v>
      </c>
      <c r="J33" s="35">
        <f t="shared" si="4"/>
        <v>3711716.1666666665</v>
      </c>
      <c r="K33" s="36">
        <f>+F33*J33-1261</f>
        <v>413708.86743333336</v>
      </c>
      <c r="L33" s="37"/>
      <c r="M33" s="36">
        <f t="shared" si="5"/>
        <v>413708.86743333336</v>
      </c>
      <c r="N33" s="38">
        <v>5643585.4800000004</v>
      </c>
      <c r="P33" s="33">
        <f t="shared" si="7"/>
        <v>5643585.4800000004</v>
      </c>
      <c r="Q33" s="34">
        <f t="shared" si="2"/>
        <v>5002020.9308333332</v>
      </c>
      <c r="R33" s="41">
        <f t="shared" ref="R33:R38" si="8">+M33/Q32</f>
        <v>8.4512271948095047E-2</v>
      </c>
    </row>
    <row r="34" spans="2:18" hidden="1" x14ac:dyDescent="0.2">
      <c r="C34" s="32">
        <v>38596</v>
      </c>
      <c r="D34" s="39">
        <v>0.10680000000000001</v>
      </c>
      <c r="E34" s="39">
        <v>5.1000000000000004E-3</v>
      </c>
      <c r="F34" s="39">
        <f t="shared" si="3"/>
        <v>0.10170000000000001</v>
      </c>
      <c r="G34" s="36">
        <f>4847635-487468</f>
        <v>4360167</v>
      </c>
      <c r="I34" s="36">
        <f t="shared" si="6"/>
        <v>4360167</v>
      </c>
      <c r="J34" s="35">
        <f t="shared" si="4"/>
        <v>3801899.1666666665</v>
      </c>
      <c r="K34" s="36">
        <f t="shared" ref="K34:K39" si="9">+F34*J34</f>
        <v>386653.14525000006</v>
      </c>
      <c r="L34" s="37"/>
      <c r="M34" s="36">
        <f t="shared" si="5"/>
        <v>386653.14525000006</v>
      </c>
      <c r="N34" s="38">
        <v>5174473.55</v>
      </c>
      <c r="P34" s="33">
        <f t="shared" si="7"/>
        <v>5174473.55</v>
      </c>
      <c r="Q34" s="34">
        <f t="shared" si="2"/>
        <v>5076313.1091666659</v>
      </c>
      <c r="R34" s="41">
        <f t="shared" si="8"/>
        <v>7.7299385707605167E-2</v>
      </c>
    </row>
    <row r="35" spans="2:18" hidden="1" x14ac:dyDescent="0.2">
      <c r="C35" s="32">
        <v>38626</v>
      </c>
      <c r="D35" s="39">
        <v>0.10059999999999999</v>
      </c>
      <c r="E35" s="39">
        <v>5.1000000000000004E-3</v>
      </c>
      <c r="F35" s="39">
        <f t="shared" si="3"/>
        <v>9.5500000000000002E-2</v>
      </c>
      <c r="G35" s="36">
        <f>3799055-350697</f>
        <v>3448358</v>
      </c>
      <c r="I35" s="36">
        <f t="shared" si="6"/>
        <v>3448358</v>
      </c>
      <c r="J35" s="35">
        <f t="shared" si="4"/>
        <v>3884786.25</v>
      </c>
      <c r="K35" s="36">
        <f t="shared" si="9"/>
        <v>370997.08687499998</v>
      </c>
      <c r="L35" s="37"/>
      <c r="M35" s="36">
        <f t="shared" si="5"/>
        <v>370997.08687499998</v>
      </c>
      <c r="N35" s="38">
        <v>4413528.32</v>
      </c>
      <c r="P35" s="33">
        <f t="shared" si="7"/>
        <v>4413528.32</v>
      </c>
      <c r="Q35" s="34">
        <f t="shared" si="2"/>
        <v>5145217.8074999992</v>
      </c>
      <c r="R35" s="41">
        <f t="shared" si="8"/>
        <v>7.3083964463315651E-2</v>
      </c>
    </row>
    <row r="36" spans="2:18" hidden="1" x14ac:dyDescent="0.2">
      <c r="C36" s="32">
        <v>38657</v>
      </c>
      <c r="D36" s="39">
        <v>0.11269999999999999</v>
      </c>
      <c r="E36" s="39">
        <v>5.1000000000000004E-3</v>
      </c>
      <c r="F36" s="39">
        <f t="shared" si="3"/>
        <v>0.1076</v>
      </c>
      <c r="G36" s="36">
        <f>4178015-364217</f>
        <v>3813798</v>
      </c>
      <c r="I36" s="36">
        <f t="shared" si="6"/>
        <v>3813798</v>
      </c>
      <c r="J36" s="35">
        <f t="shared" si="4"/>
        <v>3968084.3333333335</v>
      </c>
      <c r="K36" s="36">
        <f t="shared" si="9"/>
        <v>426965.87426666671</v>
      </c>
      <c r="L36" s="37"/>
      <c r="M36" s="36">
        <f t="shared" si="5"/>
        <v>426965.87426666671</v>
      </c>
      <c r="N36" s="38">
        <v>5496428.6699999999</v>
      </c>
      <c r="P36" s="33">
        <f t="shared" si="7"/>
        <v>5496428.6699999999</v>
      </c>
      <c r="Q36" s="34">
        <f t="shared" si="2"/>
        <v>5241424.8966666665</v>
      </c>
      <c r="R36" s="41">
        <f t="shared" si="8"/>
        <v>8.2983051493815074E-2</v>
      </c>
    </row>
    <row r="37" spans="2:18" hidden="1" x14ac:dyDescent="0.2">
      <c r="C37" s="32">
        <v>38687</v>
      </c>
      <c r="D37" s="39">
        <v>6.1499999999999999E-2</v>
      </c>
      <c r="E37" s="39">
        <v>5.1000000000000004E-3</v>
      </c>
      <c r="F37" s="39">
        <f t="shared" ref="F37:F42" si="10">D37-E37</f>
        <v>5.6399999999999999E-2</v>
      </c>
      <c r="G37" s="36">
        <f>5515933-535856</f>
        <v>4980077</v>
      </c>
      <c r="I37" s="36">
        <f t="shared" si="6"/>
        <v>4980077</v>
      </c>
      <c r="J37" s="35">
        <f t="shared" ref="J37:J42" si="11">SUM(I26:I37)/12</f>
        <v>4038176.5</v>
      </c>
      <c r="K37" s="36">
        <f t="shared" si="9"/>
        <v>227753.15460000001</v>
      </c>
      <c r="L37" s="37"/>
      <c r="M37" s="36">
        <f t="shared" ref="M37:M42" si="12">+K37+L37</f>
        <v>227753.15460000001</v>
      </c>
      <c r="N37" s="38">
        <v>7046112.1399999997</v>
      </c>
      <c r="P37" s="33">
        <f t="shared" si="7"/>
        <v>7046112.1399999997</v>
      </c>
      <c r="Q37" s="34">
        <f t="shared" ref="Q37:Q42" si="13">SUM(P26:P37)/12</f>
        <v>5377828.4058333328</v>
      </c>
      <c r="R37" s="41">
        <f t="shared" si="8"/>
        <v>4.3452526572467301E-2</v>
      </c>
    </row>
    <row r="38" spans="2:18" hidden="1" x14ac:dyDescent="0.2">
      <c r="C38" s="32">
        <v>38718</v>
      </c>
      <c r="D38" s="39">
        <v>8.4400000000000003E-2</v>
      </c>
      <c r="E38" s="39">
        <v>5.1000000000000004E-3</v>
      </c>
      <c r="F38" s="39">
        <f t="shared" si="10"/>
        <v>7.9300000000000009E-2</v>
      </c>
      <c r="G38" s="36">
        <f>4988478-266329</f>
        <v>4722149</v>
      </c>
      <c r="I38" s="36">
        <f t="shared" ref="I38:I43" si="14">+G38-H38</f>
        <v>4722149</v>
      </c>
      <c r="J38" s="35">
        <f t="shared" si="11"/>
        <v>4053707.5</v>
      </c>
      <c r="K38" s="36">
        <f t="shared" si="9"/>
        <v>321459.00475000002</v>
      </c>
      <c r="L38" s="37"/>
      <c r="M38" s="36">
        <f t="shared" si="12"/>
        <v>321459.00475000002</v>
      </c>
      <c r="N38" s="38">
        <v>6044042.2000000002</v>
      </c>
      <c r="P38" s="33">
        <f t="shared" ref="P38:P43" si="15">+N38-O38</f>
        <v>6044042.2000000002</v>
      </c>
      <c r="Q38" s="34">
        <f t="shared" si="13"/>
        <v>5445587.206666667</v>
      </c>
      <c r="R38" s="41">
        <f t="shared" si="8"/>
        <v>5.9774872028514947E-2</v>
      </c>
    </row>
    <row r="39" spans="2:18" hidden="1" x14ac:dyDescent="0.2">
      <c r="C39" s="32">
        <v>38749</v>
      </c>
      <c r="D39" s="39">
        <v>9.2600000000000002E-2</v>
      </c>
      <c r="E39" s="39">
        <v>5.1000000000000004E-3</v>
      </c>
      <c r="F39" s="39">
        <f t="shared" si="10"/>
        <v>8.7499999999999994E-2</v>
      </c>
      <c r="G39" s="36">
        <f>4695539-344998</f>
        <v>4350541</v>
      </c>
      <c r="I39" s="36">
        <f t="shared" si="14"/>
        <v>4350541</v>
      </c>
      <c r="J39" s="35">
        <f t="shared" si="11"/>
        <v>4090497.5833333335</v>
      </c>
      <c r="K39" s="36">
        <f t="shared" si="9"/>
        <v>357918.53854166664</v>
      </c>
      <c r="L39" s="37"/>
      <c r="M39" s="36">
        <f t="shared" si="12"/>
        <v>357918.53854166664</v>
      </c>
      <c r="N39" s="38">
        <v>5317510.93</v>
      </c>
      <c r="P39" s="33">
        <f t="shared" si="15"/>
        <v>5317510.93</v>
      </c>
      <c r="Q39" s="34">
        <f t="shared" si="13"/>
        <v>5473763.5675000008</v>
      </c>
      <c r="R39" s="41">
        <f t="shared" ref="R39:R44" si="16">+M39/Q38</f>
        <v>6.5726344094442377E-2</v>
      </c>
    </row>
    <row r="40" spans="2:18" hidden="1" x14ac:dyDescent="0.2">
      <c r="C40" s="32">
        <v>38777</v>
      </c>
      <c r="D40" s="39">
        <v>9.5899999999999999E-2</v>
      </c>
      <c r="E40" s="39">
        <v>5.1000000000000004E-3</v>
      </c>
      <c r="F40" s="39">
        <f t="shared" si="10"/>
        <v>9.0799999999999992E-2</v>
      </c>
      <c r="G40" s="36">
        <f>4315117-347193</f>
        <v>3967924</v>
      </c>
      <c r="I40" s="36">
        <f t="shared" si="14"/>
        <v>3967924</v>
      </c>
      <c r="J40" s="35">
        <f t="shared" si="11"/>
        <v>4113418.25</v>
      </c>
      <c r="K40" s="36">
        <f t="shared" ref="K40:K45" si="17">+F40*J40</f>
        <v>373498.37709999998</v>
      </c>
      <c r="L40" s="37"/>
      <c r="M40" s="36">
        <f t="shared" si="12"/>
        <v>373498.37709999998</v>
      </c>
      <c r="N40" s="38">
        <v>5775622.8899999997</v>
      </c>
      <c r="P40" s="33">
        <f t="shared" si="15"/>
        <v>5775622.8899999997</v>
      </c>
      <c r="Q40" s="34">
        <f t="shared" si="13"/>
        <v>5509053.7225000011</v>
      </c>
      <c r="R40" s="41">
        <f t="shared" si="16"/>
        <v>6.8234291177210207E-2</v>
      </c>
    </row>
    <row r="41" spans="2:18" hidden="1" x14ac:dyDescent="0.2">
      <c r="C41" s="32">
        <v>38808</v>
      </c>
      <c r="D41" s="39">
        <v>9.4100000000000003E-2</v>
      </c>
      <c r="E41" s="39">
        <v>5.1000000000000004E-3</v>
      </c>
      <c r="F41" s="39">
        <f t="shared" si="10"/>
        <v>8.8999999999999996E-2</v>
      </c>
      <c r="G41" s="36">
        <f>3375872-279442</f>
        <v>3096430</v>
      </c>
      <c r="I41" s="36">
        <f t="shared" si="14"/>
        <v>3096430</v>
      </c>
      <c r="J41" s="35">
        <f t="shared" si="11"/>
        <v>4139920.5</v>
      </c>
      <c r="K41" s="36">
        <f t="shared" si="17"/>
        <v>368452.92449999996</v>
      </c>
      <c r="L41" s="37"/>
      <c r="M41" s="36">
        <f t="shared" si="12"/>
        <v>368452.92449999996</v>
      </c>
      <c r="N41" s="38">
        <v>4697990.3899999997</v>
      </c>
      <c r="P41" s="33">
        <f t="shared" si="15"/>
        <v>4697990.3899999997</v>
      </c>
      <c r="Q41" s="34">
        <f t="shared" si="13"/>
        <v>5529924.7625000002</v>
      </c>
      <c r="R41" s="41">
        <f t="shared" si="16"/>
        <v>6.6881345337978751E-2</v>
      </c>
    </row>
    <row r="42" spans="2:18" hidden="1" x14ac:dyDescent="0.2">
      <c r="C42" s="32">
        <v>38838</v>
      </c>
      <c r="D42" s="39">
        <v>0.10199999999999999</v>
      </c>
      <c r="E42" s="39">
        <v>5.1000000000000004E-3</v>
      </c>
      <c r="F42" s="39">
        <f t="shared" si="10"/>
        <v>9.6899999999999986E-2</v>
      </c>
      <c r="G42" s="36">
        <f>4112336-334546</f>
        <v>3777790</v>
      </c>
      <c r="I42" s="36">
        <f t="shared" si="14"/>
        <v>3777790</v>
      </c>
      <c r="J42" s="35">
        <f t="shared" si="11"/>
        <v>4193203.5</v>
      </c>
      <c r="K42" s="36">
        <f t="shared" si="17"/>
        <v>406321.41914999991</v>
      </c>
      <c r="L42" s="37"/>
      <c r="M42" s="36">
        <f t="shared" si="12"/>
        <v>406321.41914999991</v>
      </c>
      <c r="N42" s="38">
        <v>4594439.1500000004</v>
      </c>
      <c r="P42" s="33">
        <f t="shared" si="15"/>
        <v>4594439.1500000004</v>
      </c>
      <c r="Q42" s="34">
        <f t="shared" si="13"/>
        <v>5535490.4958333336</v>
      </c>
      <c r="R42" s="41">
        <f t="shared" si="16"/>
        <v>7.3476844007965808E-2</v>
      </c>
    </row>
    <row r="43" spans="2:18" hidden="1" x14ac:dyDescent="0.2">
      <c r="C43" s="32">
        <v>38869</v>
      </c>
      <c r="D43" s="39">
        <v>0.1079</v>
      </c>
      <c r="E43" s="39">
        <v>5.1000000000000004E-3</v>
      </c>
      <c r="F43" s="39">
        <f t="shared" ref="F43:F48" si="18">D43-E43</f>
        <v>0.1028</v>
      </c>
      <c r="G43" s="36">
        <f>4660461-410038</f>
        <v>4250423</v>
      </c>
      <c r="I43" s="36">
        <f t="shared" si="14"/>
        <v>4250423</v>
      </c>
      <c r="J43" s="35">
        <f t="shared" ref="J43:J48" si="19">SUM(I32:I43)/12</f>
        <v>4216564.5</v>
      </c>
      <c r="K43" s="36">
        <f t="shared" si="17"/>
        <v>433462.83059999999</v>
      </c>
      <c r="L43" s="37"/>
      <c r="M43" s="36">
        <f t="shared" ref="M43:M48" si="20">+K43+L43</f>
        <v>433462.83059999999</v>
      </c>
      <c r="N43" s="38">
        <v>5778189.1600000001</v>
      </c>
      <c r="P43" s="33">
        <f t="shared" si="15"/>
        <v>5778189.1600000001</v>
      </c>
      <c r="Q43" s="34">
        <f t="shared" ref="Q43:Q48" si="21">SUM(P32:P43)/12</f>
        <v>5517517.8125</v>
      </c>
      <c r="R43" s="41">
        <f t="shared" si="16"/>
        <v>7.8306128594435392E-2</v>
      </c>
    </row>
    <row r="44" spans="2:18" hidden="1" x14ac:dyDescent="0.2">
      <c r="C44" s="32">
        <v>38899</v>
      </c>
      <c r="D44" s="39">
        <v>0.13469999999999999</v>
      </c>
      <c r="E44" s="39">
        <v>5.1000000000000004E-3</v>
      </c>
      <c r="F44" s="39">
        <f t="shared" si="18"/>
        <v>0.12959999999999999</v>
      </c>
      <c r="G44" s="36">
        <f>5336561-495700</f>
        <v>4840861</v>
      </c>
      <c r="I44" s="36">
        <f t="shared" ref="I44:I49" si="22">+G44-H44</f>
        <v>4840861</v>
      </c>
      <c r="J44" s="35">
        <f t="shared" si="19"/>
        <v>4192501.5833333335</v>
      </c>
      <c r="K44" s="36">
        <f t="shared" si="17"/>
        <v>543348.20519999997</v>
      </c>
      <c r="L44" s="37"/>
      <c r="M44" s="36">
        <f t="shared" si="20"/>
        <v>543348.20519999997</v>
      </c>
      <c r="N44" s="38">
        <v>6640009.1299999999</v>
      </c>
      <c r="P44" s="33">
        <f t="shared" ref="P44:P49" si="23">+N44-O44</f>
        <v>6640009.1299999999</v>
      </c>
      <c r="Q44" s="34">
        <f t="shared" si="21"/>
        <v>5551827.6675000014</v>
      </c>
      <c r="R44" s="41">
        <f t="shared" si="16"/>
        <v>9.8476928152191626E-2</v>
      </c>
    </row>
    <row r="45" spans="2:18" hidden="1" x14ac:dyDescent="0.2">
      <c r="C45" s="32">
        <v>38930</v>
      </c>
      <c r="D45" s="39">
        <v>0.13</v>
      </c>
      <c r="E45" s="39">
        <v>5.1000000000000004E-3</v>
      </c>
      <c r="F45" s="39">
        <f t="shared" si="18"/>
        <v>0.12490000000000001</v>
      </c>
      <c r="G45" s="36">
        <f>5741654-656579</f>
        <v>5085075</v>
      </c>
      <c r="I45" s="36">
        <f t="shared" si="22"/>
        <v>5085075</v>
      </c>
      <c r="J45" s="35">
        <f t="shared" si="19"/>
        <v>4224466.083333333</v>
      </c>
      <c r="K45" s="36">
        <f t="shared" si="17"/>
        <v>527635.81380833336</v>
      </c>
      <c r="L45" s="37"/>
      <c r="M45" s="36">
        <f t="shared" si="20"/>
        <v>527635.81380833336</v>
      </c>
      <c r="N45" s="38">
        <v>6105528.0499999998</v>
      </c>
      <c r="P45" s="33">
        <f t="shared" si="23"/>
        <v>6105528.0499999998</v>
      </c>
      <c r="Q45" s="34">
        <f t="shared" si="21"/>
        <v>5590322.8816666659</v>
      </c>
      <c r="R45" s="41">
        <f t="shared" ref="R45:R50" si="24">+M45/Q44</f>
        <v>9.5038219016969017E-2</v>
      </c>
    </row>
    <row r="46" spans="2:18" hidden="1" x14ac:dyDescent="0.2">
      <c r="C46" s="32">
        <v>38961</v>
      </c>
      <c r="D46" s="39">
        <v>0.11799999999999999</v>
      </c>
      <c r="E46" s="39">
        <v>5.1000000000000004E-3</v>
      </c>
      <c r="F46" s="39">
        <f t="shared" si="18"/>
        <v>0.1129</v>
      </c>
      <c r="G46" s="36">
        <f>4012390-443409</f>
        <v>3568981</v>
      </c>
      <c r="I46" s="36">
        <f t="shared" si="22"/>
        <v>3568981</v>
      </c>
      <c r="J46" s="35">
        <f t="shared" si="19"/>
        <v>4158533.9166666665</v>
      </c>
      <c r="K46" s="36">
        <f t="shared" ref="K46:K51" si="25">+F46*J46</f>
        <v>469498.47919166664</v>
      </c>
      <c r="L46" s="37"/>
      <c r="M46" s="36">
        <f t="shared" si="20"/>
        <v>469498.47919166664</v>
      </c>
      <c r="N46" s="38">
        <v>4963719.83</v>
      </c>
      <c r="P46" s="33">
        <f t="shared" si="23"/>
        <v>4963719.83</v>
      </c>
      <c r="Q46" s="34">
        <f t="shared" si="21"/>
        <v>5572760.0716666663</v>
      </c>
      <c r="R46" s="41">
        <f t="shared" si="24"/>
        <v>8.3984143515462406E-2</v>
      </c>
    </row>
    <row r="47" spans="2:18" hidden="1" x14ac:dyDescent="0.2">
      <c r="C47" s="32">
        <v>38991</v>
      </c>
      <c r="D47" s="39">
        <v>0.10440000000000001</v>
      </c>
      <c r="E47" s="39">
        <v>5.1000000000000004E-3</v>
      </c>
      <c r="F47" s="39">
        <f t="shared" si="18"/>
        <v>9.9299999999999999E-2</v>
      </c>
      <c r="G47" s="36">
        <f>3975858-401423</f>
        <v>3574435</v>
      </c>
      <c r="I47" s="36">
        <f t="shared" si="22"/>
        <v>3574435</v>
      </c>
      <c r="J47" s="35">
        <f t="shared" si="19"/>
        <v>4169040.3333333335</v>
      </c>
      <c r="K47" s="36">
        <f t="shared" si="25"/>
        <v>413985.70510000002</v>
      </c>
      <c r="L47" s="37"/>
      <c r="M47" s="36">
        <f t="shared" si="20"/>
        <v>413985.70510000002</v>
      </c>
      <c r="N47" s="38">
        <v>4746044.34</v>
      </c>
      <c r="P47" s="33">
        <f t="shared" si="23"/>
        <v>4746044.34</v>
      </c>
      <c r="Q47" s="34">
        <f t="shared" si="21"/>
        <v>5600469.7399999993</v>
      </c>
      <c r="R47" s="41">
        <f t="shared" si="24"/>
        <v>7.4287372823532982E-2</v>
      </c>
    </row>
    <row r="48" spans="2:18" hidden="1" x14ac:dyDescent="0.2">
      <c r="C48" s="32">
        <v>39022</v>
      </c>
      <c r="D48" s="39">
        <v>0.1002</v>
      </c>
      <c r="E48" s="39">
        <v>5.1000000000000004E-3</v>
      </c>
      <c r="F48" s="39">
        <f t="shared" si="18"/>
        <v>9.509999999999999E-2</v>
      </c>
      <c r="G48" s="36">
        <f>3971849-357052</f>
        <v>3614797</v>
      </c>
      <c r="I48" s="36">
        <f t="shared" si="22"/>
        <v>3614797</v>
      </c>
      <c r="J48" s="35">
        <f t="shared" si="19"/>
        <v>4152456.9166666665</v>
      </c>
      <c r="K48" s="36">
        <f t="shared" si="25"/>
        <v>394898.65277499997</v>
      </c>
      <c r="L48" s="37"/>
      <c r="M48" s="36">
        <f t="shared" si="20"/>
        <v>394898.65277499997</v>
      </c>
      <c r="N48" s="38">
        <v>5497880.5300000003</v>
      </c>
      <c r="P48" s="33">
        <f t="shared" si="23"/>
        <v>5497880.5300000003</v>
      </c>
      <c r="Q48" s="34">
        <f t="shared" si="21"/>
        <v>5600590.7283333326</v>
      </c>
      <c r="R48" s="41">
        <f t="shared" si="24"/>
        <v>7.0511701894312884E-2</v>
      </c>
    </row>
    <row r="49" spans="3:20" hidden="1" x14ac:dyDescent="0.2">
      <c r="C49" s="32">
        <v>39052</v>
      </c>
      <c r="D49" s="39">
        <v>8.8499999999999995E-2</v>
      </c>
      <c r="E49" s="39">
        <v>5.1000000000000004E-3</v>
      </c>
      <c r="F49" s="39">
        <f t="shared" ref="F49:F54" si="26">D49-E49</f>
        <v>8.3400000000000002E-2</v>
      </c>
      <c r="G49" s="36">
        <f>5028128-435010</f>
        <v>4593118</v>
      </c>
      <c r="I49" s="36">
        <f t="shared" si="22"/>
        <v>4593118</v>
      </c>
      <c r="J49" s="35">
        <f t="shared" ref="J49:J54" si="27">SUM(I38:I49)/12</f>
        <v>4120210.3333333335</v>
      </c>
      <c r="K49" s="36">
        <f t="shared" si="25"/>
        <v>343625.54180000001</v>
      </c>
      <c r="L49" s="37"/>
      <c r="M49" s="36">
        <f t="shared" ref="M49:M54" si="28">+K49+L49</f>
        <v>343625.54180000001</v>
      </c>
      <c r="N49" s="38">
        <v>6155337.6299999999</v>
      </c>
      <c r="P49" s="33">
        <f t="shared" si="23"/>
        <v>6155337.6299999999</v>
      </c>
      <c r="Q49" s="34">
        <f t="shared" ref="Q49:Q54" si="29">SUM(P38:P49)/12</f>
        <v>5526359.5191666661</v>
      </c>
      <c r="R49" s="41">
        <f t="shared" si="24"/>
        <v>6.1355231701113566E-2</v>
      </c>
    </row>
    <row r="50" spans="3:20" hidden="1" x14ac:dyDescent="0.2">
      <c r="C50" s="32">
        <v>39083</v>
      </c>
      <c r="D50" s="39">
        <v>9.8799999999999999E-2</v>
      </c>
      <c r="E50" s="39">
        <v>5.1000000000000004E-3</v>
      </c>
      <c r="F50" s="39">
        <f t="shared" si="26"/>
        <v>9.3700000000000006E-2</v>
      </c>
      <c r="G50" s="36">
        <f>5403337-415949</f>
        <v>4987388</v>
      </c>
      <c r="I50" s="36">
        <f t="shared" ref="I50:I55" si="30">+G50-H50</f>
        <v>4987388</v>
      </c>
      <c r="J50" s="35">
        <f t="shared" si="27"/>
        <v>4142313.5833333335</v>
      </c>
      <c r="K50" s="36">
        <f t="shared" si="25"/>
        <v>388134.78275833337</v>
      </c>
      <c r="L50" s="38">
        <v>-7106</v>
      </c>
      <c r="M50" s="36">
        <f t="shared" si="28"/>
        <v>381028.78275833337</v>
      </c>
      <c r="N50" s="38">
        <v>6114110.4000000004</v>
      </c>
      <c r="P50" s="33">
        <f t="shared" ref="P50:P55" si="31">+N50-O50</f>
        <v>6114110.4000000004</v>
      </c>
      <c r="Q50" s="34">
        <f t="shared" si="29"/>
        <v>5532198.5358333327</v>
      </c>
      <c r="R50" s="41">
        <f t="shared" si="24"/>
        <v>6.8947519870330418E-2</v>
      </c>
    </row>
    <row r="51" spans="3:20" hidden="1" x14ac:dyDescent="0.2">
      <c r="C51" s="32">
        <v>39114</v>
      </c>
      <c r="D51" s="39">
        <v>9.5500000000000002E-2</v>
      </c>
      <c r="E51" s="39">
        <v>5.1000000000000004E-3</v>
      </c>
      <c r="F51" s="39">
        <f t="shared" si="26"/>
        <v>9.0400000000000008E-2</v>
      </c>
      <c r="G51" s="36">
        <f>5907068-506075</f>
        <v>5400993</v>
      </c>
      <c r="I51" s="36">
        <f t="shared" si="30"/>
        <v>5400993</v>
      </c>
      <c r="J51" s="35">
        <f t="shared" si="27"/>
        <v>4229851.25</v>
      </c>
      <c r="K51" s="36">
        <f t="shared" si="25"/>
        <v>382378.55300000001</v>
      </c>
      <c r="L51" s="38">
        <v>-7106</v>
      </c>
      <c r="M51" s="36">
        <f t="shared" si="28"/>
        <v>375272.55300000001</v>
      </c>
      <c r="N51" s="38">
        <v>6837080.3600000003</v>
      </c>
      <c r="P51" s="33">
        <f t="shared" si="31"/>
        <v>6837080.3600000003</v>
      </c>
      <c r="Q51" s="34">
        <f t="shared" si="29"/>
        <v>5658829.3216666663</v>
      </c>
      <c r="R51" s="41">
        <f t="shared" ref="R51:R56" si="32">+M51/Q50</f>
        <v>6.7834252615713742E-2</v>
      </c>
    </row>
    <row r="52" spans="3:20" hidden="1" x14ac:dyDescent="0.2">
      <c r="C52" s="32">
        <v>39142</v>
      </c>
      <c r="D52" s="39">
        <v>9.8299999999999998E-2</v>
      </c>
      <c r="E52" s="39">
        <v>5.1000000000000004E-3</v>
      </c>
      <c r="F52" s="39">
        <f t="shared" si="26"/>
        <v>9.3200000000000005E-2</v>
      </c>
      <c r="G52" s="36">
        <f>5083219-421425</f>
        <v>4661794</v>
      </c>
      <c r="I52" s="36">
        <f t="shared" si="30"/>
        <v>4661794</v>
      </c>
      <c r="J52" s="35">
        <f t="shared" si="27"/>
        <v>4287673.75</v>
      </c>
      <c r="K52" s="36">
        <f t="shared" ref="K52:K57" si="33">+F52*J52</f>
        <v>399611.19349999999</v>
      </c>
      <c r="L52" s="38">
        <v>-7106</v>
      </c>
      <c r="M52" s="36">
        <f t="shared" si="28"/>
        <v>392505.19349999999</v>
      </c>
      <c r="N52" s="38">
        <v>5275808.7</v>
      </c>
      <c r="P52" s="33">
        <f t="shared" si="31"/>
        <v>5275808.7</v>
      </c>
      <c r="Q52" s="34">
        <f t="shared" si="29"/>
        <v>5617178.1391666671</v>
      </c>
      <c r="R52" s="41">
        <f t="shared" si="32"/>
        <v>6.9361553633923254E-2</v>
      </c>
    </row>
    <row r="53" spans="3:20" hidden="1" x14ac:dyDescent="0.2">
      <c r="C53" s="32">
        <v>39173</v>
      </c>
      <c r="D53" s="39">
        <v>7.3400000000000007E-2</v>
      </c>
      <c r="E53" s="39">
        <v>5.1000000000000004E-3</v>
      </c>
      <c r="F53" s="39">
        <f t="shared" si="26"/>
        <v>6.83E-2</v>
      </c>
      <c r="G53" s="36">
        <f>4349930-370851</f>
        <v>3979079</v>
      </c>
      <c r="I53" s="36">
        <f t="shared" si="30"/>
        <v>3979079</v>
      </c>
      <c r="J53" s="35">
        <f t="shared" si="27"/>
        <v>4361227.833333333</v>
      </c>
      <c r="K53" s="36">
        <f t="shared" si="33"/>
        <v>297871.86101666663</v>
      </c>
      <c r="L53" s="38">
        <v>-7106</v>
      </c>
      <c r="M53" s="36">
        <f t="shared" si="28"/>
        <v>290765.86101666663</v>
      </c>
      <c r="N53" s="38">
        <v>5018393.13</v>
      </c>
      <c r="P53" s="33">
        <f t="shared" si="31"/>
        <v>5018393.13</v>
      </c>
      <c r="Q53" s="34">
        <f t="shared" si="29"/>
        <v>5643878.3674999997</v>
      </c>
      <c r="R53" s="41">
        <f t="shared" si="32"/>
        <v>5.1763688779826206E-2</v>
      </c>
    </row>
    <row r="54" spans="3:20" hidden="1" x14ac:dyDescent="0.2">
      <c r="C54" s="32">
        <v>39203</v>
      </c>
      <c r="D54" s="39">
        <v>9.2299999999999993E-2</v>
      </c>
      <c r="E54" s="39">
        <v>5.1000000000000004E-3</v>
      </c>
      <c r="F54" s="39">
        <f t="shared" si="26"/>
        <v>8.72E-2</v>
      </c>
      <c r="G54" s="36">
        <f>5452720-348613</f>
        <v>5104107</v>
      </c>
      <c r="I54" s="36">
        <f t="shared" si="30"/>
        <v>5104107</v>
      </c>
      <c r="J54" s="35">
        <f t="shared" si="27"/>
        <v>4471754.25</v>
      </c>
      <c r="K54" s="36">
        <f t="shared" si="33"/>
        <v>389936.9706</v>
      </c>
      <c r="L54" s="38">
        <v>-7106</v>
      </c>
      <c r="M54" s="36">
        <f t="shared" si="28"/>
        <v>382830.9706</v>
      </c>
      <c r="N54" s="38">
        <v>6218450.1399999997</v>
      </c>
      <c r="P54" s="33">
        <f t="shared" si="31"/>
        <v>6218450.1399999997</v>
      </c>
      <c r="Q54" s="34">
        <f t="shared" si="29"/>
        <v>5779212.6166666672</v>
      </c>
      <c r="R54" s="41">
        <f t="shared" si="32"/>
        <v>6.783118729214889E-2</v>
      </c>
    </row>
    <row r="55" spans="3:20" hidden="1" x14ac:dyDescent="0.2">
      <c r="C55" s="32">
        <v>39234</v>
      </c>
      <c r="D55" s="39">
        <v>9.4700000000000006E-2</v>
      </c>
      <c r="E55" s="39">
        <v>5.1000000000000004E-3</v>
      </c>
      <c r="F55" s="39">
        <f t="shared" ref="F55:F60" si="34">D55-E55</f>
        <v>8.9600000000000013E-2</v>
      </c>
      <c r="G55" s="36">
        <f>5038056-404083</f>
        <v>4633973</v>
      </c>
      <c r="I55" s="36">
        <f t="shared" si="30"/>
        <v>4633973</v>
      </c>
      <c r="J55" s="35">
        <f t="shared" ref="J55:J60" si="35">SUM(I44:I55)/12</f>
        <v>4503716.75</v>
      </c>
      <c r="K55" s="36">
        <f t="shared" si="33"/>
        <v>403533.02080000006</v>
      </c>
      <c r="L55" s="38">
        <v>-7106</v>
      </c>
      <c r="M55" s="36">
        <f t="shared" ref="M55:M60" si="36">+K55+L55</f>
        <v>396427.02080000006</v>
      </c>
      <c r="N55" s="38">
        <v>6737725.4199999999</v>
      </c>
      <c r="P55" s="33">
        <f t="shared" si="31"/>
        <v>6737725.4199999999</v>
      </c>
      <c r="Q55" s="34">
        <f t="shared" ref="Q55:Q60" si="37">SUM(P44:P55)/12</f>
        <v>5859173.9716666667</v>
      </c>
      <c r="R55" s="41">
        <f t="shared" si="32"/>
        <v>6.8595334190810778E-2</v>
      </c>
    </row>
    <row r="56" spans="3:20" hidden="1" x14ac:dyDescent="0.2">
      <c r="C56" s="32">
        <v>39264</v>
      </c>
      <c r="D56" s="39">
        <v>0.108</v>
      </c>
      <c r="E56" s="39">
        <v>5.1000000000000004E-3</v>
      </c>
      <c r="F56" s="39">
        <f t="shared" si="34"/>
        <v>0.10289999999999999</v>
      </c>
      <c r="G56" s="36">
        <f>5450200-448181</f>
        <v>5002019</v>
      </c>
      <c r="I56" s="36">
        <f t="shared" ref="I56:I61" si="38">+G56-H56</f>
        <v>5002019</v>
      </c>
      <c r="J56" s="35">
        <f t="shared" si="35"/>
        <v>4517146.583333333</v>
      </c>
      <c r="K56" s="36">
        <f t="shared" si="33"/>
        <v>464814.38342499995</v>
      </c>
      <c r="L56" s="38"/>
      <c r="M56" s="36">
        <f t="shared" si="36"/>
        <v>464814.38342499995</v>
      </c>
      <c r="N56" s="38">
        <v>7797950.0999999996</v>
      </c>
      <c r="P56" s="33">
        <f t="shared" ref="P56:P61" si="39">+N56-O56</f>
        <v>7797950.0999999996</v>
      </c>
      <c r="Q56" s="34">
        <f t="shared" si="37"/>
        <v>5955669.0525000012</v>
      </c>
      <c r="R56" s="41">
        <f t="shared" si="32"/>
        <v>7.9331043193582043E-2</v>
      </c>
    </row>
    <row r="57" spans="3:20" hidden="1" x14ac:dyDescent="0.2">
      <c r="C57" s="32">
        <v>39295</v>
      </c>
      <c r="D57" s="39">
        <v>0.1105</v>
      </c>
      <c r="E57" s="39">
        <v>5.1000000000000004E-3</v>
      </c>
      <c r="F57" s="39">
        <f t="shared" si="34"/>
        <v>0.10539999999999999</v>
      </c>
      <c r="G57" s="36">
        <f>6440106-600858</f>
        <v>5839248</v>
      </c>
      <c r="I57" s="36">
        <f t="shared" si="38"/>
        <v>5839248</v>
      </c>
      <c r="J57" s="35">
        <f t="shared" si="35"/>
        <v>4579994.333333333</v>
      </c>
      <c r="K57" s="36">
        <f t="shared" si="33"/>
        <v>482731.40273333329</v>
      </c>
      <c r="L57" s="38"/>
      <c r="M57" s="36">
        <f t="shared" si="36"/>
        <v>482731.40273333329</v>
      </c>
      <c r="N57" s="38">
        <v>7612586.9800000004</v>
      </c>
      <c r="P57" s="33">
        <f t="shared" si="39"/>
        <v>7612586.9800000004</v>
      </c>
      <c r="Q57" s="34">
        <f t="shared" si="37"/>
        <v>6081257.2966666669</v>
      </c>
      <c r="R57" s="41">
        <f t="shared" ref="R57:R62" si="40">+M57/Q56</f>
        <v>8.1054101307173526E-2</v>
      </c>
    </row>
    <row r="58" spans="3:20" hidden="1" x14ac:dyDescent="0.2">
      <c r="C58" s="32">
        <v>39326</v>
      </c>
      <c r="D58" s="39">
        <v>0.1009</v>
      </c>
      <c r="E58" s="39">
        <v>5.1000000000000004E-3</v>
      </c>
      <c r="F58" s="39">
        <f t="shared" si="34"/>
        <v>9.5799999999999996E-2</v>
      </c>
      <c r="G58" s="36">
        <f>5826261-555535</f>
        <v>5270726</v>
      </c>
      <c r="I58" s="36">
        <f t="shared" si="38"/>
        <v>5270726</v>
      </c>
      <c r="J58" s="35">
        <f t="shared" si="35"/>
        <v>4721806.416666667</v>
      </c>
      <c r="K58" s="36">
        <f t="shared" ref="K58:K63" si="41">+F58*J58</f>
        <v>452349.05471666669</v>
      </c>
      <c r="L58" s="38"/>
      <c r="M58" s="36">
        <f t="shared" si="36"/>
        <v>452349.05471666669</v>
      </c>
      <c r="N58" s="38">
        <v>6194014.9900000002</v>
      </c>
      <c r="P58" s="33">
        <f t="shared" si="39"/>
        <v>6194014.9900000002</v>
      </c>
      <c r="Q58" s="34">
        <f t="shared" si="37"/>
        <v>6183781.8933333335</v>
      </c>
      <c r="R58" s="41">
        <f t="shared" si="40"/>
        <v>7.438413351867447E-2</v>
      </c>
    </row>
    <row r="59" spans="3:20" hidden="1" x14ac:dyDescent="0.2">
      <c r="C59" s="32">
        <v>39356</v>
      </c>
      <c r="D59" s="39">
        <v>9.0499999999999997E-2</v>
      </c>
      <c r="E59" s="39">
        <v>5.1000000000000004E-3</v>
      </c>
      <c r="F59" s="39">
        <f t="shared" si="34"/>
        <v>8.5400000000000004E-2</v>
      </c>
      <c r="G59" s="36">
        <f>4583115-400679</f>
        <v>4182436</v>
      </c>
      <c r="I59" s="36">
        <f t="shared" si="38"/>
        <v>4182436</v>
      </c>
      <c r="J59" s="35">
        <f t="shared" si="35"/>
        <v>4772473.166666667</v>
      </c>
      <c r="K59" s="36">
        <f t="shared" si="41"/>
        <v>407569.20843333338</v>
      </c>
      <c r="L59" s="38"/>
      <c r="M59" s="36">
        <f t="shared" si="36"/>
        <v>407569.20843333338</v>
      </c>
      <c r="N59" s="38">
        <v>5152943.32</v>
      </c>
      <c r="P59" s="33">
        <f t="shared" si="39"/>
        <v>5152943.32</v>
      </c>
      <c r="Q59" s="34">
        <f t="shared" si="37"/>
        <v>6217690.1416666657</v>
      </c>
      <c r="R59" s="41">
        <f t="shared" si="40"/>
        <v>6.5909376408105402E-2</v>
      </c>
    </row>
    <row r="60" spans="3:20" hidden="1" x14ac:dyDescent="0.2">
      <c r="C60" s="32">
        <v>39387</v>
      </c>
      <c r="D60" s="39">
        <v>8.2400000000000001E-2</v>
      </c>
      <c r="E60" s="39">
        <v>5.1000000000000004E-3</v>
      </c>
      <c r="F60" s="39">
        <f t="shared" si="34"/>
        <v>7.7300000000000008E-2</v>
      </c>
      <c r="G60" s="36">
        <f>4564208-359115</f>
        <v>4205093</v>
      </c>
      <c r="I60" s="36">
        <f t="shared" si="38"/>
        <v>4205093</v>
      </c>
      <c r="J60" s="35">
        <f t="shared" si="35"/>
        <v>4821664.5</v>
      </c>
      <c r="K60" s="36">
        <f t="shared" si="41"/>
        <v>372714.66585000005</v>
      </c>
      <c r="L60" s="38"/>
      <c r="M60" s="36">
        <f t="shared" si="36"/>
        <v>372714.66585000005</v>
      </c>
      <c r="N60" s="38">
        <v>6289429.3300000001</v>
      </c>
      <c r="P60" s="33">
        <f t="shared" si="39"/>
        <v>6289429.3300000001</v>
      </c>
      <c r="Q60" s="34">
        <f t="shared" si="37"/>
        <v>6283652.541666667</v>
      </c>
      <c r="R60" s="41">
        <f t="shared" si="40"/>
        <v>5.9944232883579023E-2</v>
      </c>
    </row>
    <row r="61" spans="3:20" hidden="1" x14ac:dyDescent="0.2">
      <c r="C61" s="32">
        <v>39417</v>
      </c>
      <c r="D61" s="39">
        <v>8.0399999999999999E-2</v>
      </c>
      <c r="E61" s="39">
        <v>5.1000000000000004E-3</v>
      </c>
      <c r="F61" s="39">
        <f t="shared" ref="F61:F66" si="42">D61-E61</f>
        <v>7.5300000000000006E-2</v>
      </c>
      <c r="G61" s="36">
        <f>5268446-378030</f>
        <v>4890416</v>
      </c>
      <c r="I61" s="36">
        <f t="shared" si="38"/>
        <v>4890416</v>
      </c>
      <c r="J61" s="35">
        <f t="shared" ref="J61:J66" si="43">SUM(I50:I61)/12</f>
        <v>4846439.333333333</v>
      </c>
      <c r="K61" s="36">
        <f t="shared" si="41"/>
        <v>364936.88180000003</v>
      </c>
      <c r="L61" s="38"/>
      <c r="M61" s="36">
        <f t="shared" ref="M61:M66" si="44">+K61+L61</f>
        <v>364936.88180000003</v>
      </c>
      <c r="N61" s="38">
        <v>6926842.5300000003</v>
      </c>
      <c r="P61" s="33">
        <f t="shared" si="39"/>
        <v>6926842.5300000003</v>
      </c>
      <c r="Q61" s="34">
        <f t="shared" ref="Q61:Q66" si="45">SUM(P50:P61)/12</f>
        <v>6347944.6166666672</v>
      </c>
      <c r="R61" s="41">
        <f t="shared" si="40"/>
        <v>5.8077189879630849E-2</v>
      </c>
    </row>
    <row r="62" spans="3:20" hidden="1" x14ac:dyDescent="0.2">
      <c r="C62" s="32">
        <v>39448</v>
      </c>
      <c r="D62" s="39">
        <v>6.8000000000000005E-2</v>
      </c>
      <c r="E62" s="39">
        <v>5.1000000000000004E-3</v>
      </c>
      <c r="F62" s="39">
        <f t="shared" si="42"/>
        <v>6.2900000000000011E-2</v>
      </c>
      <c r="G62" s="36">
        <f>6865272-480753</f>
        <v>6384519</v>
      </c>
      <c r="I62" s="36">
        <f t="shared" ref="I62:I67" si="46">+G62-H62</f>
        <v>6384519</v>
      </c>
      <c r="J62" s="35">
        <f t="shared" si="43"/>
        <v>4962866.916666667</v>
      </c>
      <c r="K62" s="36">
        <f t="shared" si="41"/>
        <v>312164.32905833342</v>
      </c>
      <c r="L62" s="38"/>
      <c r="M62" s="36">
        <f t="shared" si="44"/>
        <v>312164.32905833342</v>
      </c>
      <c r="N62" s="38">
        <v>7400455.0599999996</v>
      </c>
      <c r="P62" s="33">
        <f t="shared" ref="P62:P67" si="47">+N62-O62</f>
        <v>7400455.0599999996</v>
      </c>
      <c r="Q62" s="34">
        <f t="shared" si="45"/>
        <v>6455140.0049999999</v>
      </c>
      <c r="R62" s="41">
        <f t="shared" si="40"/>
        <v>4.9175654154061013E-2</v>
      </c>
    </row>
    <row r="63" spans="3:20" hidden="1" x14ac:dyDescent="0.2">
      <c r="C63" s="32">
        <v>39479</v>
      </c>
      <c r="D63" s="39">
        <v>6.8699999999999997E-2</v>
      </c>
      <c r="E63" s="39">
        <v>5.1000000000000004E-3</v>
      </c>
      <c r="F63" s="39">
        <f t="shared" si="42"/>
        <v>6.359999999999999E-2</v>
      </c>
      <c r="G63" s="36">
        <f>6033591-357053</f>
        <v>5676538</v>
      </c>
      <c r="I63" s="36">
        <f t="shared" si="46"/>
        <v>5676538</v>
      </c>
      <c r="J63" s="35">
        <f t="shared" si="43"/>
        <v>4985829</v>
      </c>
      <c r="K63" s="36">
        <f t="shared" si="41"/>
        <v>317098.72439999995</v>
      </c>
      <c r="L63" s="38"/>
      <c r="M63" s="36">
        <f t="shared" si="44"/>
        <v>317098.72439999995</v>
      </c>
      <c r="N63" s="38">
        <v>6894896.9000000004</v>
      </c>
      <c r="P63" s="33">
        <f t="shared" si="47"/>
        <v>6894896.9000000004</v>
      </c>
      <c r="Q63" s="34">
        <f t="shared" si="45"/>
        <v>6459958.0500000007</v>
      </c>
      <c r="R63" s="41">
        <f t="shared" ref="R63:R68" si="48">+M63/Q62</f>
        <v>4.9123446455751965E-2</v>
      </c>
    </row>
    <row r="64" spans="3:20" hidden="1" x14ac:dyDescent="0.2">
      <c r="C64" s="32">
        <v>39508</v>
      </c>
      <c r="D64" s="39">
        <v>6.4899999999999999E-2</v>
      </c>
      <c r="E64" s="39">
        <v>5.1000000000000004E-3</v>
      </c>
      <c r="F64" s="39">
        <f t="shared" si="42"/>
        <v>5.9799999999999999E-2</v>
      </c>
      <c r="G64" s="36">
        <f>5275939-315488</f>
        <v>4960451</v>
      </c>
      <c r="I64" s="36">
        <f t="shared" si="46"/>
        <v>4960451</v>
      </c>
      <c r="J64" s="35">
        <f t="shared" si="43"/>
        <v>5010717.083333333</v>
      </c>
      <c r="K64" s="36">
        <f t="shared" ref="K64:K69" si="49">+F64*J64</f>
        <v>299640.88158333331</v>
      </c>
      <c r="L64" s="38"/>
      <c r="M64" s="36">
        <f t="shared" si="44"/>
        <v>299640.88158333331</v>
      </c>
      <c r="N64" s="38">
        <v>6460099.4000000004</v>
      </c>
      <c r="P64" s="33">
        <f t="shared" si="47"/>
        <v>6460099.4000000004</v>
      </c>
      <c r="Q64" s="34">
        <f t="shared" si="45"/>
        <v>6558648.9416666673</v>
      </c>
      <c r="R64" s="41">
        <f t="shared" si="48"/>
        <v>4.6384338607792237E-2</v>
      </c>
      <c r="S64" s="41"/>
      <c r="T64" s="44"/>
    </row>
    <row r="65" spans="3:19" hidden="1" x14ac:dyDescent="0.2">
      <c r="C65" s="32">
        <v>39539</v>
      </c>
      <c r="D65" s="39">
        <v>6.1100000000000002E-2</v>
      </c>
      <c r="E65" s="39">
        <v>5.1000000000000004E-3</v>
      </c>
      <c r="F65" s="39">
        <f t="shared" si="42"/>
        <v>5.6000000000000001E-2</v>
      </c>
      <c r="G65" s="36">
        <f>4404638-248534</f>
        <v>4156104</v>
      </c>
      <c r="I65" s="36">
        <f t="shared" si="46"/>
        <v>4156104</v>
      </c>
      <c r="J65" s="35">
        <f t="shared" si="43"/>
        <v>5025469.166666667</v>
      </c>
      <c r="K65" s="36">
        <f t="shared" si="49"/>
        <v>281426.27333333337</v>
      </c>
      <c r="L65" s="38"/>
      <c r="M65" s="36">
        <f t="shared" si="44"/>
        <v>281426.27333333337</v>
      </c>
      <c r="N65" s="38">
        <v>5555907.5899999999</v>
      </c>
      <c r="P65" s="33">
        <f t="shared" si="47"/>
        <v>5555907.5899999999</v>
      </c>
      <c r="Q65" s="34">
        <f t="shared" si="45"/>
        <v>6603441.8133333335</v>
      </c>
      <c r="R65" s="41">
        <f t="shared" si="48"/>
        <v>4.2909183863379344E-2</v>
      </c>
      <c r="S65" s="44"/>
    </row>
    <row r="66" spans="3:19" hidden="1" x14ac:dyDescent="0.2">
      <c r="C66" s="32">
        <v>39569</v>
      </c>
      <c r="D66" s="39">
        <v>6.6199999999999995E-2</v>
      </c>
      <c r="E66" s="39">
        <v>5.1000000000000004E-3</v>
      </c>
      <c r="F66" s="39">
        <f t="shared" si="42"/>
        <v>6.1099999999999995E-2</v>
      </c>
      <c r="G66" s="36">
        <f>4404389-233567</f>
        <v>4170822</v>
      </c>
      <c r="I66" s="36">
        <f t="shared" si="46"/>
        <v>4170822</v>
      </c>
      <c r="J66" s="35">
        <f t="shared" si="43"/>
        <v>4947695.416666667</v>
      </c>
      <c r="K66" s="36">
        <f t="shared" si="49"/>
        <v>302304.18995833333</v>
      </c>
      <c r="L66" s="38"/>
      <c r="M66" s="36">
        <f t="shared" si="44"/>
        <v>302304.18995833333</v>
      </c>
      <c r="N66" s="38">
        <v>5423467.7599999998</v>
      </c>
      <c r="P66" s="33">
        <f t="shared" si="47"/>
        <v>5423467.7599999998</v>
      </c>
      <c r="Q66" s="34">
        <f t="shared" si="45"/>
        <v>6537193.2816666672</v>
      </c>
      <c r="R66" s="41">
        <f t="shared" si="48"/>
        <v>4.5779791585039198E-2</v>
      </c>
      <c r="S66" s="44"/>
    </row>
    <row r="67" spans="3:19" hidden="1" x14ac:dyDescent="0.2">
      <c r="C67" s="32">
        <v>39600</v>
      </c>
      <c r="D67" s="39">
        <v>6.8099999999999994E-2</v>
      </c>
      <c r="E67" s="39">
        <v>5.1000000000000004E-3</v>
      </c>
      <c r="F67" s="39">
        <f t="shared" ref="F67:F72" si="50">D67-E67</f>
        <v>6.3E-2</v>
      </c>
      <c r="G67" s="36">
        <f>5615613-323357</f>
        <v>5292256</v>
      </c>
      <c r="I67" s="36">
        <f t="shared" si="46"/>
        <v>5292256</v>
      </c>
      <c r="J67" s="35">
        <f t="shared" ref="J67:J72" si="51">SUM(I56:I67)/12</f>
        <v>5002552.333333333</v>
      </c>
      <c r="K67" s="36">
        <f t="shared" si="49"/>
        <v>315160.79699999996</v>
      </c>
      <c r="L67" s="38"/>
      <c r="M67" s="36">
        <f t="shared" ref="M67:M72" si="52">+K67+L67</f>
        <v>315160.79699999996</v>
      </c>
      <c r="N67" s="38">
        <v>7305469.9400000004</v>
      </c>
      <c r="P67" s="33">
        <f t="shared" si="47"/>
        <v>7305469.9400000004</v>
      </c>
      <c r="Q67" s="34">
        <f t="shared" ref="Q67:Q72" si="53">SUM(P56:P67)/12</f>
        <v>6584505.3250000002</v>
      </c>
      <c r="R67" s="41">
        <f t="shared" si="48"/>
        <v>4.8210414381330523E-2</v>
      </c>
      <c r="S67" s="41"/>
    </row>
    <row r="68" spans="3:19" hidden="1" x14ac:dyDescent="0.2">
      <c r="C68" s="32">
        <v>39630</v>
      </c>
      <c r="D68" s="39">
        <v>7.0599999999999996E-2</v>
      </c>
      <c r="E68" s="39">
        <v>5.1000000000000004E-3</v>
      </c>
      <c r="F68" s="39">
        <f t="shared" si="50"/>
        <v>6.5500000000000003E-2</v>
      </c>
      <c r="G68" s="36">
        <f>6710881-397728</f>
        <v>6313153</v>
      </c>
      <c r="I68" s="36">
        <f t="shared" ref="I68:I73" si="54">+G68-H68</f>
        <v>6313153</v>
      </c>
      <c r="J68" s="35">
        <f t="shared" si="51"/>
        <v>5111813.5</v>
      </c>
      <c r="K68" s="36">
        <f t="shared" si="49"/>
        <v>334823.78425000003</v>
      </c>
      <c r="L68" s="38">
        <v>21630</v>
      </c>
      <c r="M68" s="36">
        <f t="shared" si="52"/>
        <v>356453.78425000003</v>
      </c>
      <c r="N68" s="38">
        <v>7489451.0599999996</v>
      </c>
      <c r="P68" s="33">
        <f t="shared" ref="P68:P73" si="55">+N68-O68</f>
        <v>7489451.0599999996</v>
      </c>
      <c r="Q68" s="34">
        <f t="shared" si="53"/>
        <v>6558797.0716666663</v>
      </c>
      <c r="R68" s="41">
        <f t="shared" si="48"/>
        <v>5.4135241245324685E-2</v>
      </c>
    </row>
    <row r="69" spans="3:19" hidden="1" x14ac:dyDescent="0.2">
      <c r="C69" s="32">
        <v>39661</v>
      </c>
      <c r="D69" s="39">
        <v>7.1800000000000003E-2</v>
      </c>
      <c r="E69" s="39">
        <v>5.1000000000000004E-3</v>
      </c>
      <c r="F69" s="39">
        <f t="shared" si="50"/>
        <v>6.6700000000000009E-2</v>
      </c>
      <c r="G69" s="36">
        <f>5927039-364355</f>
        <v>5562684</v>
      </c>
      <c r="I69" s="36">
        <f t="shared" si="54"/>
        <v>5562684</v>
      </c>
      <c r="J69" s="35">
        <f t="shared" si="51"/>
        <v>5088766.5</v>
      </c>
      <c r="K69" s="36">
        <f t="shared" si="49"/>
        <v>339420.72555000003</v>
      </c>
      <c r="L69" s="38">
        <f>L68</f>
        <v>21630</v>
      </c>
      <c r="M69" s="36">
        <f t="shared" si="52"/>
        <v>361050.72555000003</v>
      </c>
      <c r="N69" s="38">
        <v>6637034.9900000002</v>
      </c>
      <c r="P69" s="33">
        <f t="shared" si="55"/>
        <v>6637034.9900000002</v>
      </c>
      <c r="Q69" s="34">
        <f t="shared" si="53"/>
        <v>6477501.0724999988</v>
      </c>
      <c r="R69" s="41">
        <f t="shared" ref="R69:R74" si="56">+M69/Q68</f>
        <v>5.5048314745047122E-2</v>
      </c>
    </row>
    <row r="70" spans="3:19" hidden="1" x14ac:dyDescent="0.2">
      <c r="C70" s="32">
        <v>39692</v>
      </c>
      <c r="D70" s="39">
        <v>6.2199999999999998E-2</v>
      </c>
      <c r="E70" s="39">
        <v>5.1000000000000004E-3</v>
      </c>
      <c r="F70" s="39">
        <f t="shared" si="50"/>
        <v>5.7099999999999998E-2</v>
      </c>
      <c r="G70" s="36">
        <f>5594446-350271</f>
        <v>5244175</v>
      </c>
      <c r="I70" s="36">
        <f t="shared" si="54"/>
        <v>5244175</v>
      </c>
      <c r="J70" s="35">
        <f t="shared" si="51"/>
        <v>5086553.916666667</v>
      </c>
      <c r="K70" s="36">
        <f t="shared" ref="K70:K75" si="57">+F70*J70</f>
        <v>290442.22864166665</v>
      </c>
      <c r="L70" s="38">
        <f>L69</f>
        <v>21630</v>
      </c>
      <c r="M70" s="36">
        <f t="shared" si="52"/>
        <v>312072.22864166665</v>
      </c>
      <c r="N70" s="38">
        <v>6721980.54</v>
      </c>
      <c r="P70" s="33">
        <f t="shared" si="55"/>
        <v>6721980.54</v>
      </c>
      <c r="Q70" s="34">
        <f t="shared" si="53"/>
        <v>6521498.2016666671</v>
      </c>
      <c r="R70" s="41">
        <f t="shared" si="56"/>
        <v>4.817787371221878E-2</v>
      </c>
    </row>
    <row r="71" spans="3:19" hidden="1" x14ac:dyDescent="0.2">
      <c r="C71" s="32">
        <v>39722</v>
      </c>
      <c r="D71" s="39">
        <v>8.9899999999999994E-2</v>
      </c>
      <c r="E71" s="39">
        <v>1.21E-2</v>
      </c>
      <c r="F71" s="39">
        <f t="shared" si="50"/>
        <v>7.7799999999999994E-2</v>
      </c>
      <c r="G71" s="36">
        <f>4934250-266525</f>
        <v>4667725</v>
      </c>
      <c r="I71" s="36">
        <f t="shared" si="54"/>
        <v>4667725</v>
      </c>
      <c r="J71" s="35">
        <f t="shared" si="51"/>
        <v>5126994.666666667</v>
      </c>
      <c r="K71" s="36">
        <f t="shared" si="57"/>
        <v>398880.18506666669</v>
      </c>
      <c r="L71" s="38">
        <f>L70</f>
        <v>21630</v>
      </c>
      <c r="M71" s="36">
        <f t="shared" si="52"/>
        <v>420510.18506666669</v>
      </c>
      <c r="N71" s="38">
        <v>5175937.3</v>
      </c>
      <c r="P71" s="33">
        <f t="shared" si="55"/>
        <v>5175937.3</v>
      </c>
      <c r="Q71" s="34">
        <f t="shared" si="53"/>
        <v>6523414.3666666672</v>
      </c>
      <c r="R71" s="41">
        <f t="shared" si="56"/>
        <v>6.4480610446108685E-2</v>
      </c>
    </row>
    <row r="72" spans="3:19" hidden="1" x14ac:dyDescent="0.2">
      <c r="C72" s="32">
        <v>39753</v>
      </c>
      <c r="D72" s="39">
        <v>8.8999999999999996E-2</v>
      </c>
      <c r="E72" s="39">
        <v>1.21E-2</v>
      </c>
      <c r="F72" s="39">
        <f t="shared" si="50"/>
        <v>7.6899999999999996E-2</v>
      </c>
      <c r="G72" s="36">
        <f>5791462-418053</f>
        <v>5373409</v>
      </c>
      <c r="I72" s="36">
        <f t="shared" si="54"/>
        <v>5373409</v>
      </c>
      <c r="J72" s="35">
        <f t="shared" si="51"/>
        <v>5224354.333333333</v>
      </c>
      <c r="K72" s="36">
        <f t="shared" si="57"/>
        <v>401752.84823333326</v>
      </c>
      <c r="L72" s="38">
        <f>L71</f>
        <v>21630</v>
      </c>
      <c r="M72" s="36">
        <f t="shared" si="52"/>
        <v>423382.84823333326</v>
      </c>
      <c r="N72" s="38">
        <v>6489070.3200000003</v>
      </c>
      <c r="P72" s="33">
        <f t="shared" si="55"/>
        <v>6489070.3200000003</v>
      </c>
      <c r="Q72" s="34">
        <f t="shared" si="53"/>
        <v>6540051.1158333346</v>
      </c>
      <c r="R72" s="41">
        <f t="shared" si="56"/>
        <v>6.4902032039653085E-2</v>
      </c>
    </row>
    <row r="73" spans="3:19" hidden="1" x14ac:dyDescent="0.2">
      <c r="C73" s="32">
        <v>39783</v>
      </c>
      <c r="D73" s="39">
        <v>9.1999999999999998E-2</v>
      </c>
      <c r="E73" s="39">
        <v>1.21E-2</v>
      </c>
      <c r="F73" s="39">
        <f t="shared" ref="F73:F78" si="58">D73-E73</f>
        <v>7.9899999999999999E-2</v>
      </c>
      <c r="G73" s="36">
        <f>6826701-487485</f>
        <v>6339216</v>
      </c>
      <c r="I73" s="36">
        <f t="shared" si="54"/>
        <v>6339216</v>
      </c>
      <c r="J73" s="35">
        <f t="shared" ref="J73:J78" si="59">SUM(I62:I73)/12</f>
        <v>5345087.666666667</v>
      </c>
      <c r="K73" s="36">
        <f t="shared" si="57"/>
        <v>427072.50456666667</v>
      </c>
      <c r="L73" s="38">
        <f>L72</f>
        <v>21630</v>
      </c>
      <c r="M73" s="36">
        <f t="shared" ref="M73:M78" si="60">+K73+L73</f>
        <v>448702.50456666667</v>
      </c>
      <c r="N73" s="38">
        <v>9279830.1400000006</v>
      </c>
      <c r="P73" s="33">
        <f t="shared" si="55"/>
        <v>9279830.1400000006</v>
      </c>
      <c r="Q73" s="34">
        <f t="shared" ref="Q73:Q78" si="61">SUM(P62:P73)/12</f>
        <v>6736133.416666667</v>
      </c>
      <c r="R73" s="41">
        <f t="shared" si="56"/>
        <v>6.8608409417529895E-2</v>
      </c>
    </row>
    <row r="74" spans="3:19" hidden="1" x14ac:dyDescent="0.2">
      <c r="C74" s="32">
        <v>39814</v>
      </c>
      <c r="D74" s="39">
        <v>0.10349999999999999</v>
      </c>
      <c r="E74" s="39">
        <v>1.21E-2</v>
      </c>
      <c r="F74" s="39">
        <f t="shared" si="58"/>
        <v>9.1399999999999995E-2</v>
      </c>
      <c r="G74" s="36">
        <f>7328225-542202</f>
        <v>6786023</v>
      </c>
      <c r="I74" s="36">
        <f t="shared" ref="I74:I79" si="62">+G74-H74</f>
        <v>6786023</v>
      </c>
      <c r="J74" s="35">
        <f t="shared" si="59"/>
        <v>5378546.333333333</v>
      </c>
      <c r="K74" s="36">
        <f t="shared" si="57"/>
        <v>491599.13486666663</v>
      </c>
      <c r="L74" s="38"/>
      <c r="M74" s="36">
        <f t="shared" si="60"/>
        <v>491599.13486666663</v>
      </c>
      <c r="N74" s="38">
        <v>8984613.1300000008</v>
      </c>
      <c r="P74" s="33">
        <f t="shared" ref="P74:P79" si="63">+N74-O74</f>
        <v>8984613.1300000008</v>
      </c>
      <c r="Q74" s="34">
        <f t="shared" si="61"/>
        <v>6868146.5891666664</v>
      </c>
      <c r="R74" s="41">
        <f t="shared" si="56"/>
        <v>7.2979423722568035E-2</v>
      </c>
    </row>
    <row r="75" spans="3:19" ht="12.75" hidden="1" customHeight="1" x14ac:dyDescent="0.2">
      <c r="C75" s="32">
        <v>39845</v>
      </c>
      <c r="D75" s="47">
        <v>0.1022</v>
      </c>
      <c r="E75" s="47">
        <v>1.21E-2</v>
      </c>
      <c r="F75" s="47">
        <f t="shared" si="58"/>
        <v>9.01E-2</v>
      </c>
      <c r="G75" s="45">
        <f>5899903-494092</f>
        <v>5405811</v>
      </c>
      <c r="H75" s="34"/>
      <c r="I75" s="45">
        <f t="shared" si="62"/>
        <v>5405811</v>
      </c>
      <c r="J75" s="45">
        <f t="shared" si="59"/>
        <v>5355985.75</v>
      </c>
      <c r="K75" s="45">
        <f t="shared" si="57"/>
        <v>482574.31607499998</v>
      </c>
      <c r="L75" s="45"/>
      <c r="M75" s="45">
        <f t="shared" si="60"/>
        <v>482574.31607499998</v>
      </c>
      <c r="N75" s="45">
        <v>6455522.21</v>
      </c>
      <c r="O75" s="34"/>
      <c r="P75" s="34">
        <f t="shared" si="63"/>
        <v>6455522.21</v>
      </c>
      <c r="Q75" s="34">
        <f t="shared" si="61"/>
        <v>6831532.0316666663</v>
      </c>
      <c r="R75" s="41">
        <f t="shared" ref="R75:R80" si="64">+M75/Q74</f>
        <v>7.0262669820731399E-2</v>
      </c>
    </row>
    <row r="76" spans="3:19" ht="12.75" hidden="1" customHeight="1" x14ac:dyDescent="0.2">
      <c r="C76" s="32">
        <v>39873</v>
      </c>
      <c r="D76" s="47">
        <v>0.1041</v>
      </c>
      <c r="E76" s="47">
        <v>1.21E-2</v>
      </c>
      <c r="F76" s="47">
        <f t="shared" si="58"/>
        <v>9.1999999999999998E-2</v>
      </c>
      <c r="G76" s="45">
        <f>5436921-449377</f>
        <v>4987544</v>
      </c>
      <c r="H76" s="34"/>
      <c r="I76" s="45">
        <f t="shared" si="62"/>
        <v>4987544</v>
      </c>
      <c r="J76" s="45">
        <f t="shared" si="59"/>
        <v>5358243.5</v>
      </c>
      <c r="K76" s="45">
        <f t="shared" ref="K76:K81" si="65">+F76*J76</f>
        <v>492958.402</v>
      </c>
      <c r="L76" s="45"/>
      <c r="M76" s="45">
        <f t="shared" si="60"/>
        <v>492958.402</v>
      </c>
      <c r="N76" s="45">
        <v>5813946.7199999997</v>
      </c>
      <c r="O76" s="34"/>
      <c r="P76" s="34">
        <f t="shared" si="63"/>
        <v>5813946.7199999997</v>
      </c>
      <c r="Q76" s="34">
        <f t="shared" si="61"/>
        <v>6777685.9749999987</v>
      </c>
      <c r="R76" s="41">
        <f t="shared" si="64"/>
        <v>7.2159275505839143E-2</v>
      </c>
    </row>
    <row r="77" spans="3:19" hidden="1" x14ac:dyDescent="0.2">
      <c r="C77" s="32">
        <v>39904</v>
      </c>
      <c r="D77" s="47">
        <v>0.1101</v>
      </c>
      <c r="E77" s="47">
        <v>1.21E-2</v>
      </c>
      <c r="F77" s="47">
        <f t="shared" si="58"/>
        <v>9.8000000000000004E-2</v>
      </c>
      <c r="G77" s="45">
        <f>4712451-397019</f>
        <v>4315432</v>
      </c>
      <c r="H77" s="34"/>
      <c r="I77" s="45">
        <f t="shared" si="62"/>
        <v>4315432</v>
      </c>
      <c r="J77" s="45">
        <f t="shared" si="59"/>
        <v>5371520.833333333</v>
      </c>
      <c r="K77" s="45">
        <f t="shared" si="65"/>
        <v>526409.04166666663</v>
      </c>
      <c r="L77" s="45"/>
      <c r="M77" s="45">
        <f t="shared" si="60"/>
        <v>526409.04166666663</v>
      </c>
      <c r="N77" s="45">
        <v>5968229.8499999996</v>
      </c>
      <c r="O77" s="34"/>
      <c r="P77" s="34">
        <f t="shared" si="63"/>
        <v>5968229.8499999996</v>
      </c>
      <c r="Q77" s="34">
        <f t="shared" si="61"/>
        <v>6812046.1633333331</v>
      </c>
      <c r="R77" s="41">
        <f t="shared" si="64"/>
        <v>7.7667959773935494E-2</v>
      </c>
    </row>
    <row r="78" spans="3:19" hidden="1" x14ac:dyDescent="0.2">
      <c r="C78" s="32">
        <v>39934</v>
      </c>
      <c r="D78" s="47">
        <v>0.1062</v>
      </c>
      <c r="E78" s="47">
        <v>1.21E-2</v>
      </c>
      <c r="F78" s="47">
        <f t="shared" si="58"/>
        <v>9.4100000000000003E-2</v>
      </c>
      <c r="G78" s="45">
        <f>4756347-424518</f>
        <v>4331829</v>
      </c>
      <c r="H78" s="34"/>
      <c r="I78" s="45">
        <f t="shared" si="62"/>
        <v>4331829</v>
      </c>
      <c r="J78" s="45">
        <f t="shared" si="59"/>
        <v>5384938.083333333</v>
      </c>
      <c r="K78" s="45">
        <f t="shared" si="65"/>
        <v>506722.67364166665</v>
      </c>
      <c r="L78" s="45"/>
      <c r="M78" s="45">
        <f t="shared" si="60"/>
        <v>506722.67364166665</v>
      </c>
      <c r="N78" s="45">
        <v>6046577.1900000004</v>
      </c>
      <c r="O78" s="34"/>
      <c r="P78" s="34">
        <f t="shared" si="63"/>
        <v>6046577.1900000004</v>
      </c>
      <c r="Q78" s="34">
        <f t="shared" si="61"/>
        <v>6863971.9491666667</v>
      </c>
      <c r="R78" s="41">
        <f t="shared" si="64"/>
        <v>7.4386265373414973E-2</v>
      </c>
    </row>
    <row r="79" spans="3:19" hidden="1" x14ac:dyDescent="0.2">
      <c r="C79" s="32">
        <v>39965</v>
      </c>
      <c r="D79" s="47">
        <v>0.111</v>
      </c>
      <c r="E79" s="47">
        <v>1.21E-2</v>
      </c>
      <c r="F79" s="47">
        <f t="shared" ref="F79:F84" si="66">D79-E79</f>
        <v>9.8900000000000002E-2</v>
      </c>
      <c r="G79" s="45">
        <f>5654474-486319</f>
        <v>5168155</v>
      </c>
      <c r="H79" s="34"/>
      <c r="I79" s="45">
        <f t="shared" si="62"/>
        <v>5168155</v>
      </c>
      <c r="J79" s="45">
        <f t="shared" ref="J79:J84" si="67">SUM(I68:I79)/12</f>
        <v>5374596.333333333</v>
      </c>
      <c r="K79" s="45">
        <f t="shared" si="65"/>
        <v>531547.57736666664</v>
      </c>
      <c r="L79" s="45"/>
      <c r="M79" s="45">
        <f t="shared" ref="M79:M84" si="68">+K79+L79</f>
        <v>531547.57736666664</v>
      </c>
      <c r="N79" s="45">
        <v>7178116.9199999999</v>
      </c>
      <c r="O79" s="34"/>
      <c r="P79" s="34">
        <f t="shared" si="63"/>
        <v>7178116.9199999999</v>
      </c>
      <c r="Q79" s="34">
        <f t="shared" ref="Q79:Q84" si="69">SUM(P68:P79)/12</f>
        <v>6853359.1975000007</v>
      </c>
      <c r="R79" s="41">
        <f t="shared" si="64"/>
        <v>7.7440231589407965E-2</v>
      </c>
    </row>
    <row r="80" spans="3:19" hidden="1" x14ac:dyDescent="0.2">
      <c r="C80" s="32">
        <v>39995</v>
      </c>
      <c r="D80" s="47">
        <v>0.1124</v>
      </c>
      <c r="E80" s="47">
        <v>1.21E-2</v>
      </c>
      <c r="F80" s="47">
        <f t="shared" si="66"/>
        <v>0.1003</v>
      </c>
      <c r="G80" s="45">
        <f>5653164-508780</f>
        <v>5144384</v>
      </c>
      <c r="H80" s="34"/>
      <c r="I80" s="45">
        <f t="shared" ref="I80:I85" si="70">+G80-H80</f>
        <v>5144384</v>
      </c>
      <c r="J80" s="45">
        <f t="shared" si="67"/>
        <v>5277198.916666667</v>
      </c>
      <c r="K80" s="45">
        <f t="shared" si="65"/>
        <v>529303.05134166672</v>
      </c>
      <c r="L80" s="45"/>
      <c r="M80" s="45">
        <f t="shared" si="68"/>
        <v>529303.05134166672</v>
      </c>
      <c r="N80" s="45">
        <v>7084591.6699999999</v>
      </c>
      <c r="O80" s="34"/>
      <c r="P80" s="34">
        <f t="shared" ref="P80:P85" si="71">+N80-O80</f>
        <v>7084591.6699999999</v>
      </c>
      <c r="Q80" s="34">
        <f t="shared" si="69"/>
        <v>6819620.9150000019</v>
      </c>
      <c r="R80" s="41">
        <f t="shared" si="64"/>
        <v>7.7232644034585005E-2</v>
      </c>
    </row>
    <row r="81" spans="3:18" hidden="1" x14ac:dyDescent="0.2">
      <c r="C81" s="32">
        <v>40026</v>
      </c>
      <c r="D81" s="47">
        <v>0.11890000000000001</v>
      </c>
      <c r="E81" s="47">
        <v>1.21E-2</v>
      </c>
      <c r="F81" s="47">
        <f t="shared" si="66"/>
        <v>0.10680000000000001</v>
      </c>
      <c r="G81" s="45">
        <f>6011005-547945</f>
        <v>5463060</v>
      </c>
      <c r="H81" s="34"/>
      <c r="I81" s="45">
        <f t="shared" si="70"/>
        <v>5463060</v>
      </c>
      <c r="J81" s="45">
        <f t="shared" si="67"/>
        <v>5268896.916666667</v>
      </c>
      <c r="K81" s="45">
        <f t="shared" si="65"/>
        <v>562718.19070000004</v>
      </c>
      <c r="L81" s="45"/>
      <c r="M81" s="45">
        <f t="shared" si="68"/>
        <v>562718.19070000004</v>
      </c>
      <c r="N81" s="45">
        <v>6817593</v>
      </c>
      <c r="O81" s="34"/>
      <c r="P81" s="34">
        <f t="shared" si="71"/>
        <v>6817593</v>
      </c>
      <c r="Q81" s="34">
        <f t="shared" si="69"/>
        <v>6834667.4158333326</v>
      </c>
      <c r="R81" s="41">
        <f t="shared" ref="R81:R86" si="72">+M81/Q80</f>
        <v>8.251458515271444E-2</v>
      </c>
    </row>
    <row r="82" spans="3:18" hidden="1" x14ac:dyDescent="0.2">
      <c r="C82" s="32">
        <v>40057</v>
      </c>
      <c r="D82" s="47">
        <v>0.11749999999999999</v>
      </c>
      <c r="E82" s="47">
        <v>1.21E-2</v>
      </c>
      <c r="F82" s="47">
        <f t="shared" si="66"/>
        <v>0.10539999999999999</v>
      </c>
      <c r="G82" s="45">
        <f>5106314-492731</f>
        <v>4613583</v>
      </c>
      <c r="H82" s="34"/>
      <c r="I82" s="45">
        <f t="shared" si="70"/>
        <v>4613583</v>
      </c>
      <c r="J82" s="45">
        <f t="shared" si="67"/>
        <v>5216347.583333333</v>
      </c>
      <c r="K82" s="45">
        <f t="shared" ref="K82:K87" si="73">+F82*J82</f>
        <v>549803.03528333327</v>
      </c>
      <c r="L82" s="45"/>
      <c r="M82" s="45">
        <f t="shared" si="68"/>
        <v>549803.03528333327</v>
      </c>
      <c r="N82" s="45">
        <v>6174061.6900000004</v>
      </c>
      <c r="O82" s="34"/>
      <c r="P82" s="34">
        <f t="shared" si="71"/>
        <v>6174061.6900000004</v>
      </c>
      <c r="Q82" s="34">
        <f t="shared" si="69"/>
        <v>6789007.5116666667</v>
      </c>
      <c r="R82" s="41">
        <f t="shared" si="72"/>
        <v>8.0443275704922837E-2</v>
      </c>
    </row>
    <row r="83" spans="3:18" hidden="1" x14ac:dyDescent="0.2">
      <c r="C83" s="32">
        <v>40087</v>
      </c>
      <c r="D83" s="47">
        <f>'[1]Form 1.0'!$H$20</f>
        <v>8.3385711707093149E-2</v>
      </c>
      <c r="E83" s="47">
        <v>1.21E-2</v>
      </c>
      <c r="F83" s="47">
        <f t="shared" si="66"/>
        <v>7.128571170709315E-2</v>
      </c>
      <c r="G83" s="45">
        <f>4238828-404173</f>
        <v>3834655</v>
      </c>
      <c r="H83" s="34"/>
      <c r="I83" s="45">
        <f t="shared" si="70"/>
        <v>3834655</v>
      </c>
      <c r="J83" s="45">
        <f t="shared" si="67"/>
        <v>5146925.083333333</v>
      </c>
      <c r="K83" s="45">
        <f t="shared" si="73"/>
        <v>366902.21766850638</v>
      </c>
      <c r="L83" s="45">
        <v>-59273</v>
      </c>
      <c r="M83" s="45">
        <f t="shared" si="68"/>
        <v>307629.21766850638</v>
      </c>
      <c r="N83" s="45">
        <v>5108614.92</v>
      </c>
      <c r="O83" s="34"/>
      <c r="P83" s="34">
        <f t="shared" si="71"/>
        <v>5108614.92</v>
      </c>
      <c r="Q83" s="34">
        <f t="shared" si="69"/>
        <v>6783397.3133333335</v>
      </c>
      <c r="R83" s="41">
        <f t="shared" si="72"/>
        <v>4.5312840962372862E-2</v>
      </c>
    </row>
    <row r="84" spans="3:18" hidden="1" x14ac:dyDescent="0.2">
      <c r="C84" s="32">
        <v>40118</v>
      </c>
      <c r="D84" s="47">
        <f>'[2]Form 1.0'!$H$20</f>
        <v>9.4326189721395101E-2</v>
      </c>
      <c r="E84" s="47">
        <f>E83</f>
        <v>1.21E-2</v>
      </c>
      <c r="F84" s="47">
        <f t="shared" si="66"/>
        <v>8.2226189721395102E-2</v>
      </c>
      <c r="G84" s="45">
        <f>4455384-296526</f>
        <v>4158858</v>
      </c>
      <c r="H84" s="34"/>
      <c r="I84" s="45">
        <f t="shared" si="70"/>
        <v>4158858</v>
      </c>
      <c r="J84" s="45">
        <f t="shared" si="67"/>
        <v>5045712.5</v>
      </c>
      <c r="K84" s="45">
        <f t="shared" si="73"/>
        <v>414889.71330461476</v>
      </c>
      <c r="L84" s="45">
        <f>L83</f>
        <v>-59273</v>
      </c>
      <c r="M84" s="45">
        <f t="shared" si="68"/>
        <v>355616.71330461476</v>
      </c>
      <c r="N84" s="45">
        <v>5345385.09</v>
      </c>
      <c r="O84" s="34"/>
      <c r="P84" s="34">
        <f t="shared" si="71"/>
        <v>5345385.09</v>
      </c>
      <c r="Q84" s="34">
        <f t="shared" si="69"/>
        <v>6688090.2108333344</v>
      </c>
      <c r="R84" s="41">
        <f t="shared" si="72"/>
        <v>5.2424573834945573E-2</v>
      </c>
    </row>
    <row r="85" spans="3:18" hidden="1" x14ac:dyDescent="0.2">
      <c r="C85" s="32">
        <v>40148</v>
      </c>
      <c r="D85" s="47">
        <f>'[3]Form 1.0'!$H$20</f>
        <v>0.14590105297536887</v>
      </c>
      <c r="E85" s="47">
        <f>E84</f>
        <v>1.21E-2</v>
      </c>
      <c r="F85" s="47">
        <f t="shared" ref="F85:F90" si="74">D85-E85</f>
        <v>0.13380105297536887</v>
      </c>
      <c r="G85" s="45">
        <f>6414880-487252</f>
        <v>5927628</v>
      </c>
      <c r="H85" s="34"/>
      <c r="I85" s="45">
        <f t="shared" si="70"/>
        <v>5927628</v>
      </c>
      <c r="J85" s="45">
        <f t="shared" ref="J85:J90" si="75">SUM(I74:I85)/12</f>
        <v>5011413.5</v>
      </c>
      <c r="K85" s="45">
        <f t="shared" si="73"/>
        <v>670532.40319497872</v>
      </c>
      <c r="L85" s="45">
        <f>[4]SR!H66</f>
        <v>-36675</v>
      </c>
      <c r="M85" s="45">
        <f t="shared" ref="M85:M90" si="76">+K85+L85</f>
        <v>633857.40319497872</v>
      </c>
      <c r="N85" s="45">
        <v>8098841.0999999996</v>
      </c>
      <c r="O85" s="34"/>
      <c r="P85" s="34">
        <f t="shared" si="71"/>
        <v>8098841.0999999996</v>
      </c>
      <c r="Q85" s="34">
        <f t="shared" ref="Q85:Q90" si="77">SUM(P74:P85)/12</f>
        <v>6589674.4574999996</v>
      </c>
      <c r="R85" s="41">
        <f t="shared" si="72"/>
        <v>9.4774051068907489E-2</v>
      </c>
    </row>
    <row r="86" spans="3:18" hidden="1" x14ac:dyDescent="0.2">
      <c r="C86" s="32">
        <v>40179</v>
      </c>
      <c r="D86" s="47">
        <f>'[5]Form 1.0'!$H$20</f>
        <v>0.1361470278098281</v>
      </c>
      <c r="E86" s="47">
        <v>0</v>
      </c>
      <c r="F86" s="47">
        <f t="shared" si="74"/>
        <v>0.1361470278098281</v>
      </c>
      <c r="G86" s="45">
        <f>8163635-963394</f>
        <v>7200241</v>
      </c>
      <c r="H86" s="34"/>
      <c r="I86" s="45">
        <f t="shared" ref="I86:I91" si="78">+G86-H86</f>
        <v>7200241</v>
      </c>
      <c r="J86" s="45">
        <f t="shared" si="75"/>
        <v>5045931.666666667</v>
      </c>
      <c r="K86" s="45">
        <f t="shared" si="73"/>
        <v>686988.59894815891</v>
      </c>
      <c r="L86" s="45">
        <f>[6]SR!H67-34749</f>
        <v>-60340</v>
      </c>
      <c r="M86" s="45">
        <f t="shared" si="76"/>
        <v>626648.59894815891</v>
      </c>
      <c r="N86" s="45">
        <v>9451549.4199999999</v>
      </c>
      <c r="O86" s="34"/>
      <c r="P86" s="34">
        <f t="shared" ref="P86:P91" si="79">+N86-O86</f>
        <v>9451549.4199999999</v>
      </c>
      <c r="Q86" s="34">
        <f t="shared" si="77"/>
        <v>6628585.8150000004</v>
      </c>
      <c r="R86" s="41">
        <f t="shared" si="72"/>
        <v>9.5095532107043995E-2</v>
      </c>
    </row>
    <row r="87" spans="3:18" hidden="1" x14ac:dyDescent="0.2">
      <c r="C87" s="32">
        <v>40210</v>
      </c>
      <c r="D87" s="47">
        <f>'[7]Form 1.0'!$H$20</f>
        <v>0.10677660128078398</v>
      </c>
      <c r="E87" s="47">
        <v>0</v>
      </c>
      <c r="F87" s="47">
        <f t="shared" si="74"/>
        <v>0.10677660128078398</v>
      </c>
      <c r="G87" s="45">
        <f>7499018-898348</f>
        <v>6600670</v>
      </c>
      <c r="H87" s="34"/>
      <c r="I87" s="45">
        <f t="shared" si="78"/>
        <v>6600670</v>
      </c>
      <c r="J87" s="45">
        <f t="shared" si="75"/>
        <v>5145503.25</v>
      </c>
      <c r="K87" s="45">
        <f t="shared" si="73"/>
        <v>549419.34891422815</v>
      </c>
      <c r="L87" s="45">
        <f>[6]SR!H68-34749</f>
        <v>-196761</v>
      </c>
      <c r="M87" s="45">
        <f t="shared" si="76"/>
        <v>352658.34891422815</v>
      </c>
      <c r="N87" s="45">
        <v>8575652.5899999999</v>
      </c>
      <c r="O87" s="34"/>
      <c r="P87" s="34">
        <f t="shared" si="79"/>
        <v>8575652.5899999999</v>
      </c>
      <c r="Q87" s="34">
        <f t="shared" si="77"/>
        <v>6805263.3466666667</v>
      </c>
      <c r="R87" s="41">
        <f t="shared" ref="R87:R92" si="80">+M87/Q86</f>
        <v>5.3202652685915043E-2</v>
      </c>
    </row>
    <row r="88" spans="3:18" hidden="1" x14ac:dyDescent="0.2">
      <c r="C88" s="32">
        <v>40238</v>
      </c>
      <c r="D88" s="47">
        <f>'[8]Form 1.0'!$H$20</f>
        <v>5.2688746350572933E-2</v>
      </c>
      <c r="E88" s="47">
        <v>0</v>
      </c>
      <c r="F88" s="47">
        <f t="shared" si="74"/>
        <v>5.2688746350572933E-2</v>
      </c>
      <c r="G88" s="45">
        <f>5474710-528280</f>
        <v>4946430</v>
      </c>
      <c r="H88" s="34"/>
      <c r="I88" s="45">
        <f t="shared" si="78"/>
        <v>4946430</v>
      </c>
      <c r="J88" s="45">
        <f t="shared" si="75"/>
        <v>5142077.083333333</v>
      </c>
      <c r="K88" s="45">
        <f t="shared" ref="K88:K93" si="81">+F88*J88</f>
        <v>270929.59515884385</v>
      </c>
      <c r="L88" s="45">
        <f>[6]SR!H69</f>
        <v>155366.47999999998</v>
      </c>
      <c r="M88" s="45">
        <f t="shared" si="76"/>
        <v>426296.07515884383</v>
      </c>
      <c r="N88" s="45">
        <v>6402211.6500000004</v>
      </c>
      <c r="O88" s="34"/>
      <c r="P88" s="34">
        <f t="shared" si="79"/>
        <v>6402211.6500000004</v>
      </c>
      <c r="Q88" s="34">
        <f t="shared" si="77"/>
        <v>6854285.4241666673</v>
      </c>
      <c r="R88" s="41">
        <f t="shared" si="80"/>
        <v>6.264211294154412E-2</v>
      </c>
    </row>
    <row r="89" spans="3:18" hidden="1" x14ac:dyDescent="0.2">
      <c r="C89" s="32">
        <v>40269</v>
      </c>
      <c r="D89" s="47">
        <f>'[9]Form 1.0'!$H$20</f>
        <v>6.750351882627266E-2</v>
      </c>
      <c r="E89" s="47">
        <v>0</v>
      </c>
      <c r="F89" s="47">
        <f t="shared" si="74"/>
        <v>6.750351882627266E-2</v>
      </c>
      <c r="G89" s="45">
        <f>3586933-179569</f>
        <v>3407364</v>
      </c>
      <c r="H89" s="34"/>
      <c r="I89" s="45">
        <f t="shared" si="78"/>
        <v>3407364</v>
      </c>
      <c r="J89" s="45">
        <f t="shared" si="75"/>
        <v>5066404.75</v>
      </c>
      <c r="K89" s="45">
        <f t="shared" si="81"/>
        <v>342000.14842314221</v>
      </c>
      <c r="L89" s="45">
        <f>[6]SR!H70</f>
        <v>529665.19999999995</v>
      </c>
      <c r="M89" s="45">
        <f t="shared" si="76"/>
        <v>871665.34842314222</v>
      </c>
      <c r="N89" s="45">
        <v>4971497.9800000004</v>
      </c>
      <c r="O89" s="34"/>
      <c r="P89" s="34">
        <f t="shared" si="79"/>
        <v>4971497.9800000004</v>
      </c>
      <c r="Q89" s="34">
        <f t="shared" si="77"/>
        <v>6771224.4350000015</v>
      </c>
      <c r="R89" s="41">
        <f t="shared" si="80"/>
        <v>0.12717085654907898</v>
      </c>
    </row>
    <row r="90" spans="3:18" hidden="1" x14ac:dyDescent="0.2">
      <c r="C90" s="32">
        <v>40299</v>
      </c>
      <c r="D90" s="47">
        <f>'[10]Form 1.0'!$H$20</f>
        <v>0.11103310077324695</v>
      </c>
      <c r="E90" s="47">
        <v>0</v>
      </c>
      <c r="F90" s="47">
        <f t="shared" si="74"/>
        <v>0.11103310077324695</v>
      </c>
      <c r="G90" s="48">
        <f>4632916-292949</f>
        <v>4339967</v>
      </c>
      <c r="H90" s="34"/>
      <c r="I90" s="45">
        <f t="shared" si="78"/>
        <v>4339967</v>
      </c>
      <c r="J90" s="45">
        <f t="shared" si="75"/>
        <v>5067082.916666667</v>
      </c>
      <c r="K90" s="45">
        <f t="shared" si="81"/>
        <v>562613.92811264808</v>
      </c>
      <c r="L90" s="45">
        <f>[6]SR!H71</f>
        <v>100355.26000000001</v>
      </c>
      <c r="M90" s="45">
        <f t="shared" si="76"/>
        <v>662969.18811264809</v>
      </c>
      <c r="N90" s="45">
        <v>5241272.68</v>
      </c>
      <c r="O90" s="34"/>
      <c r="P90" s="34">
        <f t="shared" si="79"/>
        <v>5241272.68</v>
      </c>
      <c r="Q90" s="34">
        <f t="shared" si="77"/>
        <v>6704115.725833334</v>
      </c>
      <c r="R90" s="41">
        <f t="shared" si="80"/>
        <v>9.7909793786453925E-2</v>
      </c>
    </row>
    <row r="91" spans="3:18" hidden="1" x14ac:dyDescent="0.2">
      <c r="C91" s="32">
        <v>40330</v>
      </c>
      <c r="D91" s="47">
        <f>'[11]Form 1.0'!$H$20</f>
        <v>0.13188866003484037</v>
      </c>
      <c r="E91" s="47">
        <v>0</v>
      </c>
      <c r="F91" s="47">
        <f t="shared" ref="F91:F96" si="82">D91-E91</f>
        <v>0.13188866003484037</v>
      </c>
      <c r="G91" s="48">
        <f>6676989-667098</f>
        <v>6009891</v>
      </c>
      <c r="H91" s="34"/>
      <c r="I91" s="45">
        <f t="shared" si="78"/>
        <v>6009891</v>
      </c>
      <c r="J91" s="45">
        <f t="shared" ref="J91:J96" si="83">SUM(I80:I91)/12</f>
        <v>5137227.583333333</v>
      </c>
      <c r="K91" s="45">
        <f t="shared" si="81"/>
        <v>677542.06225985452</v>
      </c>
      <c r="L91" s="45">
        <f>[6]SR!H72</f>
        <v>-148670.22999999998</v>
      </c>
      <c r="M91" s="45">
        <f t="shared" ref="M91:M96" si="84">+K91+L91</f>
        <v>528871.83225985453</v>
      </c>
      <c r="N91" s="45">
        <v>8486120.6699999999</v>
      </c>
      <c r="O91" s="34"/>
      <c r="P91" s="34">
        <f t="shared" si="79"/>
        <v>8486120.6699999999</v>
      </c>
      <c r="Q91" s="34">
        <f t="shared" ref="Q91:Q96" si="85">SUM(P80:P91)/12</f>
        <v>6813116.0383333331</v>
      </c>
      <c r="R91" s="41">
        <f t="shared" si="80"/>
        <v>7.8887634684157368E-2</v>
      </c>
    </row>
    <row r="92" spans="3:18" hidden="1" x14ac:dyDescent="0.2">
      <c r="C92" s="32">
        <v>40360</v>
      </c>
      <c r="D92" s="47">
        <f>'[12]Form 1.0'!$H$20</f>
        <v>0.12894002233333171</v>
      </c>
      <c r="E92" s="47">
        <v>0</v>
      </c>
      <c r="F92" s="47">
        <f t="shared" si="82"/>
        <v>0.12894002233333171</v>
      </c>
      <c r="G92" s="48">
        <f>7484763-872195</f>
        <v>6612568</v>
      </c>
      <c r="H92" s="34"/>
      <c r="I92" s="45">
        <f t="shared" ref="I92:I97" si="86">+G92-H92</f>
        <v>6612568</v>
      </c>
      <c r="J92" s="45">
        <f t="shared" si="83"/>
        <v>5259576.25</v>
      </c>
      <c r="K92" s="45">
        <f t="shared" si="81"/>
        <v>678169.87913886108</v>
      </c>
      <c r="L92" s="45">
        <f>[6]SR!H73</f>
        <v>-127195.62</v>
      </c>
      <c r="M92" s="45">
        <f t="shared" si="84"/>
        <v>550974.25913886109</v>
      </c>
      <c r="N92" s="45">
        <f>8694887.62-1000000</f>
        <v>7694887.6199999992</v>
      </c>
      <c r="O92" s="34"/>
      <c r="P92" s="34">
        <f t="shared" ref="P92:P107" si="87">+N92-O92</f>
        <v>7694887.6199999992</v>
      </c>
      <c r="Q92" s="34">
        <f t="shared" si="85"/>
        <v>6863974.0341666667</v>
      </c>
      <c r="R92" s="41">
        <f t="shared" si="80"/>
        <v>8.0869642618569562E-2</v>
      </c>
    </row>
    <row r="93" spans="3:18" hidden="1" x14ac:dyDescent="0.2">
      <c r="C93" s="32">
        <v>40391</v>
      </c>
      <c r="D93" s="47">
        <f>'[13]Form 1.0'!$H$20</f>
        <v>0.11323565448999388</v>
      </c>
      <c r="E93" s="47">
        <v>0</v>
      </c>
      <c r="F93" s="47">
        <f t="shared" si="82"/>
        <v>0.11323565448999388</v>
      </c>
      <c r="G93" s="48">
        <f>7442824-849837</f>
        <v>6592987</v>
      </c>
      <c r="H93" s="34"/>
      <c r="I93" s="45">
        <f t="shared" si="86"/>
        <v>6592987</v>
      </c>
      <c r="J93" s="45">
        <f t="shared" si="83"/>
        <v>5353736.833333333</v>
      </c>
      <c r="K93" s="45">
        <f t="shared" si="81"/>
        <v>606233.89428968728</v>
      </c>
      <c r="L93" s="45">
        <f>[6]SR!H74</f>
        <v>-67786.669999999984</v>
      </c>
      <c r="M93" s="45">
        <f t="shared" si="84"/>
        <v>538447.22428968735</v>
      </c>
      <c r="N93" s="45">
        <v>8332039.3899999997</v>
      </c>
      <c r="O93" s="34"/>
      <c r="P93" s="34">
        <f t="shared" si="87"/>
        <v>8332039.3899999997</v>
      </c>
      <c r="Q93" s="34">
        <f t="shared" si="85"/>
        <v>6990177.8999999994</v>
      </c>
      <c r="R93" s="41">
        <f t="shared" ref="R93:R99" si="88">+M93/Q92</f>
        <v>7.8445405185023909E-2</v>
      </c>
    </row>
    <row r="94" spans="3:18" hidden="1" x14ac:dyDescent="0.2">
      <c r="C94" s="32">
        <v>40422</v>
      </c>
      <c r="D94" s="47">
        <f>'[14]Form 1.0'!$H$20</f>
        <v>9.542427390594671E-2</v>
      </c>
      <c r="E94" s="47">
        <v>0</v>
      </c>
      <c r="F94" s="47">
        <f t="shared" si="82"/>
        <v>9.542427390594671E-2</v>
      </c>
      <c r="G94" s="48">
        <f>5802573-590059</f>
        <v>5212514</v>
      </c>
      <c r="H94" s="34"/>
      <c r="I94" s="45">
        <f t="shared" si="86"/>
        <v>5212514</v>
      </c>
      <c r="J94" s="45">
        <f t="shared" si="83"/>
        <v>5403647.75</v>
      </c>
      <c r="K94" s="45">
        <f t="shared" ref="K94:K99" si="89">+F94*J94</f>
        <v>515639.16298725264</v>
      </c>
      <c r="L94" s="45">
        <f>[6]SR!H75</f>
        <v>-239177.93000000005</v>
      </c>
      <c r="M94" s="45">
        <f t="shared" si="84"/>
        <v>276461.23298725259</v>
      </c>
      <c r="N94" s="45">
        <v>6790198.4699999997</v>
      </c>
      <c r="O94" s="34"/>
      <c r="P94" s="34">
        <f t="shared" si="87"/>
        <v>6790198.4699999997</v>
      </c>
      <c r="Q94" s="34">
        <f t="shared" si="85"/>
        <v>7041522.6316666668</v>
      </c>
      <c r="R94" s="41">
        <f t="shared" si="88"/>
        <v>3.9549956659508279E-2</v>
      </c>
    </row>
    <row r="95" spans="3:18" hidden="1" x14ac:dyDescent="0.2">
      <c r="C95" s="32">
        <v>40452</v>
      </c>
      <c r="D95" s="47">
        <f>'[15]Form 1.0'!$H$20</f>
        <v>0.12265232976770672</v>
      </c>
      <c r="E95" s="47">
        <v>0</v>
      </c>
      <c r="F95" s="47">
        <f t="shared" si="82"/>
        <v>0.12265232976770672</v>
      </c>
      <c r="G95" s="48">
        <f>4100312-357104</f>
        <v>3743208</v>
      </c>
      <c r="H95" s="34"/>
      <c r="I95" s="45">
        <f t="shared" si="86"/>
        <v>3743208</v>
      </c>
      <c r="J95" s="45">
        <f t="shared" si="83"/>
        <v>5396027.166666667</v>
      </c>
      <c r="K95" s="45">
        <f t="shared" si="89"/>
        <v>661835.3034815042</v>
      </c>
      <c r="L95" s="45">
        <v>-30682</v>
      </c>
      <c r="M95" s="45">
        <f t="shared" si="84"/>
        <v>631153.3034815042</v>
      </c>
      <c r="N95" s="45">
        <v>5025188.2699999996</v>
      </c>
      <c r="O95" s="34"/>
      <c r="P95" s="34">
        <f t="shared" si="87"/>
        <v>5025188.2699999996</v>
      </c>
      <c r="Q95" s="34">
        <f t="shared" si="85"/>
        <v>7034570.4108333327</v>
      </c>
      <c r="R95" s="41">
        <f t="shared" si="88"/>
        <v>8.9633071779550003E-2</v>
      </c>
    </row>
    <row r="96" spans="3:18" hidden="1" x14ac:dyDescent="0.2">
      <c r="C96" s="32">
        <v>40483</v>
      </c>
      <c r="D96" s="47">
        <f>'[16]Form 1.0'!$H$20</f>
        <v>0.15846049484313979</v>
      </c>
      <c r="E96" s="47">
        <v>0</v>
      </c>
      <c r="F96" s="47">
        <f t="shared" si="82"/>
        <v>0.15846049484313979</v>
      </c>
      <c r="G96" s="48">
        <f>4828287-527681</f>
        <v>4300606</v>
      </c>
      <c r="H96" s="34"/>
      <c r="I96" s="45">
        <f t="shared" si="86"/>
        <v>4300606</v>
      </c>
      <c r="J96" s="45">
        <f t="shared" si="83"/>
        <v>5407839.5</v>
      </c>
      <c r="K96" s="45">
        <f t="shared" si="89"/>
        <v>856928.92320227763</v>
      </c>
      <c r="L96" s="45">
        <v>-30682</v>
      </c>
      <c r="M96" s="45">
        <f t="shared" si="84"/>
        <v>826246.92320227763</v>
      </c>
      <c r="N96" s="45">
        <v>6325769.6299999999</v>
      </c>
      <c r="O96" s="34"/>
      <c r="P96" s="34">
        <f t="shared" si="87"/>
        <v>6325769.6299999999</v>
      </c>
      <c r="Q96" s="34">
        <f t="shared" si="85"/>
        <v>7116269.1224999987</v>
      </c>
      <c r="R96" s="41">
        <f t="shared" si="88"/>
        <v>0.11745520692064526</v>
      </c>
    </row>
    <row r="97" spans="3:18" hidden="1" x14ac:dyDescent="0.2">
      <c r="C97" s="32">
        <v>40513</v>
      </c>
      <c r="D97" s="47">
        <f>'[17]Form 1.0'!$H$20</f>
        <v>0.14711863184623605</v>
      </c>
      <c r="E97" s="47">
        <v>0</v>
      </c>
      <c r="F97" s="47">
        <f>D97-E97</f>
        <v>0.14711863184623605</v>
      </c>
      <c r="G97" s="48">
        <f>8277990-1132552</f>
        <v>7145438</v>
      </c>
      <c r="H97" s="34"/>
      <c r="I97" s="45">
        <f t="shared" si="86"/>
        <v>7145438</v>
      </c>
      <c r="J97" s="45">
        <f t="shared" ref="J97:J103" si="90">SUM(I86:I97)/12</f>
        <v>5509323.666666667</v>
      </c>
      <c r="K97" s="45">
        <f t="shared" si="89"/>
        <v>810524.16023808869</v>
      </c>
      <c r="L97" s="45">
        <v>-30681</v>
      </c>
      <c r="M97" s="45">
        <f t="shared" ref="M97:M102" si="91">+K97+L97</f>
        <v>779843.16023808869</v>
      </c>
      <c r="N97" s="45">
        <v>9258586.6300000008</v>
      </c>
      <c r="O97" s="34"/>
      <c r="P97" s="34">
        <f t="shared" si="87"/>
        <v>9258586.6300000008</v>
      </c>
      <c r="Q97" s="34">
        <f t="shared" ref="Q97:Q105" si="92">SUM(P86:P97)/12</f>
        <v>7212914.5833333321</v>
      </c>
      <c r="R97" s="41">
        <f t="shared" si="88"/>
        <v>0.10958595674416034</v>
      </c>
    </row>
    <row r="98" spans="3:18" hidden="1" x14ac:dyDescent="0.2">
      <c r="C98" s="32">
        <v>40544</v>
      </c>
      <c r="D98" s="47">
        <f>'[18]Form 1.0'!$H$20</f>
        <v>6.4705701936854237E-2</v>
      </c>
      <c r="E98" s="47">
        <v>0</v>
      </c>
      <c r="F98" s="47">
        <f>D98-E98</f>
        <v>6.4705701936854237E-2</v>
      </c>
      <c r="G98" s="48">
        <f>8437240-1081962</f>
        <v>7355278</v>
      </c>
      <c r="H98" s="34"/>
      <c r="I98" s="45">
        <f t="shared" ref="I98" si="93">+G98-H98</f>
        <v>7355278</v>
      </c>
      <c r="J98" s="45">
        <f t="shared" si="90"/>
        <v>5522243.416666667</v>
      </c>
      <c r="K98" s="45">
        <f t="shared" si="89"/>
        <v>357320.63654158893</v>
      </c>
      <c r="L98" s="45">
        <f>-L97</f>
        <v>30681</v>
      </c>
      <c r="M98" s="45">
        <f t="shared" si="91"/>
        <v>388001.63654158893</v>
      </c>
      <c r="N98" s="45">
        <v>9446000.3100000005</v>
      </c>
      <c r="O98" s="34"/>
      <c r="P98" s="34">
        <f t="shared" si="87"/>
        <v>9446000.3100000005</v>
      </c>
      <c r="Q98" s="34">
        <f t="shared" si="92"/>
        <v>7212452.1574999988</v>
      </c>
      <c r="R98" s="41">
        <f t="shared" si="88"/>
        <v>5.3792628771472326E-2</v>
      </c>
    </row>
    <row r="99" spans="3:18" hidden="1" x14ac:dyDescent="0.2">
      <c r="C99" s="32">
        <v>40575</v>
      </c>
      <c r="D99" s="47">
        <f>'[19]Form 1.0'!$H$23</f>
        <v>6.4534784465299963E-2</v>
      </c>
      <c r="E99" s="47">
        <v>0</v>
      </c>
      <c r="F99" s="47">
        <f>D99-E99</f>
        <v>6.4534784465299963E-2</v>
      </c>
      <c r="G99" s="34">
        <f>6412023-389593</f>
        <v>6022430</v>
      </c>
      <c r="H99" s="34"/>
      <c r="I99" s="45">
        <f t="shared" ref="I99" si="94">+G99-H99</f>
        <v>6022430</v>
      </c>
      <c r="J99" s="45">
        <f t="shared" si="90"/>
        <v>5474056.75</v>
      </c>
      <c r="K99" s="45">
        <f t="shared" si="89"/>
        <v>353267.07251207042</v>
      </c>
      <c r="L99" s="46">
        <v>0</v>
      </c>
      <c r="M99" s="45">
        <f t="shared" si="91"/>
        <v>353267.07251207042</v>
      </c>
      <c r="N99" s="34">
        <v>7102805.0599999996</v>
      </c>
      <c r="O99" s="34"/>
      <c r="P99" s="34">
        <f t="shared" si="87"/>
        <v>7102805.0599999996</v>
      </c>
      <c r="Q99" s="34">
        <f t="shared" si="92"/>
        <v>7089714.8633333342</v>
      </c>
      <c r="R99" s="41">
        <f t="shared" si="88"/>
        <v>4.8980161642350618E-2</v>
      </c>
    </row>
    <row r="100" spans="3:18" hidden="1" x14ac:dyDescent="0.2">
      <c r="C100" s="32">
        <v>40603</v>
      </c>
      <c r="D100" s="47">
        <v>0.1159</v>
      </c>
      <c r="E100" s="47">
        <v>0</v>
      </c>
      <c r="F100" s="47">
        <f t="shared" ref="F100:F108" si="95">D100-E100%</f>
        <v>0.1159</v>
      </c>
      <c r="G100" s="34">
        <f>5435700-329360</f>
        <v>5106340</v>
      </c>
      <c r="H100" s="34"/>
      <c r="I100" s="45">
        <f t="shared" ref="I100" si="96">+G100-H100</f>
        <v>5106340</v>
      </c>
      <c r="J100" s="45">
        <f t="shared" si="90"/>
        <v>5487382.583333333</v>
      </c>
      <c r="K100" s="45">
        <f t="shared" ref="K100" si="97">+F100*J100</f>
        <v>635987.64140833332</v>
      </c>
      <c r="L100" s="46">
        <v>0</v>
      </c>
      <c r="M100" s="45">
        <f t="shared" si="91"/>
        <v>635987.64140833332</v>
      </c>
      <c r="N100" s="34">
        <v>6539896.4800000004</v>
      </c>
      <c r="O100" s="34"/>
      <c r="P100" s="34">
        <f t="shared" si="87"/>
        <v>6539896.4800000004</v>
      </c>
      <c r="Q100" s="34">
        <f t="shared" si="92"/>
        <v>7101188.599166668</v>
      </c>
      <c r="R100" s="41">
        <f t="shared" ref="R100:R116" si="98">+M100/Q99</f>
        <v>8.9705672748214629E-2</v>
      </c>
    </row>
    <row r="101" spans="3:18" hidden="1" x14ac:dyDescent="0.2">
      <c r="C101" s="32">
        <v>40634</v>
      </c>
      <c r="D101" s="47">
        <v>0.12559999999999999</v>
      </c>
      <c r="E101" s="47">
        <v>0</v>
      </c>
      <c r="F101" s="47">
        <f t="shared" si="95"/>
        <v>0.12559999999999999</v>
      </c>
      <c r="G101" s="34">
        <f>4884652-507330</f>
        <v>4377322</v>
      </c>
      <c r="I101" s="45">
        <f t="shared" ref="I101" si="99">+G101-H101</f>
        <v>4377322</v>
      </c>
      <c r="J101" s="45">
        <f t="shared" si="90"/>
        <v>5568212.416666667</v>
      </c>
      <c r="K101" s="45">
        <f t="shared" ref="K101" si="100">+F101*J101</f>
        <v>699367.47953333333</v>
      </c>
      <c r="L101" s="46">
        <v>0</v>
      </c>
      <c r="M101" s="45">
        <f t="shared" si="91"/>
        <v>699367.47953333333</v>
      </c>
      <c r="N101" s="45">
        <v>6212195.6600000001</v>
      </c>
      <c r="P101" s="34">
        <f t="shared" si="87"/>
        <v>6212195.6600000001</v>
      </c>
      <c r="Q101" s="34">
        <f t="shared" si="92"/>
        <v>7204580.0725000007</v>
      </c>
      <c r="R101" s="41">
        <f t="shared" si="98"/>
        <v>9.8485974533249948E-2</v>
      </c>
    </row>
    <row r="102" spans="3:18" hidden="1" x14ac:dyDescent="0.2">
      <c r="C102" s="32">
        <v>40664</v>
      </c>
      <c r="D102" s="47">
        <v>0.14349999999999999</v>
      </c>
      <c r="E102" s="47">
        <v>0</v>
      </c>
      <c r="F102" s="47">
        <f t="shared" si="95"/>
        <v>0.14349999999999999</v>
      </c>
      <c r="G102" s="34">
        <f>5690493-634976</f>
        <v>5055517</v>
      </c>
      <c r="I102" s="45">
        <f t="shared" ref="I102" si="101">+G102-H102</f>
        <v>5055517</v>
      </c>
      <c r="J102" s="45">
        <f t="shared" si="90"/>
        <v>5627841.583333333</v>
      </c>
      <c r="K102" s="45">
        <f t="shared" ref="K102" si="102">+F102*J102</f>
        <v>807595.26720833324</v>
      </c>
      <c r="L102" s="46">
        <v>0</v>
      </c>
      <c r="M102" s="45">
        <f t="shared" si="91"/>
        <v>807595.26720833324</v>
      </c>
      <c r="N102" s="45">
        <v>6325501.9900000002</v>
      </c>
      <c r="P102" s="34">
        <f t="shared" si="87"/>
        <v>6325501.9900000002</v>
      </c>
      <c r="Q102" s="34">
        <f t="shared" si="92"/>
        <v>7294932.5150000006</v>
      </c>
      <c r="R102" s="41">
        <f t="shared" si="98"/>
        <v>0.11209470351935397</v>
      </c>
    </row>
    <row r="103" spans="3:18" hidden="1" x14ac:dyDescent="0.2">
      <c r="C103" s="32">
        <v>40695</v>
      </c>
      <c r="D103" s="47">
        <v>0.1399</v>
      </c>
      <c r="E103" s="47">
        <v>0</v>
      </c>
      <c r="F103" s="47">
        <f t="shared" si="95"/>
        <v>0.1399</v>
      </c>
      <c r="G103" s="34">
        <f>7139928-896002</f>
        <v>6243926</v>
      </c>
      <c r="I103" s="45">
        <f t="shared" ref="I103" si="103">+G103-H103</f>
        <v>6243926</v>
      </c>
      <c r="J103" s="45">
        <f t="shared" si="90"/>
        <v>5647344.5</v>
      </c>
      <c r="K103" s="45">
        <f t="shared" ref="K103" si="104">+F103*J103</f>
        <v>790063.49554999999</v>
      </c>
      <c r="L103" s="46">
        <v>0</v>
      </c>
      <c r="M103" s="45">
        <f t="shared" ref="M103:M111" si="105">+K103+L103</f>
        <v>790063.49554999999</v>
      </c>
      <c r="N103" s="45">
        <v>8138035.6100000003</v>
      </c>
      <c r="P103" s="34">
        <f t="shared" si="87"/>
        <v>8138035.6100000003</v>
      </c>
      <c r="Q103" s="34">
        <f t="shared" si="92"/>
        <v>7265925.4266666658</v>
      </c>
      <c r="R103" s="41">
        <f t="shared" si="98"/>
        <v>0.10830305748894237</v>
      </c>
    </row>
    <row r="104" spans="3:18" hidden="1" x14ac:dyDescent="0.2">
      <c r="C104" s="32">
        <v>40725</v>
      </c>
      <c r="D104" s="47">
        <v>0.13150000000000001</v>
      </c>
      <c r="E104" s="47">
        <v>0</v>
      </c>
      <c r="F104" s="47">
        <f t="shared" si="95"/>
        <v>0.13150000000000001</v>
      </c>
      <c r="G104" s="34">
        <f>8379534-1028421</f>
        <v>7351113</v>
      </c>
      <c r="I104" s="45">
        <f t="shared" ref="I104" si="106">+G104-H104</f>
        <v>7351113</v>
      </c>
      <c r="J104" s="45">
        <f t="shared" ref="J104" si="107">SUM(I93:I104)/12</f>
        <v>5708889.916666667</v>
      </c>
      <c r="K104" s="45">
        <f t="shared" ref="K104" si="108">+F104*J104</f>
        <v>750719.02404166677</v>
      </c>
      <c r="L104" s="46">
        <v>156448</v>
      </c>
      <c r="M104" s="45">
        <f t="shared" si="105"/>
        <v>907167.02404166677</v>
      </c>
      <c r="N104" s="45">
        <v>8776608.0500000007</v>
      </c>
      <c r="P104" s="34">
        <f t="shared" si="87"/>
        <v>8776608.0500000007</v>
      </c>
      <c r="Q104" s="34">
        <f t="shared" si="92"/>
        <v>7356068.7958333334</v>
      </c>
      <c r="R104" s="41">
        <f t="shared" si="98"/>
        <v>0.12485223433649263</v>
      </c>
    </row>
    <row r="105" spans="3:18" hidden="1" x14ac:dyDescent="0.2">
      <c r="C105" s="32">
        <v>40756</v>
      </c>
      <c r="D105" s="47">
        <v>0.1128</v>
      </c>
      <c r="E105" s="47">
        <v>0</v>
      </c>
      <c r="F105" s="47">
        <f t="shared" si="95"/>
        <v>0.1128</v>
      </c>
      <c r="G105" s="34">
        <v>6895872</v>
      </c>
      <c r="I105" s="45">
        <f t="shared" ref="I105" si="109">+G105-H105</f>
        <v>6895872</v>
      </c>
      <c r="J105" s="45">
        <f t="shared" ref="J105:J111" si="110">SUM(I94:I105)/12</f>
        <v>5734130.333333333</v>
      </c>
      <c r="K105" s="45">
        <f t="shared" ref="K105" si="111">+F105*J105</f>
        <v>646809.90159999998</v>
      </c>
      <c r="L105" s="46">
        <v>156448</v>
      </c>
      <c r="M105" s="45">
        <f t="shared" si="105"/>
        <v>803257.90159999998</v>
      </c>
      <c r="N105" s="45">
        <v>8624295.8100000005</v>
      </c>
      <c r="P105" s="34">
        <f t="shared" si="87"/>
        <v>8624295.8100000005</v>
      </c>
      <c r="Q105" s="34">
        <f t="shared" si="92"/>
        <v>7380423.4975000015</v>
      </c>
      <c r="R105" s="41">
        <f t="shared" si="98"/>
        <v>0.1091966271515821</v>
      </c>
    </row>
    <row r="106" spans="3:18" hidden="1" x14ac:dyDescent="0.2">
      <c r="C106" s="32">
        <v>40787</v>
      </c>
      <c r="D106" s="47">
        <v>0.1201</v>
      </c>
      <c r="E106" s="47">
        <v>0</v>
      </c>
      <c r="F106" s="47">
        <f t="shared" si="95"/>
        <v>0.1201</v>
      </c>
      <c r="G106" s="34">
        <v>5340813</v>
      </c>
      <c r="I106" s="45">
        <f t="shared" ref="I106" si="112">+G106-H106</f>
        <v>5340813</v>
      </c>
      <c r="J106" s="45">
        <f t="shared" si="110"/>
        <v>5744821.916666667</v>
      </c>
      <c r="K106" s="45">
        <f t="shared" ref="K106" si="113">+F106*J106</f>
        <v>689953.11219166673</v>
      </c>
      <c r="L106" s="46">
        <v>156448</v>
      </c>
      <c r="M106" s="45">
        <f t="shared" si="105"/>
        <v>846401.11219166673</v>
      </c>
      <c r="N106" s="45">
        <v>6435572.6399999997</v>
      </c>
      <c r="P106" s="34">
        <f t="shared" si="87"/>
        <v>6435572.6399999997</v>
      </c>
      <c r="Q106" s="34">
        <f t="shared" ref="Q106:Q110" si="114">SUM(P95:P106)/12</f>
        <v>7350871.3450000016</v>
      </c>
      <c r="R106" s="41">
        <f t="shared" si="98"/>
        <v>0.11468191662421152</v>
      </c>
    </row>
    <row r="107" spans="3:18" hidden="1" x14ac:dyDescent="0.2">
      <c r="C107" s="32">
        <v>40817</v>
      </c>
      <c r="D107" s="47">
        <v>0.14849999999999999</v>
      </c>
      <c r="E107" s="47">
        <v>0</v>
      </c>
      <c r="F107" s="47">
        <f t="shared" si="95"/>
        <v>0.14849999999999999</v>
      </c>
      <c r="G107" s="34">
        <v>4628814</v>
      </c>
      <c r="H107" s="47"/>
      <c r="I107" s="45">
        <f t="shared" ref="I107:I108" si="115">+G107-H107</f>
        <v>4628814</v>
      </c>
      <c r="J107" s="45">
        <f t="shared" si="110"/>
        <v>5818622.416666667</v>
      </c>
      <c r="K107" s="45">
        <f t="shared" ref="K107" si="116">+F107*J107</f>
        <v>864065.42887499998</v>
      </c>
      <c r="L107" s="46">
        <v>156448</v>
      </c>
      <c r="M107" s="45">
        <f t="shared" si="105"/>
        <v>1020513.428875</v>
      </c>
      <c r="N107" s="45">
        <v>5721060.8499999996</v>
      </c>
      <c r="P107" s="34">
        <f t="shared" si="87"/>
        <v>5721060.8499999996</v>
      </c>
      <c r="Q107" s="34">
        <f t="shared" si="114"/>
        <v>7408860.7266666666</v>
      </c>
      <c r="R107" s="41">
        <f t="shared" si="98"/>
        <v>0.1388289062587314</v>
      </c>
    </row>
    <row r="108" spans="3:18" hidden="1" x14ac:dyDescent="0.2">
      <c r="C108" s="32">
        <v>40848</v>
      </c>
      <c r="D108" s="47">
        <v>0.15110000000000001</v>
      </c>
      <c r="E108" s="47">
        <v>0</v>
      </c>
      <c r="F108" s="47">
        <f t="shared" si="95"/>
        <v>0.15110000000000001</v>
      </c>
      <c r="G108" s="34">
        <v>5233064</v>
      </c>
      <c r="I108" s="45">
        <f t="shared" si="115"/>
        <v>5233064</v>
      </c>
      <c r="J108" s="45">
        <f t="shared" si="110"/>
        <v>5896327.25</v>
      </c>
      <c r="K108" s="45">
        <f t="shared" ref="K108" si="117">+F108*J108</f>
        <v>890935.04747500003</v>
      </c>
      <c r="L108" s="46">
        <v>156448</v>
      </c>
      <c r="M108" s="45">
        <f t="shared" si="105"/>
        <v>1047383.047475</v>
      </c>
      <c r="N108" s="45">
        <v>6882109.0999999996</v>
      </c>
      <c r="P108" s="34">
        <f t="shared" ref="P108:P113" si="118">+N108-O108</f>
        <v>6882109.0999999996</v>
      </c>
      <c r="Q108" s="34">
        <f t="shared" si="114"/>
        <v>7455222.3491666662</v>
      </c>
      <c r="R108" s="41">
        <f t="shared" si="98"/>
        <v>0.14136897508481441</v>
      </c>
    </row>
    <row r="109" spans="3:18" hidden="1" x14ac:dyDescent="0.2">
      <c r="C109" s="32">
        <v>40878</v>
      </c>
      <c r="D109" s="47">
        <v>0.1421</v>
      </c>
      <c r="E109" s="47">
        <v>0</v>
      </c>
      <c r="F109" s="47">
        <f t="shared" ref="F109:F114" si="119">D109-E109%</f>
        <v>0.1421</v>
      </c>
      <c r="G109" s="34">
        <v>6208031</v>
      </c>
      <c r="I109" s="45">
        <f t="shared" ref="I109:I114" si="120">+G109-H109</f>
        <v>6208031</v>
      </c>
      <c r="J109" s="45">
        <f t="shared" si="110"/>
        <v>5818210</v>
      </c>
      <c r="K109" s="45">
        <f t="shared" ref="K109" si="121">+F109*J109</f>
        <v>826767.64100000006</v>
      </c>
      <c r="L109" s="46">
        <v>156448</v>
      </c>
      <c r="M109" s="45">
        <f t="shared" si="105"/>
        <v>983215.64100000006</v>
      </c>
      <c r="N109" s="45">
        <v>7627811.7999999998</v>
      </c>
      <c r="P109" s="34">
        <f t="shared" si="118"/>
        <v>7627811.7999999998</v>
      </c>
      <c r="Q109" s="34">
        <f t="shared" si="114"/>
        <v>7319324.4466666654</v>
      </c>
      <c r="R109" s="41">
        <f t="shared" si="98"/>
        <v>0.13188280576365405</v>
      </c>
    </row>
    <row r="110" spans="3:18" hidden="1" x14ac:dyDescent="0.2">
      <c r="C110" s="32">
        <v>40909</v>
      </c>
      <c r="D110" s="47">
        <v>0.12089999999999999</v>
      </c>
      <c r="E110" s="47">
        <v>0</v>
      </c>
      <c r="F110" s="47">
        <f t="shared" si="119"/>
        <v>0.12089999999999999</v>
      </c>
      <c r="G110" s="34">
        <v>6662452</v>
      </c>
      <c r="I110" s="45">
        <f t="shared" si="120"/>
        <v>6662452</v>
      </c>
      <c r="J110" s="45">
        <f t="shared" si="110"/>
        <v>5760474.5</v>
      </c>
      <c r="K110" s="45">
        <f t="shared" ref="K110" si="122">+F110*J110</f>
        <v>696441.36705</v>
      </c>
      <c r="L110" s="46">
        <v>0</v>
      </c>
      <c r="M110" s="45">
        <f t="shared" si="105"/>
        <v>696441.36705</v>
      </c>
      <c r="N110" s="45">
        <v>8123902.7599999998</v>
      </c>
      <c r="P110" s="34">
        <f t="shared" si="118"/>
        <v>8123902.7599999998</v>
      </c>
      <c r="Q110" s="34">
        <f t="shared" si="114"/>
        <v>7209149.6508333338</v>
      </c>
      <c r="R110" s="41">
        <f t="shared" si="98"/>
        <v>9.5151044625050099E-2</v>
      </c>
    </row>
    <row r="111" spans="3:18" hidden="1" x14ac:dyDescent="0.2">
      <c r="C111" s="32">
        <v>40940</v>
      </c>
      <c r="D111" s="47">
        <v>0.10779999999999999</v>
      </c>
      <c r="E111" s="47">
        <v>0</v>
      </c>
      <c r="F111" s="47">
        <f t="shared" si="119"/>
        <v>0.10779999999999999</v>
      </c>
      <c r="G111" s="34">
        <v>5812780</v>
      </c>
      <c r="I111" s="45">
        <f t="shared" si="120"/>
        <v>5812780</v>
      </c>
      <c r="J111" s="45">
        <f t="shared" si="110"/>
        <v>5743003.666666667</v>
      </c>
      <c r="K111" s="45">
        <f t="shared" ref="K111" si="123">+F111*J111</f>
        <v>619095.79526666668</v>
      </c>
      <c r="L111" s="46">
        <v>0</v>
      </c>
      <c r="M111" s="45">
        <f t="shared" si="105"/>
        <v>619095.79526666668</v>
      </c>
      <c r="N111" s="45">
        <v>7338504.4500000002</v>
      </c>
      <c r="P111" s="34">
        <f t="shared" si="118"/>
        <v>7338504.4500000002</v>
      </c>
      <c r="Q111" s="34">
        <f t="shared" ref="Q111:Q116" si="124">SUM(P100:P111)/12</f>
        <v>7228791.2666666685</v>
      </c>
      <c r="R111" s="41">
        <f t="shared" si="98"/>
        <v>8.5876396697508281E-2</v>
      </c>
    </row>
    <row r="112" spans="3:18" hidden="1" x14ac:dyDescent="0.2">
      <c r="C112" s="32">
        <v>40969</v>
      </c>
      <c r="D112" s="47">
        <v>0.12920000000000001</v>
      </c>
      <c r="E112" s="47">
        <v>0</v>
      </c>
      <c r="F112" s="47">
        <f t="shared" si="119"/>
        <v>0.12920000000000001</v>
      </c>
      <c r="G112" s="34">
        <v>4897611</v>
      </c>
      <c r="I112" s="45">
        <f t="shared" si="120"/>
        <v>4897611</v>
      </c>
      <c r="J112" s="45">
        <f t="shared" ref="J112:J117" si="125">SUM(I101:I112)/12</f>
        <v>5725609.583333333</v>
      </c>
      <c r="K112" s="45">
        <f t="shared" ref="K112" si="126">+F112*J112</f>
        <v>739748.75816666672</v>
      </c>
      <c r="L112" s="46">
        <v>0</v>
      </c>
      <c r="M112" s="45">
        <f t="shared" ref="M112" si="127">+K112+L112</f>
        <v>739748.75816666672</v>
      </c>
      <c r="N112" s="45">
        <v>6089243.0599999996</v>
      </c>
      <c r="P112" s="34">
        <f t="shared" si="118"/>
        <v>6089243.0599999996</v>
      </c>
      <c r="Q112" s="34">
        <f t="shared" si="124"/>
        <v>7191236.8150000013</v>
      </c>
      <c r="R112" s="41">
        <f t="shared" si="98"/>
        <v>0.10233367251559593</v>
      </c>
    </row>
    <row r="113" spans="3:27" hidden="1" x14ac:dyDescent="0.2">
      <c r="C113" s="32">
        <v>41000</v>
      </c>
      <c r="D113" s="47">
        <v>0.14940000000000001</v>
      </c>
      <c r="E113" s="47">
        <v>0</v>
      </c>
      <c r="F113" s="47">
        <f t="shared" si="119"/>
        <v>0.14940000000000001</v>
      </c>
      <c r="G113" s="34">
        <v>4122934</v>
      </c>
      <c r="I113" s="45">
        <f t="shared" si="120"/>
        <v>4122934</v>
      </c>
      <c r="J113" s="45">
        <f t="shared" si="125"/>
        <v>5704410.583333333</v>
      </c>
      <c r="K113" s="45">
        <f t="shared" ref="K113" si="128">+F113*J113</f>
        <v>852238.94114999997</v>
      </c>
      <c r="L113" s="46">
        <v>0</v>
      </c>
      <c r="M113" s="45">
        <f t="shared" ref="M113" si="129">+K113+L113</f>
        <v>852238.94114999997</v>
      </c>
      <c r="N113" s="45">
        <v>5690014.0499999998</v>
      </c>
      <c r="P113" s="34">
        <f t="shared" si="118"/>
        <v>5690014.0499999998</v>
      </c>
      <c r="Q113" s="34">
        <f t="shared" si="124"/>
        <v>7147721.6808333332</v>
      </c>
      <c r="R113" s="41">
        <f t="shared" si="98"/>
        <v>0.11851076012019773</v>
      </c>
    </row>
    <row r="114" spans="3:27" hidden="1" x14ac:dyDescent="0.2">
      <c r="C114" s="32">
        <v>41030</v>
      </c>
      <c r="D114" s="47">
        <v>0.16900000000000001</v>
      </c>
      <c r="E114" s="47">
        <v>0</v>
      </c>
      <c r="F114" s="47">
        <f t="shared" si="119"/>
        <v>0.16900000000000001</v>
      </c>
      <c r="G114" s="34">
        <v>5513452</v>
      </c>
      <c r="I114" s="45">
        <f t="shared" si="120"/>
        <v>5513452</v>
      </c>
      <c r="J114" s="45">
        <f t="shared" si="125"/>
        <v>5742571.833333333</v>
      </c>
      <c r="K114" s="45">
        <f t="shared" ref="K114" si="130">+F114*J114</f>
        <v>970494.63983333332</v>
      </c>
      <c r="L114" s="46">
        <v>0</v>
      </c>
      <c r="M114" s="45">
        <f t="shared" ref="M114" si="131">+K114+L114</f>
        <v>970494.63983333332</v>
      </c>
      <c r="N114" s="45">
        <v>6636920.54</v>
      </c>
      <c r="P114" s="34">
        <f t="shared" ref="P114:P115" si="132">+N114-O114</f>
        <v>6636920.54</v>
      </c>
      <c r="Q114" s="34">
        <f t="shared" si="124"/>
        <v>7173673.2266666666</v>
      </c>
      <c r="R114" s="41">
        <f t="shared" si="98"/>
        <v>0.13577678079376282</v>
      </c>
    </row>
    <row r="115" spans="3:27" hidden="1" x14ac:dyDescent="0.2">
      <c r="C115" s="32">
        <v>41061</v>
      </c>
      <c r="D115" s="47">
        <v>0.1555</v>
      </c>
      <c r="E115" s="47">
        <v>0</v>
      </c>
      <c r="F115" s="47">
        <f t="shared" ref="F115:F116" si="133">D115-E115%</f>
        <v>0.1555</v>
      </c>
      <c r="G115" s="34">
        <v>6043338</v>
      </c>
      <c r="I115" s="45">
        <f t="shared" ref="I115:I116" si="134">+G115-H115</f>
        <v>6043338</v>
      </c>
      <c r="J115" s="45">
        <f t="shared" si="125"/>
        <v>5725856.166666667</v>
      </c>
      <c r="K115" s="45">
        <f t="shared" ref="K115" si="135">+F115*J115</f>
        <v>890370.63391666673</v>
      </c>
      <c r="L115" s="46">
        <v>0</v>
      </c>
      <c r="M115" s="45">
        <f t="shared" ref="M115:M116" si="136">+K115+L115</f>
        <v>890370.63391666673</v>
      </c>
      <c r="N115" s="45">
        <v>7795214.7999999998</v>
      </c>
      <c r="P115" s="34">
        <f t="shared" si="132"/>
        <v>7795214.7999999998</v>
      </c>
      <c r="Q115" s="34">
        <f t="shared" si="124"/>
        <v>7145104.8258333346</v>
      </c>
      <c r="R115" s="41">
        <f t="shared" si="98"/>
        <v>0.12411641927135676</v>
      </c>
    </row>
    <row r="116" spans="3:27" hidden="1" x14ac:dyDescent="0.2">
      <c r="C116" s="32">
        <v>41091</v>
      </c>
      <c r="D116" s="47">
        <v>0.14510000000000001</v>
      </c>
      <c r="E116" s="47">
        <v>0</v>
      </c>
      <c r="F116" s="47">
        <f t="shared" si="133"/>
        <v>0.14510000000000001</v>
      </c>
      <c r="G116" s="34">
        <v>7177531</v>
      </c>
      <c r="I116" s="45">
        <f t="shared" si="134"/>
        <v>7177531</v>
      </c>
      <c r="J116" s="45">
        <f t="shared" si="125"/>
        <v>5711391</v>
      </c>
      <c r="K116" s="45">
        <f t="shared" ref="K116" si="137">+F116*J116</f>
        <v>828722.83410000009</v>
      </c>
      <c r="L116" s="46">
        <v>0</v>
      </c>
      <c r="M116" s="45">
        <f t="shared" si="136"/>
        <v>828722.83410000009</v>
      </c>
      <c r="N116" s="57">
        <v>8766217.4199999999</v>
      </c>
      <c r="P116" s="34">
        <f t="shared" ref="P116" si="138">+N116-O116</f>
        <v>8766217.4199999999</v>
      </c>
      <c r="Q116" s="34">
        <f t="shared" si="124"/>
        <v>7144238.9400000004</v>
      </c>
      <c r="R116" s="41">
        <f t="shared" si="98"/>
        <v>0.11598469921724991</v>
      </c>
    </row>
    <row r="117" spans="3:27" hidden="1" x14ac:dyDescent="0.2">
      <c r="C117" s="32">
        <v>41122</v>
      </c>
      <c r="D117" s="55">
        <v>0.14130000000000001</v>
      </c>
      <c r="E117" s="55">
        <v>0</v>
      </c>
      <c r="F117" s="47">
        <f t="shared" ref="F117" si="139">D117-E117%</f>
        <v>0.14130000000000001</v>
      </c>
      <c r="G117" s="56">
        <v>6390370</v>
      </c>
      <c r="I117" s="45">
        <f t="shared" ref="I117" si="140">+G117-H117</f>
        <v>6390370</v>
      </c>
      <c r="J117" s="45">
        <f t="shared" si="125"/>
        <v>5669265.833333333</v>
      </c>
      <c r="K117" s="45">
        <f t="shared" ref="K117" si="141">+F117*J117</f>
        <v>801067.26225000003</v>
      </c>
      <c r="L117" s="57">
        <v>0</v>
      </c>
      <c r="M117" s="45">
        <f t="shared" ref="M117" si="142">+K117+L117</f>
        <v>801067.26225000003</v>
      </c>
      <c r="N117" s="57">
        <v>7941874.54</v>
      </c>
      <c r="P117" s="34">
        <f t="shared" ref="P117" si="143">+N117-O117</f>
        <v>7941874.54</v>
      </c>
      <c r="Q117" s="34">
        <f t="shared" ref="Q117" si="144">SUM(P106:P117)/12</f>
        <v>7087370.5008333335</v>
      </c>
      <c r="R117" s="41">
        <f t="shared" ref="R117" si="145">+M117/Q116</f>
        <v>0.11212772542711176</v>
      </c>
    </row>
    <row r="118" spans="3:27" hidden="1" x14ac:dyDescent="0.2">
      <c r="C118" s="32">
        <v>41153</v>
      </c>
      <c r="D118" s="55">
        <v>0.1623</v>
      </c>
      <c r="E118" s="55">
        <v>0</v>
      </c>
      <c r="F118" s="47">
        <f t="shared" ref="F118" si="146">D118-E118%</f>
        <v>0.1623</v>
      </c>
      <c r="G118" s="56">
        <v>5401591</v>
      </c>
      <c r="I118" s="45">
        <f t="shared" ref="I118" si="147">+G118-H118</f>
        <v>5401591</v>
      </c>
      <c r="J118" s="45">
        <f t="shared" ref="J118" si="148">SUM(I107:I118)/12</f>
        <v>5674330.666666667</v>
      </c>
      <c r="K118" s="45">
        <f t="shared" ref="K118" si="149">+F118*J118</f>
        <v>920943.8672000001</v>
      </c>
      <c r="L118" s="57">
        <v>0</v>
      </c>
      <c r="M118" s="45">
        <f t="shared" ref="M118" si="150">+K118+L118</f>
        <v>920943.8672000001</v>
      </c>
      <c r="N118" s="57">
        <v>6788492.5800000001</v>
      </c>
      <c r="P118" s="34">
        <f t="shared" ref="P118" si="151">+N118-O118</f>
        <v>6788492.5800000001</v>
      </c>
      <c r="Q118" s="34">
        <f t="shared" ref="Q118" si="152">SUM(P107:P118)/12</f>
        <v>7116780.4958333336</v>
      </c>
      <c r="R118" s="41">
        <f t="shared" ref="R118" si="153">+M118/Q117</f>
        <v>0.12994154420059109</v>
      </c>
    </row>
    <row r="119" spans="3:27" hidden="1" x14ac:dyDescent="0.2">
      <c r="C119" s="32">
        <v>41183</v>
      </c>
      <c r="D119" s="55">
        <v>0.1757</v>
      </c>
      <c r="E119" s="55">
        <v>0</v>
      </c>
      <c r="F119" s="47">
        <f t="shared" ref="F119" si="154">D119-E119%</f>
        <v>0.1757</v>
      </c>
      <c r="G119" s="56">
        <v>4765334</v>
      </c>
      <c r="I119" s="45">
        <f t="shared" ref="I119" si="155">+G119-H119</f>
        <v>4765334</v>
      </c>
      <c r="J119" s="45">
        <f t="shared" ref="J119" si="156">SUM(I108:I119)/12</f>
        <v>5685707.333333333</v>
      </c>
      <c r="K119" s="45">
        <f t="shared" ref="K119" si="157">+F119*J119</f>
        <v>998978.77846666658</v>
      </c>
      <c r="L119" s="57">
        <v>0</v>
      </c>
      <c r="M119" s="45">
        <f t="shared" ref="M119" si="158">+K119+L119</f>
        <v>998978.77846666658</v>
      </c>
      <c r="N119" s="57">
        <v>6160026.3700000001</v>
      </c>
      <c r="P119" s="34">
        <f t="shared" ref="P119" si="159">+N119-O119</f>
        <v>6160026.3700000001</v>
      </c>
      <c r="Q119" s="34">
        <f t="shared" ref="Q119" si="160">SUM(P108:P119)/12</f>
        <v>7153360.9558333335</v>
      </c>
      <c r="R119" s="41">
        <f t="shared" ref="R119" si="161">+M119/Q118</f>
        <v>0.140369480139445</v>
      </c>
    </row>
    <row r="120" spans="3:27" hidden="1" x14ac:dyDescent="0.2">
      <c r="C120" s="32">
        <v>41214</v>
      </c>
      <c r="D120" s="55">
        <v>0.18229999999999999</v>
      </c>
      <c r="E120" s="55">
        <v>0</v>
      </c>
      <c r="F120" s="47">
        <f t="shared" ref="F120" si="162">D120-E120%</f>
        <v>0.18229999999999999</v>
      </c>
      <c r="G120" s="56">
        <v>5790654</v>
      </c>
      <c r="I120" s="45">
        <f t="shared" ref="I120" si="163">+G120-H120</f>
        <v>5790654</v>
      </c>
      <c r="J120" s="45">
        <f t="shared" ref="J120" si="164">SUM(I109:I120)/12</f>
        <v>5732173.166666667</v>
      </c>
      <c r="K120" s="45">
        <f t="shared" ref="K120" si="165">+F120*J120</f>
        <v>1044975.1682833333</v>
      </c>
      <c r="L120" s="57">
        <v>0</v>
      </c>
      <c r="M120" s="45">
        <f t="shared" ref="M120" si="166">+K120+L120</f>
        <v>1044975.1682833333</v>
      </c>
      <c r="N120" s="57">
        <v>7284643.6100000003</v>
      </c>
      <c r="P120" s="34">
        <f t="shared" ref="P120" si="167">+N120-O120</f>
        <v>7284643.6100000003</v>
      </c>
      <c r="Q120" s="34">
        <f t="shared" ref="Q120" si="168">SUM(P109:P120)/12</f>
        <v>7186905.498333334</v>
      </c>
      <c r="R120" s="41">
        <f t="shared" ref="R120" si="169">+M120/Q119</f>
        <v>0.14608170547177407</v>
      </c>
    </row>
    <row r="121" spans="3:27" hidden="1" x14ac:dyDescent="0.2">
      <c r="C121" s="32">
        <v>41244</v>
      </c>
      <c r="D121" s="55">
        <v>0.14610000000000001</v>
      </c>
      <c r="E121" s="55">
        <v>0</v>
      </c>
      <c r="F121" s="47">
        <f t="shared" ref="F121" si="170">D121-E121%</f>
        <v>0.14610000000000001</v>
      </c>
      <c r="G121" s="56">
        <v>6425783</v>
      </c>
      <c r="I121" s="45">
        <f t="shared" ref="I121" si="171">+G121-H121</f>
        <v>6425783</v>
      </c>
      <c r="J121" s="45">
        <f t="shared" ref="J121" si="172">SUM(I110:I121)/12</f>
        <v>5750319.166666667</v>
      </c>
      <c r="K121" s="45">
        <f t="shared" ref="K121" si="173">+F121*J121</f>
        <v>840121.63025000005</v>
      </c>
      <c r="L121" s="57">
        <v>0</v>
      </c>
      <c r="M121" s="45">
        <f t="shared" ref="M121" si="174">+K121+L121</f>
        <v>840121.63025000005</v>
      </c>
      <c r="N121" s="57">
        <v>8213530.1200000001</v>
      </c>
      <c r="P121" s="34">
        <f t="shared" ref="P121" si="175">+N121-O121</f>
        <v>8213530.1200000001</v>
      </c>
      <c r="Q121" s="34">
        <f t="shared" ref="Q121" si="176">SUM(P110:P121)/12</f>
        <v>7235715.3583333334</v>
      </c>
      <c r="R121" s="41">
        <f t="shared" ref="R121" si="177">+M121/Q120</f>
        <v>0.11689615655094211</v>
      </c>
    </row>
    <row r="122" spans="3:27" ht="11.25" hidden="1" customHeight="1" x14ac:dyDescent="0.2">
      <c r="C122" s="32">
        <v>41275</v>
      </c>
      <c r="D122" s="55">
        <v>0.13489999999999999</v>
      </c>
      <c r="E122" s="55">
        <v>0</v>
      </c>
      <c r="F122" s="58">
        <f t="shared" ref="F122" si="178">D122-E122%</f>
        <v>0.13489999999999999</v>
      </c>
      <c r="G122" s="56">
        <v>6796553</v>
      </c>
      <c r="H122" s="59"/>
      <c r="I122" s="46">
        <f t="shared" ref="I122" si="179">+G122-H122</f>
        <v>6796553</v>
      </c>
      <c r="J122" s="46">
        <f t="shared" ref="J122" si="180">SUM(I111:I122)/12</f>
        <v>5761494.25</v>
      </c>
      <c r="K122" s="46">
        <f t="shared" ref="K122" si="181">+F122*J122</f>
        <v>777225.57432499994</v>
      </c>
      <c r="L122" s="57">
        <v>0</v>
      </c>
      <c r="M122" s="46">
        <f t="shared" ref="M122" si="182">+K122+L122</f>
        <v>777225.57432499994</v>
      </c>
      <c r="N122" s="57">
        <v>8444114.9800000004</v>
      </c>
      <c r="P122" s="34">
        <f t="shared" ref="P122" si="183">+N122-O122</f>
        <v>8444114.9800000004</v>
      </c>
      <c r="Q122" s="34">
        <f t="shared" ref="Q122" si="184">SUM(P111:P122)/12</f>
        <v>7262399.7100000009</v>
      </c>
      <c r="R122" s="41">
        <f t="shared" ref="R122" si="185">+M122/Q121</f>
        <v>0.10741516710298361</v>
      </c>
    </row>
    <row r="123" spans="3:27" hidden="1" x14ac:dyDescent="0.2">
      <c r="C123" s="32">
        <v>41306</v>
      </c>
      <c r="D123" s="55">
        <v>0.12609999999999999</v>
      </c>
      <c r="E123" s="55">
        <v>0</v>
      </c>
      <c r="F123" s="58">
        <f t="shared" ref="F123" si="186">D123-E123%</f>
        <v>0.12609999999999999</v>
      </c>
      <c r="G123" s="56">
        <v>6216733</v>
      </c>
      <c r="H123" s="59"/>
      <c r="I123" s="46">
        <f t="shared" ref="I123" si="187">+G123-H123</f>
        <v>6216733</v>
      </c>
      <c r="J123" s="46">
        <f t="shared" ref="J123" si="188">SUM(I112:I123)/12</f>
        <v>5795157</v>
      </c>
      <c r="K123" s="46">
        <f t="shared" ref="K123" si="189">+F123*J123</f>
        <v>730769.2977</v>
      </c>
      <c r="L123" s="57">
        <v>0</v>
      </c>
      <c r="M123" s="46">
        <f t="shared" ref="M123" si="190">+K123+L123</f>
        <v>730769.2977</v>
      </c>
      <c r="N123" s="57">
        <v>7939235.1600000001</v>
      </c>
      <c r="P123" s="34">
        <f t="shared" ref="P123" si="191">+N123-O123</f>
        <v>7939235.1600000001</v>
      </c>
      <c r="Q123" s="34">
        <f t="shared" ref="Q123" si="192">SUM(P112:P123)/12</f>
        <v>7312460.6024999991</v>
      </c>
      <c r="R123" s="41">
        <f t="shared" ref="R123" si="193">+M123/Q122</f>
        <v>0.1006236680547565</v>
      </c>
    </row>
    <row r="124" spans="3:27" hidden="1" x14ac:dyDescent="0.2">
      <c r="C124" s="32">
        <v>41334</v>
      </c>
      <c r="D124" s="55">
        <v>0.14369999999999999</v>
      </c>
      <c r="E124" s="55">
        <v>0</v>
      </c>
      <c r="F124" s="58">
        <f t="shared" ref="F124" si="194">D124-E124%</f>
        <v>0.14369999999999999</v>
      </c>
      <c r="G124" s="56">
        <v>6298928</v>
      </c>
      <c r="H124" s="59"/>
      <c r="I124" s="46">
        <f t="shared" ref="I124" si="195">+G124-H124</f>
        <v>6298928</v>
      </c>
      <c r="J124" s="46">
        <f t="shared" ref="J124" si="196">SUM(I113:I124)/12</f>
        <v>5911933.416666667</v>
      </c>
      <c r="K124" s="46">
        <f t="shared" ref="K124" si="197">+F124*J124</f>
        <v>849544.83197499998</v>
      </c>
      <c r="L124" s="57">
        <v>0</v>
      </c>
      <c r="M124" s="46">
        <f t="shared" ref="M124" si="198">+K124+L124</f>
        <v>849544.83197499998</v>
      </c>
      <c r="N124" s="57">
        <v>7667284.8700000001</v>
      </c>
      <c r="P124" s="34">
        <f t="shared" ref="P124" si="199">+N124-O124</f>
        <v>7667284.8700000001</v>
      </c>
      <c r="Q124" s="34">
        <f t="shared" ref="Q124" si="200">SUM(P113:P124)/12</f>
        <v>7443964.086666666</v>
      </c>
      <c r="R124" s="41">
        <f t="shared" ref="R124" si="201">+M124/Q123</f>
        <v>0.11617769696900053</v>
      </c>
    </row>
    <row r="125" spans="3:27" hidden="1" x14ac:dyDescent="0.2">
      <c r="C125" s="32">
        <v>41365</v>
      </c>
      <c r="D125" s="55">
        <v>0.14269999999999999</v>
      </c>
      <c r="E125" s="55">
        <v>0</v>
      </c>
      <c r="F125" s="58">
        <f t="shared" ref="F125" si="202">D125-E125%</f>
        <v>0.14269999999999999</v>
      </c>
      <c r="G125" s="56">
        <v>4922555</v>
      </c>
      <c r="H125" s="59"/>
      <c r="I125" s="46">
        <f t="shared" ref="I125" si="203">+G125-H125</f>
        <v>4922555</v>
      </c>
      <c r="J125" s="46">
        <f t="shared" ref="J125" si="204">SUM(I114:I125)/12</f>
        <v>5978568.5</v>
      </c>
      <c r="K125" s="46">
        <f t="shared" ref="K125" si="205">+F125*J125</f>
        <v>853141.72494999995</v>
      </c>
      <c r="L125" s="57">
        <v>0</v>
      </c>
      <c r="M125" s="46">
        <f t="shared" ref="M125" si="206">+K125+L125</f>
        <v>853141.72494999995</v>
      </c>
      <c r="N125" s="57">
        <v>6537436.46</v>
      </c>
      <c r="P125" s="34">
        <f t="shared" ref="P125" si="207">+N125-O125</f>
        <v>6537436.46</v>
      </c>
      <c r="Q125" s="34">
        <f t="shared" ref="Q125" si="208">SUM(P114:P125)/12</f>
        <v>7514582.6208333327</v>
      </c>
      <c r="R125" s="41">
        <f t="shared" ref="R125" si="209">+M125/Q124</f>
        <v>0.11460852242397483</v>
      </c>
    </row>
    <row r="126" spans="3:27" hidden="1" x14ac:dyDescent="0.2">
      <c r="C126" s="32">
        <v>41395</v>
      </c>
      <c r="D126" s="55">
        <v>0.1797</v>
      </c>
      <c r="E126" s="55">
        <v>0</v>
      </c>
      <c r="F126" s="55">
        <f t="shared" ref="F126" si="210">D126-E126%</f>
        <v>0.1797</v>
      </c>
      <c r="G126" s="56">
        <v>5511296</v>
      </c>
      <c r="H126" s="68"/>
      <c r="I126" s="57">
        <f t="shared" ref="I126" si="211">+G126-H126</f>
        <v>5511296</v>
      </c>
      <c r="J126" s="57">
        <f t="shared" ref="J126" si="212">SUM(I115:I126)/12</f>
        <v>5978388.833333333</v>
      </c>
      <c r="K126" s="57">
        <f t="shared" ref="K126" si="213">+F126*J126</f>
        <v>1074316.4733499999</v>
      </c>
      <c r="L126" s="57">
        <v>0</v>
      </c>
      <c r="M126" s="57">
        <f t="shared" ref="M126" si="214">+K126+L126</f>
        <v>1074316.4733499999</v>
      </c>
      <c r="N126" s="57">
        <v>6756240.6200000001</v>
      </c>
      <c r="P126" s="34">
        <f t="shared" ref="P126" si="215">+N126-O126</f>
        <v>6756240.6200000001</v>
      </c>
      <c r="Q126" s="34">
        <f t="shared" ref="Q126" si="216">SUM(P115:P126)/12</f>
        <v>7524525.9608333325</v>
      </c>
      <c r="R126" s="41">
        <f t="shared" ref="R126" si="217">+M126/Q125</f>
        <v>0.14296422403708473</v>
      </c>
    </row>
    <row r="127" spans="3:27" hidden="1" x14ac:dyDescent="0.2">
      <c r="C127" s="32">
        <v>41426</v>
      </c>
      <c r="D127" s="55">
        <v>0.1709</v>
      </c>
      <c r="E127" s="55">
        <v>0</v>
      </c>
      <c r="F127" s="55">
        <f t="shared" ref="F127" si="218">D127-E127%</f>
        <v>0.1709</v>
      </c>
      <c r="G127" s="56">
        <v>6258838</v>
      </c>
      <c r="H127" s="68"/>
      <c r="I127" s="57">
        <f t="shared" ref="I127" si="219">+G127-H127</f>
        <v>6258838</v>
      </c>
      <c r="J127" s="57">
        <f t="shared" ref="J127" si="220">SUM(I116:I127)/12</f>
        <v>5996347.166666667</v>
      </c>
      <c r="K127" s="57">
        <f t="shared" ref="K127" si="221">+F127*J127</f>
        <v>1024775.7307833334</v>
      </c>
      <c r="L127" s="57">
        <v>0</v>
      </c>
      <c r="M127" s="57">
        <f t="shared" ref="M127" si="222">+K127+L127</f>
        <v>1024775.7307833334</v>
      </c>
      <c r="N127" s="57">
        <v>7973321.4500000002</v>
      </c>
      <c r="P127" s="34">
        <f t="shared" ref="P127" si="223">+N127-O127</f>
        <v>7973321.4500000002</v>
      </c>
      <c r="Q127" s="34">
        <f t="shared" ref="Q127" si="224">SUM(P116:P127)/12</f>
        <v>7539368.1816666676</v>
      </c>
      <c r="R127" s="41">
        <f t="shared" ref="R127" si="225">+M127/Q126</f>
        <v>0.13619140077627437</v>
      </c>
      <c r="T127" s="71"/>
      <c r="U127" s="71"/>
      <c r="V127" s="71"/>
    </row>
    <row r="128" spans="3:27" hidden="1" x14ac:dyDescent="0.2">
      <c r="C128" s="32">
        <v>41456</v>
      </c>
      <c r="D128" s="55">
        <v>0.15770000000000001</v>
      </c>
      <c r="E128" s="55">
        <v>0</v>
      </c>
      <c r="F128" s="55">
        <f t="shared" ref="F128" si="226">D128-E128%</f>
        <v>0.15770000000000001</v>
      </c>
      <c r="G128" s="56">
        <v>6277910</v>
      </c>
      <c r="H128" s="68"/>
      <c r="I128" s="57">
        <f t="shared" ref="I128" si="227">+G128-H128</f>
        <v>6277910</v>
      </c>
      <c r="J128" s="57">
        <f t="shared" ref="J128" si="228">SUM(I117:I128)/12</f>
        <v>5921378.75</v>
      </c>
      <c r="K128" s="57">
        <f t="shared" ref="K128" si="229">+F128*J128</f>
        <v>933801.42887499998</v>
      </c>
      <c r="L128" s="57">
        <v>-116445</v>
      </c>
      <c r="M128" s="57">
        <f t="shared" ref="M128" si="230">+K128+L128</f>
        <v>817356.42887499998</v>
      </c>
      <c r="N128" s="57">
        <v>7817310.4900000002</v>
      </c>
      <c r="P128" s="34">
        <f t="shared" ref="P128" si="231">+N128-O128</f>
        <v>7817310.4900000002</v>
      </c>
      <c r="Q128" s="34">
        <f t="shared" ref="Q128" si="232">SUM(P117:P128)/12</f>
        <v>7460292.604166667</v>
      </c>
      <c r="R128" s="41">
        <f t="shared" ref="R128" si="233">+M128/Q127</f>
        <v>0.10841179382412301</v>
      </c>
      <c r="T128" s="83">
        <v>-116445</v>
      </c>
      <c r="U128" s="83">
        <v>0</v>
      </c>
      <c r="V128" s="84">
        <f t="shared" ref="V128:V133" si="234">SUM(T128:U128)</f>
        <v>-116445</v>
      </c>
      <c r="W128" s="85" t="s">
        <v>89</v>
      </c>
      <c r="X128" s="86"/>
      <c r="Y128" s="86"/>
      <c r="Z128" s="86"/>
      <c r="AA128" s="87"/>
    </row>
    <row r="129" spans="3:27" hidden="1" x14ac:dyDescent="0.2">
      <c r="C129" s="32">
        <v>41487</v>
      </c>
      <c r="D129" s="55">
        <v>0.15490000000000001</v>
      </c>
      <c r="E129" s="55">
        <v>0</v>
      </c>
      <c r="F129" s="55">
        <f t="shared" ref="F129" si="235">D129-E129%</f>
        <v>0.15490000000000001</v>
      </c>
      <c r="G129" s="56">
        <v>6489530</v>
      </c>
      <c r="H129" s="68"/>
      <c r="I129" s="57">
        <f t="shared" ref="I129" si="236">+G129-H129</f>
        <v>6489530</v>
      </c>
      <c r="J129" s="57">
        <f t="shared" ref="J129" si="237">SUM(I118:I129)/12</f>
        <v>5929642.083333333</v>
      </c>
      <c r="K129" s="57">
        <f t="shared" ref="K129" si="238">+F129*J129</f>
        <v>918501.55870833329</v>
      </c>
      <c r="L129" s="57">
        <v>-91363</v>
      </c>
      <c r="M129" s="57">
        <f t="shared" ref="M129" si="239">+K129+L129</f>
        <v>827138.55870833329</v>
      </c>
      <c r="N129" s="57">
        <v>7844587</v>
      </c>
      <c r="P129" s="34">
        <f t="shared" ref="P129" si="240">+N129-O129</f>
        <v>7844587</v>
      </c>
      <c r="Q129" s="34">
        <f t="shared" ref="Q129" si="241">SUM(P118:P129)/12</f>
        <v>7452185.3091666652</v>
      </c>
      <c r="R129" s="41">
        <f t="shared" ref="R129" si="242">+M129/Q128</f>
        <v>0.11087213365416339</v>
      </c>
      <c r="T129" s="83">
        <v>-116445</v>
      </c>
      <c r="U129" s="83">
        <v>25082</v>
      </c>
      <c r="V129" s="84">
        <f t="shared" si="234"/>
        <v>-91363</v>
      </c>
      <c r="W129" s="85" t="s">
        <v>90</v>
      </c>
      <c r="X129" s="86"/>
      <c r="Y129" s="86"/>
      <c r="Z129" s="86"/>
      <c r="AA129" s="87"/>
    </row>
    <row r="130" spans="3:27" hidden="1" x14ac:dyDescent="0.2">
      <c r="C130" s="32">
        <v>41518</v>
      </c>
      <c r="D130" s="55">
        <v>0.14929999999999999</v>
      </c>
      <c r="E130" s="55">
        <v>0</v>
      </c>
      <c r="F130" s="55">
        <f t="shared" ref="F130" si="243">D130-E130%</f>
        <v>0.14929999999999999</v>
      </c>
      <c r="G130" s="56">
        <v>5592940</v>
      </c>
      <c r="H130" s="68"/>
      <c r="I130" s="57">
        <f t="shared" ref="I130" si="244">+G130-H130</f>
        <v>5592940</v>
      </c>
      <c r="J130" s="57">
        <f t="shared" ref="J130" si="245">SUM(I119:I130)/12</f>
        <v>5945587.833333333</v>
      </c>
      <c r="K130" s="57">
        <f t="shared" ref="K130" si="246">+F130*J130</f>
        <v>887676.2635166666</v>
      </c>
      <c r="L130" s="57">
        <v>-91363</v>
      </c>
      <c r="M130" s="57">
        <f t="shared" ref="M130" si="247">+K130+L130</f>
        <v>796313.2635166666</v>
      </c>
      <c r="N130" s="57">
        <v>6794381.9100000001</v>
      </c>
      <c r="P130" s="34">
        <f t="shared" ref="P130" si="248">+N130-O130</f>
        <v>6794381.9100000001</v>
      </c>
      <c r="Q130" s="34">
        <f t="shared" ref="Q130" si="249">SUM(P119:P130)/12</f>
        <v>7452676.086666666</v>
      </c>
      <c r="R130" s="41">
        <f t="shared" ref="R130" si="250">+M130/Q129</f>
        <v>0.10685634219765715</v>
      </c>
      <c r="T130" s="83">
        <v>-116445</v>
      </c>
      <c r="U130" s="83">
        <v>25082</v>
      </c>
      <c r="V130" s="84">
        <f t="shared" si="234"/>
        <v>-91363</v>
      </c>
      <c r="W130" s="85" t="s">
        <v>90</v>
      </c>
      <c r="X130" s="86"/>
      <c r="Y130" s="86"/>
      <c r="Z130" s="86"/>
      <c r="AA130" s="87"/>
    </row>
    <row r="131" spans="3:27" hidden="1" x14ac:dyDescent="0.2">
      <c r="C131" s="32">
        <v>41548</v>
      </c>
      <c r="D131" s="55">
        <v>0.16689999999999999</v>
      </c>
      <c r="E131" s="55">
        <v>0</v>
      </c>
      <c r="F131" s="55">
        <f t="shared" ref="F131" si="251">D131-E131%</f>
        <v>0.16689999999999999</v>
      </c>
      <c r="G131" s="56">
        <v>4744434</v>
      </c>
      <c r="H131" s="68"/>
      <c r="I131" s="57">
        <f t="shared" ref="I131" si="252">+G131-H131</f>
        <v>4744434</v>
      </c>
      <c r="J131" s="57">
        <f t="shared" ref="J131" si="253">SUM(I120:I131)/12</f>
        <v>5943846.166666667</v>
      </c>
      <c r="K131" s="57">
        <f t="shared" ref="K131" si="254">+F131*J131</f>
        <v>992027.92521666666</v>
      </c>
      <c r="L131" s="57">
        <v>-91363</v>
      </c>
      <c r="M131" s="57">
        <f t="shared" ref="M131" si="255">+K131+L131</f>
        <v>900664.92521666666</v>
      </c>
      <c r="N131" s="57">
        <v>6499839.3200000003</v>
      </c>
      <c r="P131" s="34">
        <f t="shared" ref="P131" si="256">+N131-O131</f>
        <v>6499839.3200000003</v>
      </c>
      <c r="Q131" s="34">
        <f t="shared" ref="Q131" si="257">SUM(P120:P131)/12</f>
        <v>7480993.8325000005</v>
      </c>
      <c r="R131" s="41">
        <f t="shared" ref="R131" si="258">+M131/Q130</f>
        <v>0.12085121032269418</v>
      </c>
      <c r="T131" s="83">
        <v>-116445</v>
      </c>
      <c r="U131" s="83">
        <v>25082</v>
      </c>
      <c r="V131" s="84">
        <f t="shared" si="234"/>
        <v>-91363</v>
      </c>
      <c r="W131" s="85" t="s">
        <v>90</v>
      </c>
      <c r="X131" s="86"/>
      <c r="Y131" s="86"/>
      <c r="Z131" s="86"/>
      <c r="AA131" s="87"/>
    </row>
    <row r="132" spans="3:27" hidden="1" x14ac:dyDescent="0.2">
      <c r="C132" s="32">
        <v>41579</v>
      </c>
      <c r="D132" s="55">
        <v>0.17430000000000001</v>
      </c>
      <c r="E132" s="55">
        <v>0</v>
      </c>
      <c r="F132" s="55">
        <f>D132-E132</f>
        <v>0.17430000000000001</v>
      </c>
      <c r="G132" s="56">
        <v>5653308</v>
      </c>
      <c r="H132" s="68"/>
      <c r="I132" s="57">
        <f t="shared" ref="I132" si="259">+G132-H132</f>
        <v>5653308</v>
      </c>
      <c r="J132" s="57">
        <f t="shared" ref="J132" si="260">SUM(I121:I132)/12</f>
        <v>5932400.666666667</v>
      </c>
      <c r="K132" s="57">
        <f t="shared" ref="K132" si="261">+F132*J132</f>
        <v>1034017.4362000001</v>
      </c>
      <c r="L132" s="57">
        <v>-91363</v>
      </c>
      <c r="M132" s="57">
        <f t="shared" ref="M132" si="262">+K132+L132</f>
        <v>942654.43620000011</v>
      </c>
      <c r="N132" s="57">
        <v>7306757.2599999998</v>
      </c>
      <c r="P132" s="34">
        <f t="shared" ref="P132" si="263">+N132-O132</f>
        <v>7306757.2599999998</v>
      </c>
      <c r="Q132" s="34">
        <f t="shared" ref="Q132" si="264">SUM(P121:P132)/12</f>
        <v>7482836.6366666667</v>
      </c>
      <c r="R132" s="41">
        <f t="shared" ref="R132" si="265">+M132/Q131</f>
        <v>0.12600657844480317</v>
      </c>
      <c r="T132" s="83">
        <v>-116445</v>
      </c>
      <c r="U132" s="83">
        <v>25082</v>
      </c>
      <c r="V132" s="84">
        <f t="shared" si="234"/>
        <v>-91363</v>
      </c>
      <c r="W132" s="85" t="s">
        <v>90</v>
      </c>
      <c r="X132" s="86"/>
      <c r="Y132" s="86"/>
      <c r="Z132" s="86"/>
      <c r="AA132" s="87"/>
    </row>
    <row r="133" spans="3:27" hidden="1" x14ac:dyDescent="0.2">
      <c r="C133" s="32">
        <v>41609</v>
      </c>
      <c r="D133" s="55">
        <v>0.1454</v>
      </c>
      <c r="E133" s="55">
        <v>0</v>
      </c>
      <c r="F133" s="55">
        <f t="shared" ref="F133:F155" si="266">D133-E133</f>
        <v>0.1454</v>
      </c>
      <c r="G133" s="56">
        <v>6845217</v>
      </c>
      <c r="H133" s="68"/>
      <c r="I133" s="57">
        <f t="shared" ref="I133" si="267">+G133-H133</f>
        <v>6845217</v>
      </c>
      <c r="J133" s="57">
        <f t="shared" ref="J133" si="268">SUM(I122:I133)/12</f>
        <v>5967353.5</v>
      </c>
      <c r="K133" s="57">
        <f t="shared" ref="K133" si="269">+F133*J133</f>
        <v>867653.19889999996</v>
      </c>
      <c r="L133" s="57">
        <v>-91363</v>
      </c>
      <c r="M133" s="57">
        <f t="shared" ref="M133" si="270">+K133+L133</f>
        <v>776290.19889999996</v>
      </c>
      <c r="N133" s="57">
        <v>9192020.6899999995</v>
      </c>
      <c r="P133" s="34">
        <f t="shared" ref="P133" si="271">+N133-O133</f>
        <v>9192020.6899999995</v>
      </c>
      <c r="Q133" s="34">
        <f t="shared" ref="Q133" si="272">SUM(P122:P133)/12</f>
        <v>7564377.5175000019</v>
      </c>
      <c r="R133" s="41">
        <f t="shared" ref="R133" si="273">+M133/Q132</f>
        <v>0.10374276983358134</v>
      </c>
      <c r="T133" s="83">
        <v>-116445</v>
      </c>
      <c r="U133" s="83">
        <v>25082</v>
      </c>
      <c r="V133" s="84">
        <f t="shared" si="234"/>
        <v>-91363</v>
      </c>
      <c r="W133" s="85" t="s">
        <v>90</v>
      </c>
      <c r="X133" s="86"/>
      <c r="Y133" s="86"/>
      <c r="Z133" s="86"/>
      <c r="AA133" s="87"/>
    </row>
    <row r="134" spans="3:27" hidden="1" x14ac:dyDescent="0.2">
      <c r="C134" s="32">
        <v>41640</v>
      </c>
      <c r="D134" s="55">
        <v>0.10920000000000001</v>
      </c>
      <c r="E134" s="55">
        <v>0</v>
      </c>
      <c r="F134" s="55">
        <f t="shared" si="266"/>
        <v>0.10920000000000001</v>
      </c>
      <c r="G134" s="56">
        <v>8325375</v>
      </c>
      <c r="H134" s="68"/>
      <c r="I134" s="57">
        <f t="shared" ref="I134" si="274">+G134-H134</f>
        <v>8325375</v>
      </c>
      <c r="J134" s="57">
        <f t="shared" ref="J134" si="275">SUM(I123:I134)/12</f>
        <v>6094755.333333333</v>
      </c>
      <c r="K134" s="57">
        <f t="shared" ref="K134" si="276">+F134*J134</f>
        <v>665547.28240000003</v>
      </c>
      <c r="L134" s="57">
        <v>25082</v>
      </c>
      <c r="M134" s="57">
        <f t="shared" ref="M134" si="277">+K134+L134</f>
        <v>690629.28240000003</v>
      </c>
      <c r="N134" s="57">
        <v>10043320.130000001</v>
      </c>
      <c r="P134" s="34">
        <f t="shared" ref="P134" si="278">+N134-O134</f>
        <v>10043320.130000001</v>
      </c>
      <c r="Q134" s="34">
        <f t="shared" ref="Q134" si="279">SUM(P123:P134)/12</f>
        <v>7697644.6133333333</v>
      </c>
      <c r="R134" s="41">
        <f t="shared" ref="R134" si="280">+M134/Q133</f>
        <v>9.1300213507621228E-2</v>
      </c>
      <c r="T134" s="83">
        <v>0</v>
      </c>
      <c r="U134" s="83">
        <v>25082</v>
      </c>
      <c r="V134" s="84">
        <f t="shared" ref="V134" si="281">SUM(T134:U134)</f>
        <v>25082</v>
      </c>
      <c r="W134" s="85" t="s">
        <v>91</v>
      </c>
      <c r="X134" s="86"/>
      <c r="Y134" s="86"/>
      <c r="Z134" s="86"/>
      <c r="AA134" s="87"/>
    </row>
    <row r="135" spans="3:27" hidden="1" x14ac:dyDescent="0.2">
      <c r="C135" s="32">
        <v>41671</v>
      </c>
      <c r="D135" s="55">
        <v>5.4399999999999997E-2</v>
      </c>
      <c r="E135" s="55">
        <v>0</v>
      </c>
      <c r="F135" s="55">
        <f t="shared" si="266"/>
        <v>5.4399999999999997E-2</v>
      </c>
      <c r="G135" s="56">
        <v>7194878</v>
      </c>
      <c r="H135" s="68"/>
      <c r="I135" s="57">
        <f t="shared" ref="I135" si="282">+G135-H135</f>
        <v>7194878</v>
      </c>
      <c r="J135" s="57">
        <f t="shared" ref="J135" si="283">SUM(I124:I135)/12</f>
        <v>6176267.416666667</v>
      </c>
      <c r="K135" s="57">
        <f t="shared" ref="K135" si="284">+F135*J135</f>
        <v>335988.94746666669</v>
      </c>
      <c r="L135" s="57">
        <v>0</v>
      </c>
      <c r="M135" s="57">
        <f t="shared" ref="M135" si="285">+K135+L135</f>
        <v>335988.94746666669</v>
      </c>
      <c r="N135" s="57">
        <v>9377420.6099999994</v>
      </c>
      <c r="P135" s="34">
        <f t="shared" ref="P135" si="286">+N135-O135</f>
        <v>9377420.6099999994</v>
      </c>
      <c r="Q135" s="34">
        <f t="shared" ref="Q135" si="287">SUM(P124:P135)/12</f>
        <v>7817493.400833332</v>
      </c>
      <c r="R135" s="41">
        <f t="shared" ref="R135" si="288">+M135/Q134</f>
        <v>4.36482800056383E-2</v>
      </c>
      <c r="T135" s="72"/>
      <c r="U135" s="72"/>
      <c r="V135" s="73"/>
    </row>
    <row r="136" spans="3:27" hidden="1" x14ac:dyDescent="0.2">
      <c r="C136" s="32">
        <v>41699</v>
      </c>
      <c r="D136" s="55">
        <v>0.1162</v>
      </c>
      <c r="E136" s="55">
        <v>0</v>
      </c>
      <c r="F136" s="55">
        <f t="shared" si="266"/>
        <v>0.1162</v>
      </c>
      <c r="G136" s="56">
        <v>6409264</v>
      </c>
      <c r="H136" s="68"/>
      <c r="I136" s="57">
        <f t="shared" ref="I136" si="289">+G136-H136</f>
        <v>6409264</v>
      </c>
      <c r="J136" s="57">
        <f t="shared" ref="J136" si="290">SUM(I125:I136)/12</f>
        <v>6185462.083333333</v>
      </c>
      <c r="K136" s="57">
        <f t="shared" ref="K136" si="291">+F136*J136</f>
        <v>718750.69408333325</v>
      </c>
      <c r="L136" s="57">
        <v>-27266</v>
      </c>
      <c r="M136" s="57">
        <f t="shared" ref="M136" si="292">+K136+L136</f>
        <v>691484.69408333325</v>
      </c>
      <c r="N136" s="57">
        <v>7344050.1600000001</v>
      </c>
      <c r="P136" s="34">
        <f t="shared" ref="P136" si="293">+N136-O136</f>
        <v>7344050.1600000001</v>
      </c>
      <c r="Q136" s="34">
        <f t="shared" ref="Q136" si="294">SUM(P125:P136)/12</f>
        <v>7790557.1749999998</v>
      </c>
      <c r="R136" s="41">
        <f t="shared" ref="R136" si="295">+M136/Q135</f>
        <v>8.8453505315351094E-2</v>
      </c>
      <c r="T136" s="83">
        <v>-27266</v>
      </c>
      <c r="U136" s="83">
        <v>0</v>
      </c>
      <c r="V136" s="84">
        <f t="shared" ref="V136" si="296">SUM(T136:U136)</f>
        <v>-27266</v>
      </c>
      <c r="W136" s="85" t="s">
        <v>92</v>
      </c>
      <c r="X136" s="86"/>
      <c r="Y136" s="86"/>
      <c r="Z136" s="86"/>
      <c r="AA136" s="87"/>
    </row>
    <row r="137" spans="3:27" hidden="1" x14ac:dyDescent="0.2">
      <c r="C137" s="32">
        <v>41730</v>
      </c>
      <c r="D137" s="55">
        <v>0.13469999999999999</v>
      </c>
      <c r="E137" s="55">
        <v>0</v>
      </c>
      <c r="F137" s="55">
        <f t="shared" si="266"/>
        <v>0.13469999999999999</v>
      </c>
      <c r="G137" s="56">
        <v>4924458</v>
      </c>
      <c r="H137" s="68"/>
      <c r="I137" s="57">
        <f t="shared" ref="I137" si="297">+G137-H137</f>
        <v>4924458</v>
      </c>
      <c r="J137" s="57">
        <f t="shared" ref="J137" si="298">SUM(I126:I137)/12</f>
        <v>6185620.666666667</v>
      </c>
      <c r="K137" s="57">
        <f t="shared" ref="K137" si="299">+F137*J137</f>
        <v>833203.10379999992</v>
      </c>
      <c r="L137" s="57">
        <v>-27266</v>
      </c>
      <c r="M137" s="57">
        <f t="shared" ref="M137" si="300">+K137+L137</f>
        <v>805937.10379999992</v>
      </c>
      <c r="N137" s="57">
        <v>6809534.75</v>
      </c>
      <c r="P137" s="34">
        <f t="shared" ref="P137" si="301">+N137-O137</f>
        <v>6809534.75</v>
      </c>
      <c r="Q137" s="34">
        <f t="shared" ref="Q137" si="302">SUM(P126:P137)/12</f>
        <v>7813232.0324999988</v>
      </c>
      <c r="R137" s="41">
        <f t="shared" ref="R137" si="303">+M137/Q136</f>
        <v>0.10345050882705317</v>
      </c>
      <c r="T137" s="83">
        <v>-27266</v>
      </c>
      <c r="U137" s="83">
        <v>0</v>
      </c>
      <c r="V137" s="84">
        <f t="shared" ref="V137" si="304">SUM(T137:U137)</f>
        <v>-27266</v>
      </c>
      <c r="W137" s="85" t="s">
        <v>92</v>
      </c>
      <c r="X137" s="86"/>
      <c r="Y137" s="86"/>
      <c r="Z137" s="86"/>
      <c r="AA137" s="87"/>
    </row>
    <row r="138" spans="3:27" hidden="1" x14ac:dyDescent="0.2">
      <c r="C138" s="32">
        <v>41760</v>
      </c>
      <c r="D138" s="55">
        <v>0.15840000000000001</v>
      </c>
      <c r="E138" s="55">
        <v>0</v>
      </c>
      <c r="F138" s="55">
        <f t="shared" si="266"/>
        <v>0.15840000000000001</v>
      </c>
      <c r="G138" s="56">
        <v>5614305</v>
      </c>
      <c r="H138" s="68"/>
      <c r="I138" s="57">
        <f t="shared" ref="I138" si="305">+G138-H138</f>
        <v>5614305</v>
      </c>
      <c r="J138" s="57">
        <f t="shared" ref="J138" si="306">SUM(I127:I138)/12</f>
        <v>6194204.75</v>
      </c>
      <c r="K138" s="57">
        <f t="shared" ref="K138" si="307">+F138*J138</f>
        <v>981162.03240000003</v>
      </c>
      <c r="L138" s="57">
        <v>-27266</v>
      </c>
      <c r="M138" s="57">
        <f t="shared" ref="M138" si="308">+K138+L138</f>
        <v>953896.03240000003</v>
      </c>
      <c r="N138" s="57">
        <v>7126798.4699999997</v>
      </c>
      <c r="P138" s="34">
        <f t="shared" ref="P138" si="309">+N138-O138</f>
        <v>7126798.4699999997</v>
      </c>
      <c r="Q138" s="34">
        <f t="shared" ref="Q138" si="310">SUM(P127:P138)/12</f>
        <v>7844111.8533333326</v>
      </c>
      <c r="R138" s="41">
        <f t="shared" ref="R138" si="311">+M138/Q137</f>
        <v>0.12208725255210193</v>
      </c>
      <c r="T138" s="83">
        <v>-27266</v>
      </c>
      <c r="U138" s="83">
        <v>0</v>
      </c>
      <c r="V138" s="84">
        <f t="shared" ref="V138" si="312">SUM(T138:U138)</f>
        <v>-27266</v>
      </c>
      <c r="W138" s="85" t="s">
        <v>92</v>
      </c>
      <c r="X138" s="86"/>
      <c r="Y138" s="86"/>
      <c r="Z138" s="86"/>
      <c r="AA138" s="87"/>
    </row>
    <row r="139" spans="3:27" hidden="1" x14ac:dyDescent="0.2">
      <c r="C139" s="32">
        <v>41791</v>
      </c>
      <c r="D139" s="55">
        <v>0.15670000000000001</v>
      </c>
      <c r="E139" s="55">
        <v>0</v>
      </c>
      <c r="F139" s="55">
        <f t="shared" si="266"/>
        <v>0.15670000000000001</v>
      </c>
      <c r="G139" s="56">
        <v>6621649</v>
      </c>
      <c r="H139" s="68"/>
      <c r="I139" s="57">
        <f t="shared" ref="I139" si="313">+G139-H139</f>
        <v>6621649</v>
      </c>
      <c r="J139" s="57">
        <f t="shared" ref="J139" si="314">SUM(I128:I139)/12</f>
        <v>6224439</v>
      </c>
      <c r="K139" s="57">
        <f t="shared" ref="K139" si="315">+F139*J139</f>
        <v>975369.59130000009</v>
      </c>
      <c r="L139" s="57">
        <v>-27266</v>
      </c>
      <c r="M139" s="57">
        <f t="shared" ref="M139" si="316">+K139+L139</f>
        <v>948103.59130000009</v>
      </c>
      <c r="N139" s="57">
        <v>8386025.4699999997</v>
      </c>
      <c r="P139" s="34">
        <f t="shared" ref="P139" si="317">+N139-O139</f>
        <v>8386025.4699999997</v>
      </c>
      <c r="Q139" s="34">
        <f t="shared" ref="Q139" si="318">SUM(P128:P139)/12</f>
        <v>7878503.8549999995</v>
      </c>
      <c r="R139" s="41">
        <f t="shared" ref="R139" si="319">+M139/Q138</f>
        <v>0.12086818865249942</v>
      </c>
      <c r="T139" s="83">
        <v>-27266</v>
      </c>
      <c r="U139" s="83">
        <v>0</v>
      </c>
      <c r="V139" s="84">
        <f t="shared" ref="V139" si="320">SUM(T139:U139)</f>
        <v>-27266</v>
      </c>
      <c r="W139" s="85" t="s">
        <v>92</v>
      </c>
      <c r="X139" s="86"/>
      <c r="Y139" s="86"/>
      <c r="Z139" s="86"/>
      <c r="AA139" s="87"/>
    </row>
    <row r="140" spans="3:27" hidden="1" x14ac:dyDescent="0.2">
      <c r="C140" s="32">
        <v>41821</v>
      </c>
      <c r="D140" s="55">
        <v>0.14380000000000001</v>
      </c>
      <c r="E140" s="55">
        <v>0</v>
      </c>
      <c r="F140" s="55">
        <f t="shared" si="266"/>
        <v>0.14380000000000001</v>
      </c>
      <c r="G140" s="56">
        <v>6654596</v>
      </c>
      <c r="H140" s="68"/>
      <c r="I140" s="57">
        <f t="shared" ref="I140" si="321">+G140-H140</f>
        <v>6654596</v>
      </c>
      <c r="J140" s="57">
        <f t="shared" ref="J140" si="322">SUM(I129:I140)/12</f>
        <v>6255829.5</v>
      </c>
      <c r="K140" s="57">
        <f t="shared" ref="K140" si="323">+F140*J140</f>
        <v>899588.28210000007</v>
      </c>
      <c r="L140" s="57">
        <v>-27266</v>
      </c>
      <c r="M140" s="57">
        <f t="shared" ref="M140" si="324">+K140+L140</f>
        <v>872322.28210000007</v>
      </c>
      <c r="N140" s="57">
        <v>8263261.21</v>
      </c>
      <c r="P140" s="34">
        <f t="shared" ref="P140" si="325">+N140-O140</f>
        <v>8263261.21</v>
      </c>
      <c r="Q140" s="34">
        <f t="shared" ref="Q140" si="326">SUM(P129:P140)/12</f>
        <v>7915666.4149999991</v>
      </c>
      <c r="R140" s="41">
        <f t="shared" ref="R140" si="327">+M140/Q139</f>
        <v>0.11072181954272842</v>
      </c>
      <c r="T140" s="83">
        <v>-27266</v>
      </c>
      <c r="U140" s="83">
        <v>0</v>
      </c>
      <c r="V140" s="84">
        <f t="shared" ref="V140" si="328">SUM(T140:U140)</f>
        <v>-27266</v>
      </c>
      <c r="W140" s="85" t="s">
        <v>92</v>
      </c>
      <c r="X140" s="86"/>
      <c r="Y140" s="86"/>
      <c r="Z140" s="86"/>
      <c r="AA140" s="87"/>
    </row>
    <row r="141" spans="3:27" hidden="1" x14ac:dyDescent="0.2">
      <c r="C141" s="32">
        <v>41852</v>
      </c>
      <c r="D141" s="55">
        <v>0.12620000000000001</v>
      </c>
      <c r="E141" s="55">
        <v>0</v>
      </c>
      <c r="F141" s="55">
        <f t="shared" si="266"/>
        <v>0.12620000000000001</v>
      </c>
      <c r="G141" s="56">
        <v>6956292</v>
      </c>
      <c r="H141" s="68"/>
      <c r="I141" s="57">
        <f t="shared" ref="I141" si="329">+G141-H141</f>
        <v>6956292</v>
      </c>
      <c r="J141" s="57">
        <f t="shared" ref="J141" si="330">SUM(I130:I141)/12</f>
        <v>6294726.333333333</v>
      </c>
      <c r="K141" s="57">
        <f t="shared" ref="K141" si="331">+F141*J141</f>
        <v>794394.46326666663</v>
      </c>
      <c r="L141" s="57">
        <v>-27266</v>
      </c>
      <c r="M141" s="57">
        <f t="shared" ref="M141" si="332">+K141+L141</f>
        <v>767128.46326666663</v>
      </c>
      <c r="N141" s="57">
        <v>8521471.2599999998</v>
      </c>
      <c r="P141" s="34">
        <f t="shared" ref="P141" si="333">+N141-O141</f>
        <v>8521471.2599999998</v>
      </c>
      <c r="Q141" s="34">
        <f t="shared" ref="Q141" si="334">SUM(P130:P141)/12</f>
        <v>7972073.4366666665</v>
      </c>
      <c r="R141" s="41">
        <f t="shared" ref="R141" si="335">+M141/Q140</f>
        <v>9.6912682148021859E-2</v>
      </c>
      <c r="T141" s="83">
        <v>-27266</v>
      </c>
      <c r="U141" s="83">
        <v>0</v>
      </c>
      <c r="V141" s="84">
        <f t="shared" ref="V141" si="336">SUM(T141:U141)</f>
        <v>-27266</v>
      </c>
      <c r="W141" s="85" t="s">
        <v>92</v>
      </c>
      <c r="X141" s="86"/>
      <c r="Y141" s="86"/>
      <c r="Z141" s="86"/>
      <c r="AA141" s="87"/>
    </row>
    <row r="142" spans="3:27" hidden="1" x14ac:dyDescent="0.2">
      <c r="C142" s="32">
        <v>41883</v>
      </c>
      <c r="D142" s="55">
        <v>0.1353</v>
      </c>
      <c r="E142" s="55">
        <v>0</v>
      </c>
      <c r="F142" s="55">
        <f t="shared" si="266"/>
        <v>0.1353</v>
      </c>
      <c r="G142" s="56">
        <v>5918306</v>
      </c>
      <c r="H142" s="68"/>
      <c r="I142" s="57">
        <f t="shared" ref="I142" si="337">+G142-H142</f>
        <v>5918306</v>
      </c>
      <c r="J142" s="57">
        <f t="shared" ref="J142" si="338">SUM(I131:I142)/12</f>
        <v>6321840.166666667</v>
      </c>
      <c r="K142" s="57">
        <f t="shared" ref="K142" si="339">+F142*J142</f>
        <v>855344.97455000004</v>
      </c>
      <c r="L142" s="57">
        <v>0</v>
      </c>
      <c r="M142" s="57">
        <f t="shared" ref="M142" si="340">+K142+L142</f>
        <v>855344.97455000004</v>
      </c>
      <c r="N142" s="57">
        <v>7268881.04</v>
      </c>
      <c r="P142" s="34">
        <f t="shared" ref="P142" si="341">+N142-O142</f>
        <v>7268881.04</v>
      </c>
      <c r="Q142" s="34">
        <f t="shared" ref="Q142" si="342">SUM(P131:P142)/12</f>
        <v>8011615.0308333337</v>
      </c>
      <c r="R142" s="41">
        <f t="shared" ref="R142" si="343">+M142/Q141</f>
        <v>0.10729266123113415</v>
      </c>
      <c r="T142" s="88"/>
      <c r="U142" s="88"/>
      <c r="V142" s="80"/>
      <c r="W142" s="51"/>
      <c r="X142" s="52"/>
      <c r="Y142" s="52"/>
      <c r="Z142" s="52"/>
      <c r="AA142" s="52"/>
    </row>
    <row r="143" spans="3:27" hidden="1" x14ac:dyDescent="0.2">
      <c r="C143" s="32">
        <v>41913</v>
      </c>
      <c r="D143" s="55">
        <v>0.15570000000000001</v>
      </c>
      <c r="E143" s="55">
        <v>0</v>
      </c>
      <c r="F143" s="55">
        <f t="shared" si="266"/>
        <v>0.15570000000000001</v>
      </c>
      <c r="G143" s="56">
        <v>4828596</v>
      </c>
      <c r="H143" s="68"/>
      <c r="I143" s="57">
        <f t="shared" ref="I143" si="344">+G143-H143</f>
        <v>4828596</v>
      </c>
      <c r="J143" s="57">
        <f t="shared" ref="J143" si="345">SUM(I132:I143)/12</f>
        <v>6328853.666666667</v>
      </c>
      <c r="K143" s="57">
        <f t="shared" ref="K143" si="346">+F143*J143</f>
        <v>985402.51590000011</v>
      </c>
      <c r="L143" s="57">
        <v>0</v>
      </c>
      <c r="M143" s="57">
        <f t="shared" ref="M143" si="347">+K143+L143</f>
        <v>985402.51590000011</v>
      </c>
      <c r="N143" s="57">
        <v>6295292.9500000002</v>
      </c>
      <c r="P143" s="34">
        <f t="shared" ref="P143" si="348">+N143-O143</f>
        <v>6295292.9500000002</v>
      </c>
      <c r="Q143" s="34">
        <f t="shared" ref="Q143" si="349">SUM(P132:P143)/12</f>
        <v>7994569.5</v>
      </c>
      <c r="R143" s="41">
        <f t="shared" ref="R143" si="350">+M143/Q142</f>
        <v>0.12299673812428588</v>
      </c>
      <c r="T143" s="88"/>
      <c r="U143" s="88"/>
      <c r="V143" s="80"/>
      <c r="W143" s="51"/>
      <c r="X143" s="52"/>
      <c r="Y143" s="52"/>
      <c r="Z143" s="52"/>
      <c r="AA143" s="52"/>
    </row>
    <row r="144" spans="3:27" hidden="1" x14ac:dyDescent="0.2">
      <c r="C144" s="32">
        <v>41944</v>
      </c>
      <c r="D144" s="55">
        <v>0.16950000000000001</v>
      </c>
      <c r="E144" s="55">
        <v>0</v>
      </c>
      <c r="F144" s="55">
        <f t="shared" si="266"/>
        <v>0.16950000000000001</v>
      </c>
      <c r="G144" s="56">
        <v>6017979</v>
      </c>
      <c r="H144" s="68"/>
      <c r="I144" s="57">
        <f t="shared" ref="I144" si="351">+G144-H144</f>
        <v>6017979</v>
      </c>
      <c r="J144" s="57">
        <f t="shared" ref="J144" si="352">SUM(I133:I144)/12</f>
        <v>6359242.916666667</v>
      </c>
      <c r="K144" s="57">
        <f t="shared" ref="K144" si="353">+F144*J144</f>
        <v>1077891.6743750002</v>
      </c>
      <c r="L144" s="57">
        <v>0</v>
      </c>
      <c r="M144" s="57">
        <f t="shared" ref="M144" si="354">+K144+L144</f>
        <v>1077891.6743750002</v>
      </c>
      <c r="N144" s="57">
        <v>7658931.2400000002</v>
      </c>
      <c r="P144" s="34">
        <f t="shared" ref="P144" si="355">+N144-O144</f>
        <v>7658931.2400000002</v>
      </c>
      <c r="Q144" s="34">
        <f t="shared" ref="Q144" si="356">SUM(P133:P144)/12</f>
        <v>8023917.331666667</v>
      </c>
      <c r="R144" s="41">
        <f t="shared" ref="R144" si="357">+M144/Q143</f>
        <v>0.1348279822165534</v>
      </c>
      <c r="T144" s="88"/>
      <c r="U144" s="88"/>
      <c r="V144" s="80"/>
      <c r="W144" s="51"/>
      <c r="X144" s="52"/>
      <c r="Y144" s="52"/>
      <c r="Z144" s="52"/>
      <c r="AA144" s="52"/>
    </row>
    <row r="145" spans="3:27" hidden="1" x14ac:dyDescent="0.2">
      <c r="C145" s="32">
        <v>41974</v>
      </c>
      <c r="D145" s="55">
        <v>0.13880000000000001</v>
      </c>
      <c r="E145" s="55">
        <v>0</v>
      </c>
      <c r="F145" s="55">
        <f t="shared" si="266"/>
        <v>0.13880000000000001</v>
      </c>
      <c r="G145" s="56">
        <v>6422801</v>
      </c>
      <c r="H145" s="68"/>
      <c r="I145" s="57">
        <f t="shared" ref="I145" si="358">+G145-H145</f>
        <v>6422801</v>
      </c>
      <c r="J145" s="57">
        <f t="shared" ref="J145" si="359">SUM(I134:I145)/12</f>
        <v>6324041.583333333</v>
      </c>
      <c r="K145" s="57">
        <f t="shared" ref="K145" si="360">+F145*J145</f>
        <v>877776.97176666663</v>
      </c>
      <c r="L145" s="57">
        <v>0</v>
      </c>
      <c r="M145" s="57">
        <f t="shared" ref="M145" si="361">+K145+L145</f>
        <v>877776.97176666663</v>
      </c>
      <c r="N145" s="57">
        <v>8421198.1600000001</v>
      </c>
      <c r="P145" s="34">
        <f t="shared" ref="P145" si="362">+N145-O145</f>
        <v>8421198.1600000001</v>
      </c>
      <c r="Q145" s="34">
        <f t="shared" ref="Q145" si="363">SUM(P134:P145)/12</f>
        <v>7959682.1208333336</v>
      </c>
      <c r="R145" s="41">
        <f t="shared" ref="R145" si="364">+M145/Q144</f>
        <v>0.10939506670918574</v>
      </c>
      <c r="T145" s="88"/>
      <c r="U145" s="88"/>
      <c r="V145" s="80"/>
      <c r="W145" s="51"/>
      <c r="X145" s="52"/>
      <c r="Y145" s="52"/>
      <c r="Z145" s="52"/>
      <c r="AA145" s="52"/>
    </row>
    <row r="146" spans="3:27" hidden="1" x14ac:dyDescent="0.2">
      <c r="C146" s="32">
        <v>42005</v>
      </c>
      <c r="D146" s="55">
        <v>0.13669999999999999</v>
      </c>
      <c r="E146" s="55">
        <v>0</v>
      </c>
      <c r="F146" s="55">
        <f t="shared" si="266"/>
        <v>0.13669999999999999</v>
      </c>
      <c r="G146" s="56">
        <v>7339188</v>
      </c>
      <c r="H146" s="68"/>
      <c r="I146" s="57">
        <f t="shared" ref="I146" si="365">+G146-H146</f>
        <v>7339188</v>
      </c>
      <c r="J146" s="57">
        <f t="shared" ref="J146" si="366">SUM(I135:I146)/12</f>
        <v>6241859.333333333</v>
      </c>
      <c r="K146" s="57">
        <f t="shared" ref="K146" si="367">+F146*J146</f>
        <v>853262.17086666659</v>
      </c>
      <c r="L146" s="57">
        <v>0</v>
      </c>
      <c r="M146" s="57">
        <f t="shared" ref="M146" si="368">+K146+L146</f>
        <v>853262.17086666659</v>
      </c>
      <c r="N146" s="57">
        <v>8908158.7400000002</v>
      </c>
      <c r="P146" s="34">
        <f t="shared" ref="P146" si="369">+N146-O146</f>
        <v>8908158.7400000002</v>
      </c>
      <c r="Q146" s="34">
        <f t="shared" ref="Q146" si="370">SUM(P135:P146)/12</f>
        <v>7865085.338333332</v>
      </c>
      <c r="R146" s="41">
        <f t="shared" ref="R146" si="371">+M146/Q145</f>
        <v>0.1071980209653567</v>
      </c>
      <c r="T146" s="88"/>
      <c r="U146" s="88"/>
      <c r="V146" s="80"/>
      <c r="W146" s="51"/>
      <c r="X146" s="52"/>
      <c r="Y146" s="52"/>
      <c r="Z146" s="52"/>
      <c r="AA146" s="52"/>
    </row>
    <row r="147" spans="3:27" hidden="1" x14ac:dyDescent="0.2">
      <c r="C147" s="32">
        <v>42036</v>
      </c>
      <c r="D147" s="55">
        <v>0.1149</v>
      </c>
      <c r="E147" s="55">
        <v>0</v>
      </c>
      <c r="F147" s="55">
        <f t="shared" si="266"/>
        <v>0.1149</v>
      </c>
      <c r="G147" s="56">
        <v>7486514</v>
      </c>
      <c r="H147" s="68"/>
      <c r="I147" s="57">
        <f t="shared" ref="I147" si="372">+G147-H147</f>
        <v>7486514</v>
      </c>
      <c r="J147" s="57">
        <f t="shared" ref="J147" si="373">SUM(I136:I147)/12</f>
        <v>6266162.333333333</v>
      </c>
      <c r="K147" s="57">
        <f t="shared" ref="K147" si="374">+F147*J147</f>
        <v>719982.05209999997</v>
      </c>
      <c r="L147" s="57">
        <v>0</v>
      </c>
      <c r="M147" s="57">
        <f t="shared" ref="M147" si="375">+K147+L147</f>
        <v>719982.05209999997</v>
      </c>
      <c r="N147" s="57">
        <v>9364803.8200000003</v>
      </c>
      <c r="P147" s="34">
        <f t="shared" ref="P147" si="376">+N147-O147</f>
        <v>9364803.8200000003</v>
      </c>
      <c r="Q147" s="34">
        <f t="shared" ref="Q147" si="377">SUM(P136:P147)/12</f>
        <v>7864033.9391666651</v>
      </c>
      <c r="R147" s="41">
        <f t="shared" ref="R147" si="378">+M147/Q146</f>
        <v>9.1541543559725616E-2</v>
      </c>
      <c r="T147" s="88"/>
      <c r="U147" s="88"/>
      <c r="V147" s="80"/>
      <c r="W147" s="51"/>
      <c r="X147" s="52"/>
      <c r="Y147" s="52"/>
      <c r="Z147" s="52"/>
      <c r="AA147" s="52"/>
    </row>
    <row r="148" spans="3:27" hidden="1" x14ac:dyDescent="0.2">
      <c r="C148" s="32">
        <v>42064</v>
      </c>
      <c r="D148" s="55">
        <v>0.109</v>
      </c>
      <c r="E148" s="55">
        <v>0</v>
      </c>
      <c r="F148" s="55">
        <f t="shared" si="266"/>
        <v>0.109</v>
      </c>
      <c r="G148" s="56">
        <v>5913270</v>
      </c>
      <c r="H148" s="68"/>
      <c r="I148" s="57">
        <f t="shared" ref="I148" si="379">+G148-H148</f>
        <v>5913270</v>
      </c>
      <c r="J148" s="57">
        <f t="shared" ref="J148" si="380">SUM(I137:I148)/12</f>
        <v>6224829.5</v>
      </c>
      <c r="K148" s="57">
        <f t="shared" ref="K148" si="381">+F148*J148</f>
        <v>678506.4155</v>
      </c>
      <c r="L148" s="57">
        <v>0</v>
      </c>
      <c r="M148" s="57">
        <f t="shared" ref="M148" si="382">+K148+L148</f>
        <v>678506.4155</v>
      </c>
      <c r="N148" s="57">
        <v>7096973.96</v>
      </c>
      <c r="P148" s="34">
        <f t="shared" ref="P148" si="383">+N148-O148</f>
        <v>7096973.96</v>
      </c>
      <c r="Q148" s="34">
        <f t="shared" ref="Q148" si="384">SUM(P137:P148)/12</f>
        <v>7843444.2558333315</v>
      </c>
      <c r="R148" s="41">
        <f t="shared" ref="R148" si="385">+M148/Q147</f>
        <v>8.6279690645879883E-2</v>
      </c>
      <c r="T148" s="88"/>
      <c r="U148" s="88"/>
      <c r="V148" s="80"/>
      <c r="W148" s="51"/>
      <c r="X148" s="52"/>
      <c r="Y148" s="52"/>
      <c r="Z148" s="52"/>
      <c r="AA148" s="52"/>
    </row>
    <row r="149" spans="3:27" hidden="1" x14ac:dyDescent="0.2">
      <c r="C149" s="32">
        <v>42095</v>
      </c>
      <c r="D149" s="55">
        <v>0.1444</v>
      </c>
      <c r="E149" s="55">
        <v>0</v>
      </c>
      <c r="F149" s="55">
        <f t="shared" si="266"/>
        <v>0.1444</v>
      </c>
      <c r="G149" s="56">
        <v>4162510</v>
      </c>
      <c r="H149" s="68"/>
      <c r="I149" s="57">
        <f t="shared" ref="I149" si="386">+G149-H149</f>
        <v>4162510</v>
      </c>
      <c r="J149" s="57">
        <f t="shared" ref="J149" si="387">SUM(I138:I149)/12</f>
        <v>6161333.833333333</v>
      </c>
      <c r="K149" s="57">
        <f t="shared" ref="K149" si="388">+F149*J149</f>
        <v>889696.60553333326</v>
      </c>
      <c r="L149" s="57">
        <v>0</v>
      </c>
      <c r="M149" s="57">
        <f t="shared" ref="M149" si="389">+K149+L149</f>
        <v>889696.60553333326</v>
      </c>
      <c r="N149" s="57">
        <v>5766663.2599999998</v>
      </c>
      <c r="P149" s="34">
        <f t="shared" ref="P149" si="390">+N149-O149</f>
        <v>5766663.2599999998</v>
      </c>
      <c r="Q149" s="34">
        <f t="shared" ref="Q149" si="391">SUM(P138:P149)/12</f>
        <v>7756538.2983333319</v>
      </c>
      <c r="R149" s="41">
        <f t="shared" ref="R149" si="392">+M149/Q148</f>
        <v>0.11343187718477728</v>
      </c>
      <c r="T149" s="88"/>
      <c r="U149" s="88"/>
      <c r="V149" s="80"/>
      <c r="W149" s="51"/>
      <c r="X149" s="52"/>
      <c r="Y149" s="52"/>
      <c r="Z149" s="52"/>
      <c r="AA149" s="52"/>
    </row>
    <row r="150" spans="3:27" hidden="1" x14ac:dyDescent="0.2">
      <c r="C150" s="32">
        <v>42125</v>
      </c>
      <c r="D150" s="55">
        <v>0.18090000000000001</v>
      </c>
      <c r="E150" s="55">
        <v>0</v>
      </c>
      <c r="F150" s="55">
        <f t="shared" si="266"/>
        <v>0.18090000000000001</v>
      </c>
      <c r="G150" s="56">
        <v>4763487</v>
      </c>
      <c r="H150" s="68"/>
      <c r="I150" s="57">
        <f t="shared" ref="I150" si="393">+G150-H150</f>
        <v>4763487</v>
      </c>
      <c r="J150" s="57">
        <f t="shared" ref="J150" si="394">SUM(I139:I150)/12</f>
        <v>6090432.333333333</v>
      </c>
      <c r="K150" s="57">
        <f t="shared" ref="K150" si="395">+F150*J150</f>
        <v>1101759.2090999999</v>
      </c>
      <c r="L150" s="57">
        <v>0</v>
      </c>
      <c r="M150" s="57">
        <f t="shared" ref="M150" si="396">+K150+L150</f>
        <v>1101759.2090999999</v>
      </c>
      <c r="N150" s="57">
        <v>6330889.4100000001</v>
      </c>
      <c r="P150" s="34">
        <f t="shared" ref="P150" si="397">+N150-O150</f>
        <v>6330889.4100000001</v>
      </c>
      <c r="Q150" s="34">
        <f t="shared" ref="Q150" si="398">SUM(P139:P150)/12</f>
        <v>7690212.543333333</v>
      </c>
      <c r="R150" s="41">
        <f t="shared" ref="R150" si="399">+M150/Q149</f>
        <v>0.14204264411828377</v>
      </c>
      <c r="T150" s="88"/>
      <c r="U150" s="88"/>
      <c r="V150" s="80"/>
      <c r="W150" s="51"/>
      <c r="X150" s="52"/>
      <c r="Y150" s="52"/>
      <c r="Z150" s="52"/>
      <c r="AA150" s="52"/>
    </row>
    <row r="151" spans="3:27" hidden="1" x14ac:dyDescent="0.2">
      <c r="C151" s="32">
        <v>42156</v>
      </c>
      <c r="D151" s="55">
        <v>0.18440000000000001</v>
      </c>
      <c r="E151" s="55">
        <v>0</v>
      </c>
      <c r="F151" s="55">
        <f t="shared" si="266"/>
        <v>0.18440000000000001</v>
      </c>
      <c r="G151" s="56">
        <v>6281563</v>
      </c>
      <c r="H151" s="68"/>
      <c r="I151" s="57">
        <f t="shared" ref="I151" si="400">+G151-H151</f>
        <v>6281563</v>
      </c>
      <c r="J151" s="57">
        <f t="shared" ref="J151" si="401">SUM(I140:I151)/12</f>
        <v>6062091.833333333</v>
      </c>
      <c r="K151" s="57">
        <f t="shared" ref="K151" si="402">+F151*J151</f>
        <v>1117849.7340666666</v>
      </c>
      <c r="L151" s="57">
        <v>0</v>
      </c>
      <c r="M151" s="57">
        <f t="shared" ref="M151" si="403">+K151+L151</f>
        <v>1117849.7340666666</v>
      </c>
      <c r="N151" s="57">
        <v>8184630.4199999999</v>
      </c>
      <c r="P151" s="34">
        <f t="shared" ref="P151" si="404">+N151-O151</f>
        <v>8184630.4199999999</v>
      </c>
      <c r="Q151" s="34">
        <f t="shared" ref="Q151" si="405">SUM(P140:P151)/12</f>
        <v>7673429.6224999996</v>
      </c>
      <c r="R151" s="41">
        <f t="shared" ref="R151" si="406">+M151/Q150</f>
        <v>0.14536005705534547</v>
      </c>
      <c r="T151" s="88"/>
      <c r="U151" s="88"/>
      <c r="V151" s="80"/>
      <c r="W151" s="51"/>
      <c r="X151" s="52"/>
      <c r="Y151" s="52"/>
      <c r="Z151" s="52"/>
      <c r="AA151" s="52"/>
    </row>
    <row r="152" spans="3:27" hidden="1" x14ac:dyDescent="0.2">
      <c r="C152" s="32">
        <v>42186</v>
      </c>
      <c r="D152" s="55">
        <v>0.15909999999999999</v>
      </c>
      <c r="E152" s="55">
        <v>0</v>
      </c>
      <c r="F152" s="55">
        <f t="shared" si="266"/>
        <v>0.15909999999999999</v>
      </c>
      <c r="G152" s="56">
        <v>6737456</v>
      </c>
      <c r="H152" s="68"/>
      <c r="I152" s="57">
        <f t="shared" ref="I152" si="407">+G152-H152</f>
        <v>6737456</v>
      </c>
      <c r="J152" s="57">
        <f t="shared" ref="J152" si="408">SUM(I141:I152)/12</f>
        <v>6068996.833333333</v>
      </c>
      <c r="K152" s="57">
        <f t="shared" ref="K152" si="409">+F152*J152</f>
        <v>965577.39618333324</v>
      </c>
      <c r="L152" s="57">
        <v>0</v>
      </c>
      <c r="M152" s="57">
        <f t="shared" ref="M152" si="410">+K152+L152</f>
        <v>965577.39618333324</v>
      </c>
      <c r="N152" s="57">
        <v>8472168.1999999993</v>
      </c>
      <c r="P152" s="34">
        <f t="shared" ref="P152" si="411">+N152-O152</f>
        <v>8472168.1999999993</v>
      </c>
      <c r="Q152" s="34">
        <f t="shared" ref="Q152" si="412">SUM(P141:P152)/12</f>
        <v>7690838.538333334</v>
      </c>
      <c r="R152" s="41">
        <f t="shared" ref="R152" si="413">+M152/Q151</f>
        <v>0.12583387659568429</v>
      </c>
      <c r="T152" s="88"/>
      <c r="U152" s="88"/>
      <c r="V152" s="80"/>
      <c r="W152" s="51"/>
      <c r="X152" s="52"/>
      <c r="Y152" s="52"/>
      <c r="Z152" s="52"/>
      <c r="AA152" s="52"/>
    </row>
    <row r="153" spans="3:27" hidden="1" x14ac:dyDescent="0.2">
      <c r="C153" s="32">
        <v>42217</v>
      </c>
      <c r="D153" s="55">
        <v>0.16250000000000001</v>
      </c>
      <c r="E153" s="55">
        <v>0</v>
      </c>
      <c r="F153" s="55">
        <f t="shared" si="266"/>
        <v>0.16250000000000001</v>
      </c>
      <c r="G153" s="56">
        <v>6182505</v>
      </c>
      <c r="H153" s="68"/>
      <c r="I153" s="57">
        <f t="shared" ref="I153" si="414">+G153-H153</f>
        <v>6182505</v>
      </c>
      <c r="J153" s="57">
        <f t="shared" ref="J153" si="415">SUM(I142:I153)/12</f>
        <v>6004514.583333333</v>
      </c>
      <c r="K153" s="57">
        <f t="shared" ref="K153" si="416">+F153*J153</f>
        <v>975733.61979166663</v>
      </c>
      <c r="L153" s="57">
        <v>36534</v>
      </c>
      <c r="M153" s="57">
        <f t="shared" ref="M153" si="417">+K153+L153</f>
        <v>1012267.6197916666</v>
      </c>
      <c r="N153" s="57">
        <v>7877293.6500000004</v>
      </c>
      <c r="P153" s="34">
        <f t="shared" ref="P153" si="418">+N153-O153</f>
        <v>7877293.6500000004</v>
      </c>
      <c r="Q153" s="34">
        <f t="shared" ref="Q153" si="419">SUM(P142:P153)/12</f>
        <v>7637157.0708333338</v>
      </c>
      <c r="R153" s="41">
        <f t="shared" ref="R153" si="420">+M153/Q152</f>
        <v>0.1316199286652861</v>
      </c>
      <c r="T153" s="83">
        <v>36534</v>
      </c>
      <c r="U153" s="83">
        <v>0</v>
      </c>
      <c r="V153" s="84">
        <f t="shared" ref="V153" si="421">SUM(T153:U153)</f>
        <v>36534</v>
      </c>
      <c r="W153" s="85" t="s">
        <v>93</v>
      </c>
      <c r="X153" s="86"/>
      <c r="Y153" s="86"/>
      <c r="Z153" s="86"/>
      <c r="AA153" s="87"/>
    </row>
    <row r="154" spans="3:27" hidden="1" x14ac:dyDescent="0.2">
      <c r="C154" s="32">
        <v>42248</v>
      </c>
      <c r="D154" s="55">
        <v>0.17069999999999999</v>
      </c>
      <c r="E154" s="55">
        <v>0</v>
      </c>
      <c r="F154" s="55">
        <f t="shared" si="266"/>
        <v>0.17069999999999999</v>
      </c>
      <c r="G154" s="56">
        <v>5656940</v>
      </c>
      <c r="H154" s="68"/>
      <c r="I154" s="57">
        <f t="shared" ref="I154" si="422">+G154-H154</f>
        <v>5656940</v>
      </c>
      <c r="J154" s="57">
        <f t="shared" ref="J154" si="423">SUM(I143:I154)/12</f>
        <v>5982734.083333333</v>
      </c>
      <c r="K154" s="57">
        <f t="shared" ref="K154" si="424">+F154*J154</f>
        <v>1021252.7080249999</v>
      </c>
      <c r="L154" s="57">
        <v>36534</v>
      </c>
      <c r="M154" s="57">
        <f t="shared" ref="M154" si="425">+K154+L154</f>
        <v>1057786.7080250001</v>
      </c>
      <c r="N154" s="57">
        <v>6910683.9699999997</v>
      </c>
      <c r="P154" s="34">
        <f t="shared" ref="P154" si="426">+N154-O154</f>
        <v>6910683.9699999997</v>
      </c>
      <c r="Q154" s="34">
        <f t="shared" ref="Q154" si="427">SUM(P143:P154)/12</f>
        <v>7607307.3150000013</v>
      </c>
      <c r="R154" s="41">
        <f t="shared" ref="R154" si="428">+M154/Q153</f>
        <v>0.13850529695987762</v>
      </c>
      <c r="T154" s="83">
        <v>36534</v>
      </c>
      <c r="U154" s="83">
        <v>0</v>
      </c>
      <c r="V154" s="84">
        <f t="shared" ref="V154" si="429">SUM(T154:U154)</f>
        <v>36534</v>
      </c>
      <c r="W154" s="85" t="s">
        <v>93</v>
      </c>
      <c r="X154" s="86"/>
      <c r="Y154" s="86"/>
      <c r="Z154" s="86"/>
      <c r="AA154" s="87"/>
    </row>
    <row r="155" spans="3:27" hidden="1" x14ac:dyDescent="0.2">
      <c r="C155" s="32">
        <v>42278</v>
      </c>
      <c r="D155" s="55">
        <v>0.18509999999999999</v>
      </c>
      <c r="E155" s="55">
        <v>0</v>
      </c>
      <c r="F155" s="55">
        <f t="shared" si="266"/>
        <v>0.18509999999999999</v>
      </c>
      <c r="G155" s="56">
        <v>4326287</v>
      </c>
      <c r="H155" s="68"/>
      <c r="I155" s="57">
        <f t="shared" ref="I155" si="430">+G155-H155</f>
        <v>4326287</v>
      </c>
      <c r="J155" s="57">
        <f t="shared" ref="J155" si="431">SUM(I144:I155)/12</f>
        <v>5940875</v>
      </c>
      <c r="K155" s="57">
        <f t="shared" ref="K155" si="432">+F155*J155</f>
        <v>1099655.9624999999</v>
      </c>
      <c r="L155" s="57">
        <v>36534</v>
      </c>
      <c r="M155" s="57">
        <f t="shared" ref="M155" si="433">+K155+L155</f>
        <v>1136189.9624999999</v>
      </c>
      <c r="N155" s="57">
        <v>5869616.4299999997</v>
      </c>
      <c r="P155" s="34">
        <f t="shared" ref="P155" si="434">+N155-O155</f>
        <v>5869616.4299999997</v>
      </c>
      <c r="Q155" s="34">
        <f t="shared" ref="Q155" si="435">SUM(P144:P155)/12</f>
        <v>7571834.2716666684</v>
      </c>
      <c r="R155" s="41">
        <f t="shared" ref="R155" si="436">+M155/Q154</f>
        <v>0.14935507604112083</v>
      </c>
      <c r="T155" s="83">
        <v>36534</v>
      </c>
      <c r="U155" s="83">
        <v>0</v>
      </c>
      <c r="V155" s="84">
        <f t="shared" ref="V155" si="437">SUM(T155:U155)</f>
        <v>36534</v>
      </c>
      <c r="W155" s="85" t="s">
        <v>93</v>
      </c>
      <c r="X155" s="86"/>
      <c r="Y155" s="86"/>
      <c r="Z155" s="86"/>
      <c r="AA155" s="87"/>
    </row>
    <row r="156" spans="3:27" hidden="1" x14ac:dyDescent="0.2">
      <c r="C156" s="32">
        <v>42309</v>
      </c>
      <c r="D156" s="55">
        <v>0.18809999999999999</v>
      </c>
      <c r="E156" s="55">
        <v>0</v>
      </c>
      <c r="F156" s="55">
        <f t="shared" ref="F156" si="438">D156-E156</f>
        <v>0.18809999999999999</v>
      </c>
      <c r="G156" s="56">
        <v>4953512</v>
      </c>
      <c r="H156" s="68"/>
      <c r="I156" s="57">
        <f t="shared" ref="I156" si="439">+G156-H156</f>
        <v>4953512</v>
      </c>
      <c r="J156" s="57">
        <f t="shared" ref="J156" si="440">SUM(I145:I156)/12</f>
        <v>5852169.416666667</v>
      </c>
      <c r="K156" s="57">
        <f t="shared" ref="K156" si="441">+F156*J156</f>
        <v>1100793.067275</v>
      </c>
      <c r="L156" s="57">
        <v>36534</v>
      </c>
      <c r="M156" s="57">
        <f t="shared" ref="M156" si="442">+K156+L156</f>
        <v>1137327.067275</v>
      </c>
      <c r="N156" s="57">
        <v>6489956.1699999999</v>
      </c>
      <c r="P156" s="34">
        <f t="shared" ref="P156" si="443">+N156-O156</f>
        <v>6489956.1699999999</v>
      </c>
      <c r="Q156" s="34">
        <f t="shared" ref="Q156" si="444">SUM(P145:P156)/12</f>
        <v>7474419.682500001</v>
      </c>
      <c r="R156" s="41">
        <f t="shared" ref="R156" si="445">+M156/Q155</f>
        <v>0.15020496044542431</v>
      </c>
      <c r="T156" s="83">
        <v>36534</v>
      </c>
      <c r="U156" s="83">
        <v>0</v>
      </c>
      <c r="V156" s="84">
        <f t="shared" ref="V156" si="446">SUM(T156:U156)</f>
        <v>36534</v>
      </c>
      <c r="W156" s="85" t="s">
        <v>93</v>
      </c>
      <c r="X156" s="86"/>
      <c r="Y156" s="86"/>
      <c r="Z156" s="86"/>
      <c r="AA156" s="87"/>
    </row>
    <row r="157" spans="3:27" hidden="1" x14ac:dyDescent="0.2">
      <c r="C157" s="32">
        <v>42339</v>
      </c>
      <c r="D157" s="55">
        <v>0.184</v>
      </c>
      <c r="E157" s="55">
        <v>0</v>
      </c>
      <c r="F157" s="55">
        <f t="shared" ref="F157" si="447">D157-E157</f>
        <v>0.184</v>
      </c>
      <c r="G157" s="56">
        <v>5488494</v>
      </c>
      <c r="H157" s="68"/>
      <c r="I157" s="57">
        <f t="shared" ref="I157" si="448">+G157-H157</f>
        <v>5488494</v>
      </c>
      <c r="J157" s="57">
        <f t="shared" ref="J157" si="449">SUM(I146:I157)/12</f>
        <v>5774310.5</v>
      </c>
      <c r="K157" s="57">
        <f t="shared" ref="K157" si="450">+F157*J157</f>
        <v>1062473.132</v>
      </c>
      <c r="L157" s="57">
        <v>36534</v>
      </c>
      <c r="M157" s="57">
        <f t="shared" ref="M157" si="451">+K157+L157</f>
        <v>1099007.132</v>
      </c>
      <c r="N157" s="57">
        <v>7173481.5899999999</v>
      </c>
      <c r="P157" s="34">
        <f t="shared" ref="P157" si="452">+N157-O157</f>
        <v>7173481.5899999999</v>
      </c>
      <c r="Q157" s="34">
        <f t="shared" ref="Q157" si="453">SUM(P146:P157)/12</f>
        <v>7370443.3016666686</v>
      </c>
      <c r="R157" s="41">
        <f t="shared" ref="R157" si="454">+M157/Q156</f>
        <v>0.14703578052663085</v>
      </c>
      <c r="T157" s="83">
        <v>36534</v>
      </c>
      <c r="U157" s="83">
        <v>0</v>
      </c>
      <c r="V157" s="84">
        <f t="shared" ref="V157" si="455">SUM(T157:U157)</f>
        <v>36534</v>
      </c>
      <c r="W157" s="85" t="s">
        <v>93</v>
      </c>
      <c r="X157" s="86"/>
      <c r="Y157" s="86"/>
      <c r="Z157" s="86"/>
      <c r="AA157" s="87"/>
    </row>
    <row r="158" spans="3:27" hidden="1" x14ac:dyDescent="0.2">
      <c r="C158" s="32">
        <v>42370</v>
      </c>
      <c r="D158" s="55">
        <v>0.16</v>
      </c>
      <c r="E158" s="55">
        <v>0</v>
      </c>
      <c r="F158" s="55">
        <f t="shared" ref="F158" si="456">D158-E158</f>
        <v>0.16</v>
      </c>
      <c r="G158" s="56">
        <v>6924325</v>
      </c>
      <c r="H158" s="68"/>
      <c r="I158" s="57">
        <f t="shared" ref="I158" si="457">+G158-H158</f>
        <v>6924325</v>
      </c>
      <c r="J158" s="57">
        <f t="shared" ref="J158" si="458">SUM(I147:I158)/12</f>
        <v>5739738.583333333</v>
      </c>
      <c r="K158" s="57">
        <f t="shared" ref="K158" si="459">+F158*J158</f>
        <v>918358.17333333334</v>
      </c>
      <c r="L158" s="57">
        <v>36534</v>
      </c>
      <c r="M158" s="57">
        <f t="shared" ref="M158" si="460">+K158+L158</f>
        <v>954892.17333333334</v>
      </c>
      <c r="N158" s="57">
        <v>8703943.4299999997</v>
      </c>
      <c r="P158" s="34">
        <f t="shared" ref="P158" si="461">+N158-O158</f>
        <v>8703943.4299999997</v>
      </c>
      <c r="Q158" s="34">
        <f t="shared" ref="Q158" si="462">SUM(P147:P158)/12</f>
        <v>7353425.3591666669</v>
      </c>
      <c r="R158" s="41">
        <f t="shared" ref="R158" si="463">+M158/Q157</f>
        <v>0.1295569525807769</v>
      </c>
      <c r="T158" s="83">
        <v>36534</v>
      </c>
      <c r="U158" s="83">
        <v>0</v>
      </c>
      <c r="V158" s="84">
        <f t="shared" ref="V158" si="464">SUM(T158:U158)</f>
        <v>36534</v>
      </c>
      <c r="W158" s="85" t="s">
        <v>93</v>
      </c>
      <c r="X158" s="86"/>
      <c r="Y158" s="86"/>
      <c r="Z158" s="86"/>
      <c r="AA158" s="87"/>
    </row>
    <row r="159" spans="3:27" hidden="1" x14ac:dyDescent="0.2">
      <c r="C159" s="32">
        <v>42401</v>
      </c>
      <c r="D159" s="55">
        <v>0.10920000000000001</v>
      </c>
      <c r="E159" s="55">
        <v>0</v>
      </c>
      <c r="F159" s="55">
        <f t="shared" ref="F159" si="465">D159-E159</f>
        <v>0.10920000000000001</v>
      </c>
      <c r="G159" s="56">
        <v>6097230</v>
      </c>
      <c r="H159" s="68"/>
      <c r="I159" s="57">
        <f t="shared" ref="I159" si="466">+G159-H159</f>
        <v>6097230</v>
      </c>
      <c r="J159" s="57">
        <f t="shared" ref="J159" si="467">SUM(I148:I159)/12</f>
        <v>5623964.916666667</v>
      </c>
      <c r="K159" s="57">
        <f t="shared" ref="K159" si="468">+F159*J159</f>
        <v>614136.96890000009</v>
      </c>
      <c r="L159" s="57">
        <v>0</v>
      </c>
      <c r="M159" s="57">
        <f t="shared" ref="M159" si="469">+K159+L159</f>
        <v>614136.96890000009</v>
      </c>
      <c r="N159" s="57">
        <v>8018495.4800000004</v>
      </c>
      <c r="P159" s="34">
        <f t="shared" ref="P159" si="470">+N159-O159</f>
        <v>8018495.4800000004</v>
      </c>
      <c r="Q159" s="34">
        <f t="shared" ref="Q159" si="471">SUM(P148:P159)/12</f>
        <v>7241232.9975000015</v>
      </c>
      <c r="R159" s="41">
        <f t="shared" ref="R159" si="472">+M159/Q158</f>
        <v>8.3517128263826929E-2</v>
      </c>
      <c r="T159" s="88"/>
      <c r="U159" s="88"/>
      <c r="V159" s="80"/>
      <c r="W159" s="51"/>
      <c r="X159" s="52"/>
      <c r="Y159" s="52"/>
      <c r="Z159" s="52"/>
      <c r="AA159" s="52"/>
    </row>
    <row r="160" spans="3:27" hidden="1" x14ac:dyDescent="0.2">
      <c r="C160" s="32">
        <v>42430</v>
      </c>
      <c r="D160" s="55">
        <v>0.14299999999999999</v>
      </c>
      <c r="E160" s="55">
        <v>0</v>
      </c>
      <c r="F160" s="55">
        <f t="shared" ref="F160" si="473">D160-E160</f>
        <v>0.14299999999999999</v>
      </c>
      <c r="G160" s="56">
        <v>4880939</v>
      </c>
      <c r="H160" s="68"/>
      <c r="I160" s="57">
        <f t="shared" ref="I160" si="474">+G160-H160</f>
        <v>4880939</v>
      </c>
      <c r="J160" s="57">
        <f t="shared" ref="J160" si="475">SUM(I149:I160)/12</f>
        <v>5537937.333333333</v>
      </c>
      <c r="K160" s="57">
        <f t="shared" ref="K160" si="476">+F160*J160</f>
        <v>791925.0386666666</v>
      </c>
      <c r="L160" s="57">
        <v>20275</v>
      </c>
      <c r="M160" s="57">
        <f t="shared" ref="M160" si="477">+K160+L160</f>
        <v>812200.0386666666</v>
      </c>
      <c r="N160" s="57">
        <v>6027374.4199999999</v>
      </c>
      <c r="P160" s="34">
        <f t="shared" ref="P160" si="478">+N160-O160</f>
        <v>6027374.4199999999</v>
      </c>
      <c r="Q160" s="34">
        <f t="shared" ref="Q160" si="479">SUM(P149:P160)/12</f>
        <v>7152099.7025000006</v>
      </c>
      <c r="R160" s="41">
        <f t="shared" ref="R160" si="480">+M160/Q159</f>
        <v>0.11216322399059311</v>
      </c>
      <c r="T160" s="83">
        <v>20275</v>
      </c>
      <c r="U160" s="83">
        <v>0</v>
      </c>
      <c r="V160" s="84">
        <f t="shared" ref="V160" si="481">SUM(T160:U160)</f>
        <v>20275</v>
      </c>
      <c r="W160" s="85" t="s">
        <v>94</v>
      </c>
      <c r="X160" s="86"/>
      <c r="Y160" s="86"/>
      <c r="Z160" s="86"/>
      <c r="AA160" s="87"/>
    </row>
    <row r="161" spans="3:27" hidden="1" x14ac:dyDescent="0.2">
      <c r="C161" s="32">
        <v>42461</v>
      </c>
      <c r="D161" s="55">
        <v>0.1759</v>
      </c>
      <c r="E161" s="55">
        <v>0</v>
      </c>
      <c r="F161" s="55">
        <f t="shared" ref="F161" si="482">D161-E161</f>
        <v>0.1759</v>
      </c>
      <c r="G161" s="56">
        <v>4297591</v>
      </c>
      <c r="H161" s="68"/>
      <c r="I161" s="57">
        <f t="shared" ref="I161" si="483">+G161-H161</f>
        <v>4297591</v>
      </c>
      <c r="J161" s="57">
        <f t="shared" ref="J161" si="484">SUM(I150:I161)/12</f>
        <v>5549194.083333333</v>
      </c>
      <c r="K161" s="57">
        <f t="shared" ref="K161" si="485">+F161*J161</f>
        <v>976103.23925833323</v>
      </c>
      <c r="L161" s="57">
        <v>20275</v>
      </c>
      <c r="M161" s="57">
        <f t="shared" ref="M161" si="486">+K161+L161</f>
        <v>996378.23925833323</v>
      </c>
      <c r="N161" s="57">
        <v>5971671.25</v>
      </c>
      <c r="P161" s="34">
        <f t="shared" ref="P161" si="487">+N161-O161</f>
        <v>5971671.25</v>
      </c>
      <c r="Q161" s="34">
        <f t="shared" ref="Q161" si="488">SUM(P150:P161)/12</f>
        <v>7169183.7016666671</v>
      </c>
      <c r="R161" s="41">
        <f t="shared" ref="R161" si="489">+M161/Q160</f>
        <v>0.13931268867938901</v>
      </c>
      <c r="T161" s="83">
        <v>20275</v>
      </c>
      <c r="U161" s="83">
        <v>0</v>
      </c>
      <c r="V161" s="84">
        <f t="shared" ref="V161" si="490">SUM(T161:U161)</f>
        <v>20275</v>
      </c>
      <c r="W161" s="85" t="s">
        <v>94</v>
      </c>
      <c r="X161" s="86"/>
      <c r="Y161" s="86"/>
      <c r="Z161" s="86"/>
      <c r="AA161" s="87"/>
    </row>
    <row r="162" spans="3:27" hidden="1" x14ac:dyDescent="0.2">
      <c r="C162" s="32">
        <v>42491</v>
      </c>
      <c r="D162" s="55">
        <v>0.18990000000000001</v>
      </c>
      <c r="E162" s="55">
        <v>0</v>
      </c>
      <c r="F162" s="55">
        <f t="shared" ref="F162" si="491">D162-E162</f>
        <v>0.18990000000000001</v>
      </c>
      <c r="G162" s="56">
        <v>4828220</v>
      </c>
      <c r="H162" s="68"/>
      <c r="I162" s="57">
        <f t="shared" ref="I162" si="492">+G162-H162</f>
        <v>4828220</v>
      </c>
      <c r="J162" s="57">
        <f t="shared" ref="J162" si="493">SUM(I151:I162)/12</f>
        <v>5554588.5</v>
      </c>
      <c r="K162" s="57">
        <f t="shared" ref="K162" si="494">+F162*J162</f>
        <v>1054816.3561500001</v>
      </c>
      <c r="L162" s="57">
        <v>20275</v>
      </c>
      <c r="M162" s="57">
        <f t="shared" ref="M162" si="495">+K162+L162</f>
        <v>1075091.3561500001</v>
      </c>
      <c r="N162" s="57">
        <v>6305611.4299999997</v>
      </c>
      <c r="P162" s="34">
        <f t="shared" ref="P162" si="496">+N162-O162</f>
        <v>6305611.4299999997</v>
      </c>
      <c r="Q162" s="34">
        <f t="shared" ref="Q162" si="497">SUM(P151:P162)/12</f>
        <v>7167077.2033333331</v>
      </c>
      <c r="R162" s="41">
        <f t="shared" ref="R162" si="498">+M162/Q161</f>
        <v>0.14996007926258978</v>
      </c>
      <c r="T162" s="83">
        <v>20275</v>
      </c>
      <c r="U162" s="83">
        <v>0</v>
      </c>
      <c r="V162" s="84">
        <f t="shared" ref="V162" si="499">SUM(T162:U162)</f>
        <v>20275</v>
      </c>
      <c r="W162" s="85" t="s">
        <v>94</v>
      </c>
      <c r="X162" s="86"/>
      <c r="Y162" s="86"/>
      <c r="Z162" s="86"/>
      <c r="AA162" s="87"/>
    </row>
    <row r="163" spans="3:27" hidden="1" x14ac:dyDescent="0.2">
      <c r="C163" s="32">
        <v>42522</v>
      </c>
      <c r="D163" s="55">
        <v>0.19600000000000001</v>
      </c>
      <c r="E163" s="55">
        <v>0</v>
      </c>
      <c r="F163" s="55">
        <f t="shared" ref="F163" si="500">D163-E163</f>
        <v>0.19600000000000001</v>
      </c>
      <c r="G163" s="56">
        <v>6027855</v>
      </c>
      <c r="H163" s="68"/>
      <c r="I163" s="57">
        <f t="shared" ref="I163" si="501">+G163-H163</f>
        <v>6027855</v>
      </c>
      <c r="J163" s="57">
        <f t="shared" ref="J163" si="502">SUM(I152:I163)/12</f>
        <v>5533446.166666667</v>
      </c>
      <c r="K163" s="57">
        <f t="shared" ref="K163" si="503">+F163*J163</f>
        <v>1084555.4486666669</v>
      </c>
      <c r="L163" s="57">
        <v>20275</v>
      </c>
      <c r="M163" s="57">
        <f t="shared" ref="M163" si="504">+K163+L163</f>
        <v>1104830.4486666669</v>
      </c>
      <c r="N163" s="57">
        <v>7736493.2800000003</v>
      </c>
      <c r="P163" s="34">
        <f t="shared" ref="P163" si="505">+N163-O163</f>
        <v>7736493.2800000003</v>
      </c>
      <c r="Q163" s="34">
        <f t="shared" ref="Q163" si="506">SUM(P152:P163)/12</f>
        <v>7129732.4416666673</v>
      </c>
      <c r="R163" s="41">
        <f t="shared" ref="R163" si="507">+M163/Q162</f>
        <v>0.15415355762497182</v>
      </c>
      <c r="T163" s="83">
        <v>20275</v>
      </c>
      <c r="U163" s="83">
        <v>0</v>
      </c>
      <c r="V163" s="84">
        <f t="shared" ref="V163" si="508">SUM(T163:U163)</f>
        <v>20275</v>
      </c>
      <c r="W163" s="85" t="s">
        <v>94</v>
      </c>
      <c r="X163" s="86"/>
      <c r="Y163" s="86"/>
      <c r="Z163" s="86"/>
      <c r="AA163" s="87"/>
    </row>
    <row r="164" spans="3:27" hidden="1" x14ac:dyDescent="0.2">
      <c r="C164" s="32">
        <v>42552</v>
      </c>
      <c r="D164" s="55">
        <v>0.16500000000000001</v>
      </c>
      <c r="E164" s="55">
        <v>0</v>
      </c>
      <c r="F164" s="55">
        <f t="shared" ref="F164" si="509">D164-E164</f>
        <v>0.16500000000000001</v>
      </c>
      <c r="G164" s="56">
        <v>6774453</v>
      </c>
      <c r="H164" s="68"/>
      <c r="I164" s="57">
        <f t="shared" ref="I164" si="510">+G164-H164</f>
        <v>6774453</v>
      </c>
      <c r="J164" s="57">
        <f t="shared" ref="J164" si="511">SUM(I153:I164)/12</f>
        <v>5536529.25</v>
      </c>
      <c r="K164" s="57">
        <f t="shared" ref="K164" si="512">+F164*J164</f>
        <v>913527.32625000004</v>
      </c>
      <c r="L164" s="57">
        <v>20275</v>
      </c>
      <c r="M164" s="57">
        <f t="shared" ref="M164" si="513">+K164+L164</f>
        <v>933802.32625000004</v>
      </c>
      <c r="N164" s="57">
        <v>8657400.8399999999</v>
      </c>
      <c r="P164" s="34">
        <f t="shared" ref="P164" si="514">+N164-O164</f>
        <v>8657400.8399999999</v>
      </c>
      <c r="Q164" s="34">
        <f t="shared" ref="Q164" si="515">SUM(P153:P164)/12</f>
        <v>7145168.4950000001</v>
      </c>
      <c r="R164" s="41">
        <f t="shared" ref="R164" si="516">+M164/Q163</f>
        <v>0.13097298305232219</v>
      </c>
      <c r="T164" s="83">
        <v>20275</v>
      </c>
      <c r="U164" s="83">
        <v>0</v>
      </c>
      <c r="V164" s="84">
        <f t="shared" ref="V164" si="517">SUM(T164:U164)</f>
        <v>20275</v>
      </c>
      <c r="W164" s="85" t="s">
        <v>94</v>
      </c>
      <c r="X164" s="86"/>
      <c r="Y164" s="86"/>
      <c r="Z164" s="86"/>
      <c r="AA164" s="87"/>
    </row>
    <row r="165" spans="3:27" hidden="1" x14ac:dyDescent="0.2">
      <c r="C165" s="32">
        <v>42583</v>
      </c>
      <c r="D165" s="55">
        <v>0.1429</v>
      </c>
      <c r="E165" s="55">
        <v>0</v>
      </c>
      <c r="F165" s="55">
        <f t="shared" ref="F165" si="518">D165-E165</f>
        <v>0.1429</v>
      </c>
      <c r="G165" s="56">
        <v>6915220</v>
      </c>
      <c r="H165" s="68"/>
      <c r="I165" s="57">
        <f t="shared" ref="I165" si="519">+G165-H165</f>
        <v>6915220</v>
      </c>
      <c r="J165" s="57">
        <f t="shared" ref="J165" si="520">SUM(I154:I165)/12</f>
        <v>5597588.833333333</v>
      </c>
      <c r="K165" s="57">
        <f t="shared" ref="K165" si="521">+F165*J165</f>
        <v>799895.44428333326</v>
      </c>
      <c r="L165" s="57">
        <v>20920</v>
      </c>
      <c r="M165" s="57">
        <f t="shared" ref="M165" si="522">+K165+L165</f>
        <v>820815.44428333326</v>
      </c>
      <c r="N165" s="57">
        <v>8633216.1999999993</v>
      </c>
      <c r="P165" s="34">
        <f t="shared" ref="P165" si="523">+N165-O165</f>
        <v>8633216.1999999993</v>
      </c>
      <c r="Q165" s="34">
        <f t="shared" ref="Q165" si="524">SUM(P154:P165)/12</f>
        <v>7208162.0408333344</v>
      </c>
      <c r="R165" s="41">
        <f t="shared" ref="R165" si="525">+M165/Q164</f>
        <v>0.11487698923513395</v>
      </c>
      <c r="T165" s="83">
        <v>20275</v>
      </c>
      <c r="U165" s="83">
        <v>645</v>
      </c>
      <c r="V165" s="84">
        <f t="shared" ref="V165" si="526">SUM(T165:U165)</f>
        <v>20920</v>
      </c>
      <c r="W165" s="85" t="s">
        <v>95</v>
      </c>
      <c r="X165" s="86"/>
      <c r="Y165" s="86"/>
      <c r="Z165" s="86"/>
      <c r="AA165" s="87"/>
    </row>
    <row r="166" spans="3:27" hidden="1" x14ac:dyDescent="0.2">
      <c r="C166" s="32">
        <v>42614</v>
      </c>
      <c r="D166" s="55">
        <v>0.14760000000000001</v>
      </c>
      <c r="E166" s="55">
        <v>0</v>
      </c>
      <c r="F166" s="55">
        <f t="shared" ref="F166" si="527">D166-E166</f>
        <v>0.14760000000000001</v>
      </c>
      <c r="G166" s="56">
        <v>6018193</v>
      </c>
      <c r="H166" s="68"/>
      <c r="I166" s="57">
        <f t="shared" ref="I166" si="528">+G166-H166</f>
        <v>6018193</v>
      </c>
      <c r="J166" s="57">
        <f t="shared" ref="J166" si="529">SUM(I155:I166)/12</f>
        <v>5627693.25</v>
      </c>
      <c r="K166" s="57">
        <f t="shared" ref="K166" si="530">+F166*J166</f>
        <v>830647.52370000002</v>
      </c>
      <c r="L166" s="57">
        <v>645</v>
      </c>
      <c r="M166" s="57">
        <f t="shared" ref="M166" si="531">+K166+L166</f>
        <v>831292.52370000002</v>
      </c>
      <c r="N166" s="57">
        <v>7520330.5899999999</v>
      </c>
      <c r="P166" s="34">
        <f t="shared" ref="P166" si="532">+N166-O166</f>
        <v>7520330.5899999999</v>
      </c>
      <c r="Q166" s="34">
        <f t="shared" ref="Q166" si="533">SUM(P155:P166)/12</f>
        <v>7258965.9258333333</v>
      </c>
      <c r="R166" s="41">
        <f t="shared" ref="R166" si="534">+M166/Q165</f>
        <v>0.11532655883577979</v>
      </c>
      <c r="T166" s="83">
        <v>0</v>
      </c>
      <c r="U166" s="83">
        <v>645</v>
      </c>
      <c r="V166" s="84">
        <f>SUM(T166:U166)</f>
        <v>645</v>
      </c>
      <c r="W166" s="85" t="s">
        <v>96</v>
      </c>
      <c r="X166" s="86"/>
      <c r="Y166" s="86"/>
      <c r="Z166" s="86"/>
      <c r="AA166" s="87"/>
    </row>
    <row r="167" spans="3:27" hidden="1" x14ac:dyDescent="0.2">
      <c r="C167" s="32">
        <v>42644</v>
      </c>
      <c r="D167" s="55">
        <v>0.17169999999999999</v>
      </c>
      <c r="E167" s="55">
        <v>0</v>
      </c>
      <c r="F167" s="55">
        <f t="shared" ref="F167" si="535">D167-E167</f>
        <v>0.17169999999999999</v>
      </c>
      <c r="G167" s="56">
        <v>4705268</v>
      </c>
      <c r="H167" s="68"/>
      <c r="I167" s="57">
        <f t="shared" ref="I167" si="536">+G167-H167</f>
        <v>4705268</v>
      </c>
      <c r="J167" s="57">
        <f t="shared" ref="J167" si="537">SUM(I156:I167)/12</f>
        <v>5659275</v>
      </c>
      <c r="K167" s="57">
        <f t="shared" ref="K167" si="538">+F167*J167</f>
        <v>971697.51749999996</v>
      </c>
      <c r="L167" s="57">
        <v>645</v>
      </c>
      <c r="M167" s="57">
        <f t="shared" ref="M167" si="539">+K167+L167</f>
        <v>972342.51749999996</v>
      </c>
      <c r="N167" s="57">
        <v>6078851.5499999998</v>
      </c>
      <c r="P167" s="34">
        <f t="shared" ref="P167" si="540">+N167-O167</f>
        <v>6078851.5499999998</v>
      </c>
      <c r="Q167" s="34">
        <f t="shared" ref="Q167" si="541">SUM(P156:P167)/12</f>
        <v>7276402.185833334</v>
      </c>
      <c r="R167" s="41">
        <f t="shared" ref="R167" si="542">+M167/Q166</f>
        <v>0.13395055541445794</v>
      </c>
      <c r="T167" s="83">
        <v>0</v>
      </c>
      <c r="U167" s="83">
        <v>645</v>
      </c>
      <c r="V167" s="84">
        <f>SUM(T167:U167)</f>
        <v>645</v>
      </c>
      <c r="W167" s="85" t="s">
        <v>96</v>
      </c>
      <c r="X167" s="86"/>
      <c r="Y167" s="86"/>
      <c r="Z167" s="86"/>
      <c r="AA167" s="87"/>
    </row>
    <row r="168" spans="3:27" hidden="1" x14ac:dyDescent="0.2">
      <c r="C168" s="32">
        <v>42675</v>
      </c>
      <c r="D168" s="55">
        <v>0.19950000000000001</v>
      </c>
      <c r="E168" s="55">
        <v>0</v>
      </c>
      <c r="F168" s="55">
        <f t="shared" ref="F168" si="543">D168-E168</f>
        <v>0.19950000000000001</v>
      </c>
      <c r="G168" s="56">
        <v>4892654</v>
      </c>
      <c r="H168" s="68"/>
      <c r="I168" s="57">
        <f t="shared" ref="I168" si="544">+G168-H168</f>
        <v>4892654</v>
      </c>
      <c r="J168" s="57">
        <f t="shared" ref="J168" si="545">SUM(I157:I168)/12</f>
        <v>5654203.5</v>
      </c>
      <c r="K168" s="57">
        <f t="shared" ref="K168" si="546">+F168*J168</f>
        <v>1128013.59825</v>
      </c>
      <c r="L168" s="57">
        <v>645</v>
      </c>
      <c r="M168" s="57">
        <f t="shared" ref="M168" si="547">+K168+L168</f>
        <v>1128658.59825</v>
      </c>
      <c r="N168" s="57">
        <v>6543051.7999999998</v>
      </c>
      <c r="P168" s="34">
        <f t="shared" ref="P168" si="548">+N168-O168</f>
        <v>6543051.7999999998</v>
      </c>
      <c r="Q168" s="34">
        <f t="shared" ref="Q168" si="549">SUM(P157:P168)/12</f>
        <v>7280826.8216666663</v>
      </c>
      <c r="R168" s="41">
        <f t="shared" ref="R168" si="550">+M168/Q167</f>
        <v>0.15511217898969665</v>
      </c>
      <c r="T168" s="83">
        <v>0</v>
      </c>
      <c r="U168" s="83">
        <v>645</v>
      </c>
      <c r="V168" s="84">
        <f>SUM(T168:U168)</f>
        <v>645</v>
      </c>
      <c r="W168" s="85" t="s">
        <v>96</v>
      </c>
      <c r="X168" s="86"/>
      <c r="Y168" s="86"/>
      <c r="Z168" s="86"/>
      <c r="AA168" s="87"/>
    </row>
    <row r="169" spans="3:27" hidden="1" x14ac:dyDescent="0.2">
      <c r="C169" s="32">
        <v>42705</v>
      </c>
      <c r="D169" s="55">
        <v>0.16919999999999999</v>
      </c>
      <c r="E169" s="55">
        <v>0</v>
      </c>
      <c r="F169" s="55">
        <f t="shared" ref="F169" si="551">D169-E169</f>
        <v>0.16919999999999999</v>
      </c>
      <c r="G169" s="56">
        <v>6657587</v>
      </c>
      <c r="H169" s="68"/>
      <c r="I169" s="57">
        <f t="shared" ref="I169" si="552">+G169-H169</f>
        <v>6657587</v>
      </c>
      <c r="J169" s="57">
        <f t="shared" ref="J169" si="553">SUM(I158:I169)/12</f>
        <v>5751627.916666667</v>
      </c>
      <c r="K169" s="57">
        <f t="shared" ref="K169" si="554">+F169*J169</f>
        <v>973175.44349999994</v>
      </c>
      <c r="L169" s="57">
        <v>645</v>
      </c>
      <c r="M169" s="57">
        <f t="shared" ref="M169" si="555">+K169+L169</f>
        <v>973820.44349999994</v>
      </c>
      <c r="N169" s="57">
        <v>8739474.2799999993</v>
      </c>
      <c r="P169" s="34">
        <f t="shared" ref="P169" si="556">+N169-O169</f>
        <v>8739474.2799999993</v>
      </c>
      <c r="Q169" s="34">
        <f t="shared" ref="Q169" si="557">SUM(P158:P169)/12</f>
        <v>7411326.2124999994</v>
      </c>
      <c r="R169" s="41">
        <f t="shared" ref="R169" si="558">+M169/Q168</f>
        <v>0.13375135370642988</v>
      </c>
      <c r="T169" s="83">
        <v>0</v>
      </c>
      <c r="U169" s="83">
        <v>645</v>
      </c>
      <c r="V169" s="84">
        <f>SUM(T169:U169)</f>
        <v>645</v>
      </c>
      <c r="W169" s="85" t="s">
        <v>96</v>
      </c>
      <c r="X169" s="86"/>
      <c r="Y169" s="86"/>
      <c r="Z169" s="86"/>
      <c r="AA169" s="87"/>
    </row>
    <row r="170" spans="3:27" hidden="1" x14ac:dyDescent="0.2">
      <c r="C170" s="32">
        <v>42736</v>
      </c>
      <c r="D170" s="55">
        <v>0.11210000000000001</v>
      </c>
      <c r="E170" s="55">
        <v>0</v>
      </c>
      <c r="F170" s="55">
        <f t="shared" ref="F170" si="559">D170-E170</f>
        <v>0.11210000000000001</v>
      </c>
      <c r="G170" s="56">
        <v>6604764</v>
      </c>
      <c r="H170" s="68"/>
      <c r="I170" s="57">
        <f t="shared" ref="I170" si="560">+G170-H170</f>
        <v>6604764</v>
      </c>
      <c r="J170" s="57">
        <f t="shared" ref="J170" si="561">SUM(I159:I170)/12</f>
        <v>5724997.833333333</v>
      </c>
      <c r="K170" s="57">
        <f t="shared" ref="K170" si="562">+F170*J170</f>
        <v>641772.25711666665</v>
      </c>
      <c r="L170" s="57">
        <v>644</v>
      </c>
      <c r="M170" s="57">
        <f t="shared" ref="M170" si="563">+K170+L170</f>
        <v>642416.25711666665</v>
      </c>
      <c r="N170" s="57">
        <v>7819243.1600000001</v>
      </c>
      <c r="P170" s="34">
        <f t="shared" ref="P170" si="564">+N170-O170</f>
        <v>7819243.1600000001</v>
      </c>
      <c r="Q170" s="34">
        <f t="shared" ref="Q170" si="565">SUM(P159:P170)/12</f>
        <v>7337601.1900000004</v>
      </c>
      <c r="R170" s="41">
        <f t="shared" ref="R170" si="566">+M170/Q169</f>
        <v>8.6680337458788753E-2</v>
      </c>
      <c r="T170" s="83">
        <v>0</v>
      </c>
      <c r="U170" s="89">
        <f>3869-SUM(U165:U169)</f>
        <v>644</v>
      </c>
      <c r="V170" s="84">
        <f>SUM(T170:U170)</f>
        <v>644</v>
      </c>
      <c r="W170" s="85" t="s">
        <v>96</v>
      </c>
      <c r="X170" s="86"/>
      <c r="Y170" s="86"/>
      <c r="Z170" s="86"/>
      <c r="AA170" s="87"/>
    </row>
    <row r="171" spans="3:27" hidden="1" x14ac:dyDescent="0.2">
      <c r="C171" s="32">
        <v>42767</v>
      </c>
      <c r="D171" s="55">
        <v>0.1226</v>
      </c>
      <c r="E171" s="55">
        <v>0</v>
      </c>
      <c r="F171" s="55">
        <f t="shared" ref="F171" si="567">D171-E171</f>
        <v>0.1226</v>
      </c>
      <c r="G171" s="56">
        <v>5293590</v>
      </c>
      <c r="H171" s="68"/>
      <c r="I171" s="57">
        <f t="shared" ref="I171" si="568">+G171-H171</f>
        <v>5293590</v>
      </c>
      <c r="J171" s="57">
        <f t="shared" ref="J171" si="569">SUM(I160:I171)/12</f>
        <v>5658027.833333333</v>
      </c>
      <c r="K171" s="57">
        <f t="shared" ref="K171" si="570">+F171*J171</f>
        <v>693674.21236666664</v>
      </c>
      <c r="L171" s="57">
        <v>0</v>
      </c>
      <c r="M171" s="57">
        <f t="shared" ref="M171" si="571">+K171+L171</f>
        <v>693674.21236666664</v>
      </c>
      <c r="N171" s="57">
        <v>6960818.04</v>
      </c>
      <c r="P171" s="34">
        <f t="shared" ref="P171" si="572">+N171-O171</f>
        <v>6960818.04</v>
      </c>
      <c r="Q171" s="34">
        <f t="shared" ref="Q171" si="573">SUM(P160:P171)/12</f>
        <v>7249461.4033333333</v>
      </c>
      <c r="R171" s="41">
        <f t="shared" ref="R171" si="574">+M171/Q170</f>
        <v>9.4536919410670037E-2</v>
      </c>
      <c r="T171" s="88"/>
      <c r="U171" s="90"/>
      <c r="V171" s="80"/>
      <c r="W171" s="51"/>
      <c r="X171" s="52"/>
      <c r="Y171" s="52"/>
      <c r="Z171" s="52"/>
      <c r="AA171" s="52"/>
    </row>
    <row r="172" spans="3:27" hidden="1" x14ac:dyDescent="0.2">
      <c r="C172" s="32">
        <v>42795</v>
      </c>
      <c r="D172" s="55">
        <v>0.1573</v>
      </c>
      <c r="E172" s="55">
        <v>0</v>
      </c>
      <c r="F172" s="55">
        <f t="shared" ref="F172" si="575">D172-E172</f>
        <v>0.1573</v>
      </c>
      <c r="G172" s="56">
        <v>5192606</v>
      </c>
      <c r="H172" s="68"/>
      <c r="I172" s="57">
        <f t="shared" ref="I172" si="576">+G172-H172</f>
        <v>5192606</v>
      </c>
      <c r="J172" s="57">
        <f t="shared" ref="J172" si="577">SUM(I161:I172)/12</f>
        <v>5684000.083333333</v>
      </c>
      <c r="K172" s="57">
        <f t="shared" ref="K172" si="578">+F172*J172</f>
        <v>894093.21310833329</v>
      </c>
      <c r="L172" s="57">
        <v>0</v>
      </c>
      <c r="M172" s="57">
        <f t="shared" ref="M172" si="579">+K172+L172</f>
        <v>894093.21310833329</v>
      </c>
      <c r="N172" s="57">
        <v>6563093.4500000002</v>
      </c>
      <c r="P172" s="34">
        <f t="shared" ref="P172" si="580">+N172-O172</f>
        <v>6563093.4500000002</v>
      </c>
      <c r="Q172" s="34">
        <f t="shared" ref="Q172" si="581">SUM(P161:P172)/12</f>
        <v>7294104.6558333337</v>
      </c>
      <c r="R172" s="41">
        <f t="shared" ref="R172" si="582">+M172/Q171</f>
        <v>0.12333236407013981</v>
      </c>
      <c r="T172" s="88"/>
      <c r="U172" s="90"/>
      <c r="V172" s="80"/>
      <c r="W172" s="51"/>
      <c r="X172" s="52"/>
      <c r="Y172" s="52"/>
      <c r="Z172" s="52"/>
      <c r="AA172" s="52"/>
    </row>
    <row r="173" spans="3:27" hidden="1" x14ac:dyDescent="0.2">
      <c r="C173" s="32">
        <v>42826</v>
      </c>
      <c r="D173" s="55">
        <v>0.154</v>
      </c>
      <c r="E173" s="55">
        <v>0</v>
      </c>
      <c r="F173" s="55">
        <f t="shared" ref="F173" si="583">D173-E173</f>
        <v>0.154</v>
      </c>
      <c r="G173" s="56">
        <v>4453020</v>
      </c>
      <c r="H173" s="68"/>
      <c r="I173" s="57">
        <f t="shared" ref="I173" si="584">+G173-H173</f>
        <v>4453020</v>
      </c>
      <c r="J173" s="57">
        <f t="shared" ref="J173" si="585">SUM(I162:I173)/12</f>
        <v>5696952.5</v>
      </c>
      <c r="K173" s="57">
        <f t="shared" ref="K173" si="586">+F173*J173</f>
        <v>877330.68499999994</v>
      </c>
      <c r="L173" s="57">
        <v>-16871</v>
      </c>
      <c r="M173" s="57">
        <f t="shared" ref="M173" si="587">+K173+L173</f>
        <v>860459.68499999994</v>
      </c>
      <c r="N173" s="57">
        <v>6202216.9500000002</v>
      </c>
      <c r="P173" s="34">
        <f t="shared" ref="P173" si="588">+N173-O173</f>
        <v>6202216.9500000002</v>
      </c>
      <c r="Q173" s="34">
        <f t="shared" ref="Q173" si="589">SUM(P162:P173)/12</f>
        <v>7313316.7975000003</v>
      </c>
      <c r="R173" s="41">
        <f t="shared" ref="R173" si="590">+M173/Q172</f>
        <v>0.11796645724185795</v>
      </c>
      <c r="T173" s="83">
        <v>-16871</v>
      </c>
      <c r="U173" s="83">
        <v>0</v>
      </c>
      <c r="V173" s="84">
        <f t="shared" ref="V173" si="591">SUM(T173:U173)</f>
        <v>-16871</v>
      </c>
      <c r="W173" s="85" t="s">
        <v>97</v>
      </c>
      <c r="X173" s="86"/>
      <c r="Y173" s="86"/>
      <c r="Z173" s="86"/>
      <c r="AA173" s="87"/>
    </row>
    <row r="174" spans="3:27" hidden="1" x14ac:dyDescent="0.2">
      <c r="C174" s="32">
        <v>42856</v>
      </c>
      <c r="D174" s="55">
        <v>0.1986</v>
      </c>
      <c r="E174" s="55">
        <v>0</v>
      </c>
      <c r="F174" s="55">
        <f t="shared" ref="F174" si="592">D174-E174</f>
        <v>0.1986</v>
      </c>
      <c r="G174" s="56">
        <v>5183957</v>
      </c>
      <c r="H174" s="68"/>
      <c r="I174" s="57">
        <f t="shared" ref="I174" si="593">+G174-H174</f>
        <v>5183957</v>
      </c>
      <c r="J174" s="57">
        <f t="shared" ref="J174" si="594">SUM(I163:I174)/12</f>
        <v>5726597.25</v>
      </c>
      <c r="K174" s="57">
        <f t="shared" ref="K174" si="595">+F174*J174</f>
        <v>1137302.2138499999</v>
      </c>
      <c r="L174" s="57">
        <v>-16871</v>
      </c>
      <c r="M174" s="57">
        <f t="shared" ref="M174" si="596">+K174+L174</f>
        <v>1120431.2138499999</v>
      </c>
      <c r="N174" s="57">
        <v>6923148.5700000003</v>
      </c>
      <c r="P174" s="34">
        <f t="shared" ref="P174" si="597">+N174-O174</f>
        <v>6923148.5700000003</v>
      </c>
      <c r="Q174" s="34">
        <f t="shared" ref="Q174" si="598">SUM(P163:P174)/12</f>
        <v>7364778.225833334</v>
      </c>
      <c r="R174" s="41">
        <f t="shared" ref="R174" si="599">+M174/Q173</f>
        <v>0.15320424984639125</v>
      </c>
      <c r="T174" s="83">
        <v>-16871</v>
      </c>
      <c r="U174" s="83">
        <v>0</v>
      </c>
      <c r="V174" s="84">
        <f t="shared" ref="V174" si="600">SUM(T174:U174)</f>
        <v>-16871</v>
      </c>
      <c r="W174" s="85" t="s">
        <v>97</v>
      </c>
      <c r="X174" s="86"/>
      <c r="Y174" s="86"/>
      <c r="Z174" s="86"/>
      <c r="AA174" s="87"/>
    </row>
    <row r="175" spans="3:27" hidden="1" x14ac:dyDescent="0.2">
      <c r="C175" s="32">
        <v>42887</v>
      </c>
      <c r="D175" s="55">
        <v>0.18129999999999999</v>
      </c>
      <c r="E175" s="55">
        <v>0</v>
      </c>
      <c r="F175" s="55">
        <f t="shared" ref="F175" si="601">D175-E175</f>
        <v>0.18129999999999999</v>
      </c>
      <c r="G175" s="56">
        <v>5917285</v>
      </c>
      <c r="H175" s="68"/>
      <c r="I175" s="57">
        <f t="shared" ref="I175" si="602">+G175-H175</f>
        <v>5917285</v>
      </c>
      <c r="J175" s="57">
        <f t="shared" ref="J175" si="603">SUM(I164:I175)/12</f>
        <v>5717383.083333333</v>
      </c>
      <c r="K175" s="57">
        <f t="shared" ref="K175" si="604">+F175*J175</f>
        <v>1036561.5530083332</v>
      </c>
      <c r="L175" s="57">
        <v>-4393</v>
      </c>
      <c r="M175" s="57">
        <f t="shared" ref="M175" si="605">+K175+L175</f>
        <v>1032168.5530083332</v>
      </c>
      <c r="N175" s="57">
        <v>7805211.3499999996</v>
      </c>
      <c r="P175" s="34">
        <f t="shared" ref="P175" si="606">+N175-O175</f>
        <v>7805211.3499999996</v>
      </c>
      <c r="Q175" s="34">
        <f t="shared" ref="Q175" si="607">SUM(P164:P175)/12</f>
        <v>7370504.7316666665</v>
      </c>
      <c r="R175" s="41">
        <f t="shared" ref="R175" si="608">+M175/Q174</f>
        <v>0.14014930543160273</v>
      </c>
      <c r="T175" s="83">
        <v>-16871</v>
      </c>
      <c r="U175" s="83">
        <v>12478</v>
      </c>
      <c r="V175" s="84">
        <f t="shared" ref="V175" si="609">SUM(T175:U175)</f>
        <v>-4393</v>
      </c>
      <c r="W175" s="85" t="s">
        <v>98</v>
      </c>
      <c r="X175" s="86"/>
      <c r="Y175" s="86"/>
      <c r="Z175" s="86"/>
      <c r="AA175" s="87"/>
    </row>
    <row r="176" spans="3:27" hidden="1" x14ac:dyDescent="0.2">
      <c r="C176" s="32">
        <v>42917</v>
      </c>
      <c r="D176" s="55">
        <v>0.17749999999999999</v>
      </c>
      <c r="E176" s="55">
        <v>0</v>
      </c>
      <c r="F176" s="55">
        <f t="shared" ref="F176" si="610">D176-E176</f>
        <v>0.17749999999999999</v>
      </c>
      <c r="G176" s="56">
        <v>6625603</v>
      </c>
      <c r="H176" s="68"/>
      <c r="I176" s="57">
        <f t="shared" ref="I176" si="611">+G176-H176</f>
        <v>6625603</v>
      </c>
      <c r="J176" s="57">
        <f t="shared" ref="J176" si="612">SUM(I165:I176)/12</f>
        <v>5704978.916666667</v>
      </c>
      <c r="K176" s="57">
        <f t="shared" ref="K176" si="613">+F176*J176</f>
        <v>1012633.7577083333</v>
      </c>
      <c r="L176" s="57">
        <v>-4393</v>
      </c>
      <c r="M176" s="57">
        <f t="shared" ref="M176" si="614">+K176+L176</f>
        <v>1008240.7577083333</v>
      </c>
      <c r="N176" s="57">
        <v>8281399.4100000001</v>
      </c>
      <c r="P176" s="34">
        <f t="shared" ref="P176" si="615">+N176-O176</f>
        <v>8281399.4100000001</v>
      </c>
      <c r="Q176" s="34">
        <f t="shared" ref="Q176" si="616">SUM(P165:P176)/12</f>
        <v>7339171.2791666659</v>
      </c>
      <c r="R176" s="41">
        <f t="shared" ref="R176" si="617">+M176/Q175</f>
        <v>0.13679399097005171</v>
      </c>
      <c r="T176" s="83">
        <v>-16871</v>
      </c>
      <c r="U176" s="83">
        <v>12478</v>
      </c>
      <c r="V176" s="84">
        <f t="shared" ref="V176" si="618">SUM(T176:U176)</f>
        <v>-4393</v>
      </c>
      <c r="W176" s="85" t="s">
        <v>98</v>
      </c>
      <c r="X176" s="86"/>
      <c r="Y176" s="86"/>
      <c r="Z176" s="86"/>
      <c r="AA176" s="87"/>
    </row>
    <row r="177" spans="3:27" hidden="1" x14ac:dyDescent="0.2">
      <c r="C177" s="32">
        <v>42948</v>
      </c>
      <c r="D177" s="55">
        <v>0.15890000000000001</v>
      </c>
      <c r="E177" s="55">
        <v>0</v>
      </c>
      <c r="F177" s="55">
        <f t="shared" ref="F177" si="619">D177-E177</f>
        <v>0.15890000000000001</v>
      </c>
      <c r="G177" s="56">
        <v>6152857</v>
      </c>
      <c r="H177" s="68"/>
      <c r="I177" s="57">
        <f t="shared" ref="I177" si="620">+G177-H177</f>
        <v>6152857</v>
      </c>
      <c r="J177" s="57">
        <f t="shared" ref="J177" si="621">SUM(I166:I177)/12</f>
        <v>5641448.666666667</v>
      </c>
      <c r="K177" s="57">
        <f t="shared" ref="K177" si="622">+F177*J177</f>
        <v>896426.19313333347</v>
      </c>
      <c r="L177" s="57">
        <v>-4393</v>
      </c>
      <c r="M177" s="57">
        <f t="shared" ref="M177" si="623">+K177+L177</f>
        <v>892033.19313333347</v>
      </c>
      <c r="N177" s="57">
        <v>7924124.0999999996</v>
      </c>
      <c r="P177" s="34">
        <f t="shared" ref="P177" si="624">+N177-O177</f>
        <v>7924124.0999999996</v>
      </c>
      <c r="Q177" s="34">
        <f t="shared" ref="Q177" si="625">SUM(P166:P177)/12</f>
        <v>7280080.2708333321</v>
      </c>
      <c r="R177" s="41">
        <f t="shared" ref="R177" si="626">+M177/Q176</f>
        <v>0.1215441306929984</v>
      </c>
      <c r="T177" s="83">
        <v>-16871</v>
      </c>
      <c r="U177" s="83">
        <v>12478</v>
      </c>
      <c r="V177" s="84">
        <f t="shared" ref="V177" si="627">SUM(T177:U177)</f>
        <v>-4393</v>
      </c>
      <c r="W177" s="85" t="s">
        <v>98</v>
      </c>
      <c r="X177" s="86"/>
      <c r="Y177" s="86"/>
      <c r="Z177" s="86"/>
      <c r="AA177" s="87"/>
    </row>
    <row r="178" spans="3:27" hidden="1" x14ac:dyDescent="0.2">
      <c r="C178" s="32">
        <v>42979</v>
      </c>
      <c r="D178" s="55">
        <v>0.17530000000000001</v>
      </c>
      <c r="E178" s="55">
        <v>0</v>
      </c>
      <c r="F178" s="55">
        <f t="shared" ref="F178" si="628">D178-E178</f>
        <v>0.17530000000000001</v>
      </c>
      <c r="G178" s="56">
        <v>4970953</v>
      </c>
      <c r="H178" s="68"/>
      <c r="I178" s="57">
        <f t="shared" ref="I178" si="629">+G178-H178</f>
        <v>4970953</v>
      </c>
      <c r="J178" s="57">
        <f t="shared" ref="J178" si="630">SUM(I167:I178)/12</f>
        <v>5554178.666666667</v>
      </c>
      <c r="K178" s="57">
        <f t="shared" ref="K178" si="631">+F178*J178</f>
        <v>973647.52026666678</v>
      </c>
      <c r="L178" s="57">
        <v>-4393</v>
      </c>
      <c r="M178" s="57">
        <f t="shared" ref="M178" si="632">+K178+L178</f>
        <v>969254.52026666678</v>
      </c>
      <c r="N178" s="57">
        <v>6368437.5</v>
      </c>
      <c r="P178" s="34">
        <f t="shared" ref="P178" si="633">+N178-O178</f>
        <v>6368437.5</v>
      </c>
      <c r="Q178" s="34">
        <f t="shared" ref="Q178" si="634">SUM(P167:P178)/12</f>
        <v>7184089.1799999997</v>
      </c>
      <c r="R178" s="41">
        <f t="shared" ref="R178" si="635">+M178/Q177</f>
        <v>0.13313788917271357</v>
      </c>
      <c r="T178" s="89">
        <f>-101226-SUM(T173:T177)</f>
        <v>-16871</v>
      </c>
      <c r="U178" s="83">
        <v>12478</v>
      </c>
      <c r="V178" s="84">
        <f t="shared" ref="V178" si="636">SUM(T178:U178)</f>
        <v>-4393</v>
      </c>
      <c r="W178" s="85" t="s">
        <v>98</v>
      </c>
      <c r="X178" s="86"/>
      <c r="Y178" s="86"/>
      <c r="Z178" s="86"/>
      <c r="AA178" s="87"/>
    </row>
    <row r="179" spans="3:27" hidden="1" x14ac:dyDescent="0.2">
      <c r="C179" s="32">
        <v>43009</v>
      </c>
      <c r="D179" s="55">
        <v>0.2051</v>
      </c>
      <c r="E179" s="55">
        <v>0</v>
      </c>
      <c r="F179" s="55">
        <f t="shared" ref="F179" si="637">D179-E179</f>
        <v>0.2051</v>
      </c>
      <c r="G179" s="56">
        <v>4819999</v>
      </c>
      <c r="H179" s="68"/>
      <c r="I179" s="57">
        <f t="shared" ref="I179" si="638">+G179-H179</f>
        <v>4819999</v>
      </c>
      <c r="J179" s="57">
        <f t="shared" ref="J179" si="639">SUM(I168:I179)/12</f>
        <v>5563739.583333333</v>
      </c>
      <c r="K179" s="57">
        <f t="shared" ref="K179" si="640">+F179*J179</f>
        <v>1141122.9885416667</v>
      </c>
      <c r="L179" s="57">
        <v>12478</v>
      </c>
      <c r="M179" s="57">
        <f t="shared" ref="M179" si="641">+K179+L179</f>
        <v>1153600.9885416667</v>
      </c>
      <c r="N179" s="57">
        <v>6487236.6500000004</v>
      </c>
      <c r="P179" s="34">
        <f t="shared" ref="P179" si="642">+N179-O179</f>
        <v>6487236.6500000004</v>
      </c>
      <c r="Q179" s="34">
        <f t="shared" ref="Q179" si="643">SUM(P168:P179)/12</f>
        <v>7218121.2716666674</v>
      </c>
      <c r="R179" s="41">
        <f t="shared" ref="R179" si="644">+M179/Q178</f>
        <v>0.16057720883437956</v>
      </c>
      <c r="T179" s="89">
        <v>0</v>
      </c>
      <c r="U179" s="83">
        <v>12478</v>
      </c>
      <c r="V179" s="84">
        <f t="shared" ref="V179" si="645">SUM(T179:U179)</f>
        <v>12478</v>
      </c>
      <c r="W179" s="85" t="s">
        <v>99</v>
      </c>
      <c r="X179" s="86"/>
      <c r="Y179" s="86"/>
      <c r="Z179" s="86"/>
      <c r="AA179" s="87"/>
    </row>
    <row r="180" spans="3:27" hidden="1" x14ac:dyDescent="0.2">
      <c r="C180" s="32">
        <v>43040</v>
      </c>
      <c r="D180" s="55">
        <v>0.1787</v>
      </c>
      <c r="E180" s="55">
        <v>0</v>
      </c>
      <c r="F180" s="55">
        <f t="shared" ref="F180" si="646">D180-E180</f>
        <v>0.1787</v>
      </c>
      <c r="G180" s="56">
        <v>5239588</v>
      </c>
      <c r="H180" s="68"/>
      <c r="I180" s="57">
        <f t="shared" ref="I180" si="647">+G180-H180</f>
        <v>5239588</v>
      </c>
      <c r="J180" s="57">
        <f t="shared" ref="J180" si="648">SUM(I169:I180)/12</f>
        <v>5592650.75</v>
      </c>
      <c r="K180" s="57">
        <f t="shared" ref="K180" si="649">+F180*J180</f>
        <v>999406.68902499997</v>
      </c>
      <c r="L180" s="57">
        <v>12480</v>
      </c>
      <c r="M180" s="57">
        <f t="shared" ref="M180" si="650">+K180+L180</f>
        <v>1011886.689025</v>
      </c>
      <c r="N180" s="57">
        <v>7286960.9699999997</v>
      </c>
      <c r="P180" s="34">
        <f t="shared" ref="P180" si="651">+N180-O180</f>
        <v>7286960.9699999997</v>
      </c>
      <c r="Q180" s="34">
        <f t="shared" ref="Q180" si="652">SUM(P169:P180)/12</f>
        <v>7280113.7025000006</v>
      </c>
      <c r="R180" s="41">
        <f t="shared" ref="R180" si="653">+M180/Q179</f>
        <v>0.14018698923734693</v>
      </c>
      <c r="T180" s="89">
        <v>0</v>
      </c>
      <c r="U180" s="89">
        <f>74870-SUM(U175:U179)</f>
        <v>12480</v>
      </c>
      <c r="V180" s="84">
        <f t="shared" ref="V180" si="654">SUM(T180:U180)</f>
        <v>12480</v>
      </c>
      <c r="W180" s="85" t="s">
        <v>99</v>
      </c>
      <c r="X180" s="86"/>
      <c r="Y180" s="86"/>
      <c r="Z180" s="86"/>
      <c r="AA180" s="87"/>
    </row>
    <row r="181" spans="3:27" hidden="1" x14ac:dyDescent="0.2">
      <c r="C181" s="32">
        <v>43070</v>
      </c>
      <c r="D181" s="55">
        <v>0.16389999999999999</v>
      </c>
      <c r="E181" s="55">
        <v>0</v>
      </c>
      <c r="F181" s="55">
        <f t="shared" ref="F181" si="655">D181-E181</f>
        <v>0.16389999999999999</v>
      </c>
      <c r="G181" s="56">
        <v>6910079</v>
      </c>
      <c r="H181" s="68"/>
      <c r="I181" s="57">
        <f t="shared" ref="I181" si="656">+G181-H181</f>
        <v>6910079</v>
      </c>
      <c r="J181" s="57">
        <f t="shared" ref="J181" si="657">SUM(I170:I181)/12</f>
        <v>5613691.75</v>
      </c>
      <c r="K181" s="57">
        <f t="shared" ref="K181" si="658">+F181*J181</f>
        <v>920084.07782499993</v>
      </c>
      <c r="L181" s="57">
        <v>-5444</v>
      </c>
      <c r="M181" s="57">
        <f t="shared" ref="M181" si="659">+K181+L181</f>
        <v>914640.07782499993</v>
      </c>
      <c r="N181" s="57">
        <v>8804082.0899999999</v>
      </c>
      <c r="P181" s="34">
        <f t="shared" ref="P181" si="660">+N181-O181</f>
        <v>8804082.0899999999</v>
      </c>
      <c r="Q181" s="34">
        <f t="shared" ref="Q181" si="661">SUM(P170:P181)/12</f>
        <v>7285497.6866666675</v>
      </c>
      <c r="R181" s="41">
        <f t="shared" ref="R181" si="662">+M181/Q180</f>
        <v>0.12563541109404808</v>
      </c>
      <c r="T181" s="83">
        <v>-5444</v>
      </c>
      <c r="U181" s="89">
        <v>0</v>
      </c>
      <c r="V181" s="84">
        <f t="shared" ref="V181" si="663">SUM(T181:U181)</f>
        <v>-5444</v>
      </c>
      <c r="W181" s="85" t="s">
        <v>100</v>
      </c>
      <c r="X181" s="86"/>
      <c r="Y181" s="86"/>
      <c r="Z181" s="86"/>
      <c r="AA181" s="87"/>
    </row>
    <row r="182" spans="3:27" hidden="1" x14ac:dyDescent="0.2">
      <c r="C182" s="32">
        <v>43101</v>
      </c>
      <c r="D182" s="55">
        <v>0.1079</v>
      </c>
      <c r="E182" s="55">
        <v>0</v>
      </c>
      <c r="F182" s="55">
        <f t="shared" ref="F182" si="664">D182-E182</f>
        <v>0.1079</v>
      </c>
      <c r="G182" s="56">
        <v>8119401</v>
      </c>
      <c r="H182" s="68"/>
      <c r="I182" s="57">
        <f t="shared" ref="I182" si="665">+G182-H182</f>
        <v>8119401</v>
      </c>
      <c r="J182" s="57">
        <f t="shared" ref="J182" si="666">SUM(I171:I182)/12</f>
        <v>5739911.5</v>
      </c>
      <c r="K182" s="57">
        <f t="shared" ref="K182" si="667">+F182*J182</f>
        <v>619336.45085000002</v>
      </c>
      <c r="L182" s="57">
        <v>-5444</v>
      </c>
      <c r="M182" s="57">
        <f t="shared" ref="M182" si="668">+K182+L182</f>
        <v>613892.45085000002</v>
      </c>
      <c r="N182" s="57">
        <v>10341838.869999999</v>
      </c>
      <c r="P182" s="34">
        <f t="shared" ref="P182" si="669">+N182-O182</f>
        <v>10341838.869999999</v>
      </c>
      <c r="Q182" s="34">
        <f t="shared" ref="Q182" si="670">SUM(P171:P182)/12</f>
        <v>7495713.9958333336</v>
      </c>
      <c r="R182" s="41">
        <f t="shared" ref="R182" si="671">+M182/Q181</f>
        <v>8.4262253212089633E-2</v>
      </c>
      <c r="T182" s="83">
        <v>-5444</v>
      </c>
      <c r="U182" s="89">
        <v>0</v>
      </c>
      <c r="V182" s="84">
        <f t="shared" ref="V182" si="672">SUM(T182:U182)</f>
        <v>-5444</v>
      </c>
      <c r="W182" s="85" t="s">
        <v>100</v>
      </c>
      <c r="X182" s="86"/>
      <c r="Y182" s="86"/>
      <c r="Z182" s="86"/>
      <c r="AA182" s="87"/>
    </row>
    <row r="183" spans="3:27" hidden="1" x14ac:dyDescent="0.2">
      <c r="C183" s="32">
        <v>43132</v>
      </c>
      <c r="D183" s="55">
        <v>7.2900000000000006E-2</v>
      </c>
      <c r="E183" s="55">
        <v>0</v>
      </c>
      <c r="F183" s="55">
        <f t="shared" ref="F183" si="673">D183-E183</f>
        <v>7.2900000000000006E-2</v>
      </c>
      <c r="G183" s="56">
        <v>6527315</v>
      </c>
      <c r="H183" s="68"/>
      <c r="I183" s="57">
        <f t="shared" ref="I183" si="674">+G183-H183</f>
        <v>6527315</v>
      </c>
      <c r="J183" s="57">
        <f t="shared" ref="J183" si="675">SUM(I172:I183)/12</f>
        <v>5842721.916666667</v>
      </c>
      <c r="K183" s="57">
        <f t="shared" ref="K183" si="676">+F183*J183</f>
        <v>425934.42772500007</v>
      </c>
      <c r="L183" s="57">
        <v>-5444</v>
      </c>
      <c r="M183" s="57">
        <f t="shared" ref="M183" si="677">+K183+L183</f>
        <v>420490.42772500007</v>
      </c>
      <c r="N183" s="57">
        <v>8040379.1100000003</v>
      </c>
      <c r="P183" s="34">
        <f t="shared" ref="P183" si="678">+N183-O183</f>
        <v>8040379.1100000003</v>
      </c>
      <c r="Q183" s="34">
        <f t="shared" ref="Q183" si="679">SUM(P172:P183)/12</f>
        <v>7585677.4183333339</v>
      </c>
      <c r="R183" s="41">
        <f t="shared" ref="R183" si="680">+M183/Q182</f>
        <v>5.6097448216239229E-2</v>
      </c>
      <c r="T183" s="83">
        <v>-5444</v>
      </c>
      <c r="U183" s="89">
        <v>0</v>
      </c>
      <c r="V183" s="84">
        <f t="shared" ref="V183" si="681">SUM(T183:U183)</f>
        <v>-5444</v>
      </c>
      <c r="W183" s="85" t="s">
        <v>100</v>
      </c>
      <c r="X183" s="86"/>
      <c r="Y183" s="86"/>
      <c r="Z183" s="86"/>
      <c r="AA183" s="87"/>
    </row>
    <row r="184" spans="3:27" hidden="1" x14ac:dyDescent="0.2">
      <c r="C184" s="32">
        <v>43160</v>
      </c>
      <c r="D184" s="55">
        <v>0.13519999999999999</v>
      </c>
      <c r="E184" s="55">
        <v>0</v>
      </c>
      <c r="F184" s="55">
        <f t="shared" ref="F184" si="682">D184-E184</f>
        <v>0.13519999999999999</v>
      </c>
      <c r="G184" s="56">
        <v>5919598</v>
      </c>
      <c r="H184" s="68"/>
      <c r="I184" s="57">
        <f t="shared" ref="I184" si="683">+G184-H184</f>
        <v>5919598</v>
      </c>
      <c r="J184" s="57">
        <f t="shared" ref="J184" si="684">SUM(I173:I184)/12</f>
        <v>5903304.583333333</v>
      </c>
      <c r="K184" s="57">
        <f t="shared" ref="K184" si="685">+F184*J184</f>
        <v>798126.77966666652</v>
      </c>
      <c r="L184" s="57">
        <v>-5444</v>
      </c>
      <c r="M184" s="57">
        <f t="shared" ref="M184" si="686">+K184+L184</f>
        <v>792682.77966666652</v>
      </c>
      <c r="N184" s="57">
        <v>7257442.6399999997</v>
      </c>
      <c r="P184" s="34">
        <f t="shared" ref="P184" si="687">+N184-O184</f>
        <v>7257442.6399999997</v>
      </c>
      <c r="Q184" s="34">
        <f t="shared" ref="Q184" si="688">SUM(P173:P184)/12</f>
        <v>7643539.8508333331</v>
      </c>
      <c r="R184" s="41">
        <f t="shared" ref="R184" si="689">+M184/Q183</f>
        <v>0.10449729614798577</v>
      </c>
      <c r="T184" s="83">
        <v>-5444</v>
      </c>
      <c r="U184" s="89">
        <v>0</v>
      </c>
      <c r="V184" s="84">
        <f t="shared" ref="V184" si="690">SUM(T184:U184)</f>
        <v>-5444</v>
      </c>
      <c r="W184" s="85" t="s">
        <v>100</v>
      </c>
      <c r="X184" s="86"/>
      <c r="Y184" s="86"/>
      <c r="Z184" s="86"/>
      <c r="AA184" s="87"/>
    </row>
    <row r="185" spans="3:27" hidden="1" x14ac:dyDescent="0.2">
      <c r="C185" s="32">
        <v>43191</v>
      </c>
      <c r="D185" s="55">
        <v>0.1449</v>
      </c>
      <c r="E185" s="55">
        <v>0</v>
      </c>
      <c r="F185" s="55">
        <f t="shared" ref="F185" si="691">D185-E185</f>
        <v>0.1449</v>
      </c>
      <c r="G185" s="56">
        <v>5045538</v>
      </c>
      <c r="H185" s="68"/>
      <c r="I185" s="57">
        <f t="shared" ref="I185" si="692">+G185-H185</f>
        <v>5045538</v>
      </c>
      <c r="J185" s="57">
        <f t="shared" ref="J185" si="693">SUM(I174:I185)/12</f>
        <v>5952681.083333333</v>
      </c>
      <c r="K185" s="57">
        <f t="shared" ref="K185" si="694">+F185*J185</f>
        <v>862543.48897499999</v>
      </c>
      <c r="L185" s="57">
        <v>-5444</v>
      </c>
      <c r="M185" s="57">
        <f t="shared" ref="M185" si="695">+K185+L185</f>
        <v>857099.48897499999</v>
      </c>
      <c r="N185" s="57">
        <v>7003174.7400000002</v>
      </c>
      <c r="P185" s="34">
        <f t="shared" ref="P185" si="696">+N185-O185</f>
        <v>7003174.7400000002</v>
      </c>
      <c r="Q185" s="34">
        <f t="shared" ref="Q185" si="697">SUM(P174:P185)/12</f>
        <v>7710286.333333333</v>
      </c>
      <c r="R185" s="41">
        <f t="shared" ref="R185" si="698">+M185/Q184</f>
        <v>0.11213384187191162</v>
      </c>
      <c r="T185" s="83">
        <v>-5444</v>
      </c>
      <c r="U185" s="89">
        <v>0</v>
      </c>
      <c r="V185" s="84">
        <f t="shared" ref="V185" si="699">SUM(T185:U185)</f>
        <v>-5444</v>
      </c>
      <c r="W185" s="85" t="s">
        <v>100</v>
      </c>
      <c r="X185" s="86"/>
      <c r="Y185" s="86"/>
      <c r="Z185" s="86"/>
      <c r="AA185" s="87"/>
    </row>
    <row r="186" spans="3:27" hidden="1" x14ac:dyDescent="0.2">
      <c r="C186" s="32">
        <v>43221</v>
      </c>
      <c r="D186" s="55">
        <v>0.15840000000000001</v>
      </c>
      <c r="E186" s="55">
        <v>0</v>
      </c>
      <c r="F186" s="55">
        <f t="shared" ref="F186" si="700">D186-E186</f>
        <v>0.15840000000000001</v>
      </c>
      <c r="G186" s="56">
        <v>6014865</v>
      </c>
      <c r="H186" s="68"/>
      <c r="I186" s="57">
        <f t="shared" ref="I186" si="701">+G186-H186</f>
        <v>6014865</v>
      </c>
      <c r="J186" s="57">
        <f t="shared" ref="J186" si="702">SUM(I175:I186)/12</f>
        <v>6021923.416666667</v>
      </c>
      <c r="K186" s="57">
        <f t="shared" ref="K186" si="703">+F186*J186</f>
        <v>953872.66920000012</v>
      </c>
      <c r="L186" s="57">
        <v>-5442</v>
      </c>
      <c r="M186" s="57">
        <f t="shared" ref="M186" si="704">+K186+L186</f>
        <v>948430.66920000012</v>
      </c>
      <c r="N186" s="57">
        <v>7634646.8899999997</v>
      </c>
      <c r="P186" s="34">
        <f t="shared" ref="P186" si="705">+N186-O186</f>
        <v>7634646.8899999997</v>
      </c>
      <c r="Q186" s="34">
        <f t="shared" ref="Q186" si="706">SUM(P175:P186)/12</f>
        <v>7769577.8599999994</v>
      </c>
      <c r="R186" s="41">
        <f t="shared" ref="R186" si="707">+M186/Q185</f>
        <v>0.12300848868604493</v>
      </c>
      <c r="T186" s="89">
        <f>-32662-SUM(T181:T185)</f>
        <v>-5442</v>
      </c>
      <c r="U186" s="89">
        <v>0</v>
      </c>
      <c r="V186" s="84">
        <f t="shared" ref="V186" si="708">SUM(T186:U186)</f>
        <v>-5442</v>
      </c>
      <c r="W186" s="85" t="s">
        <v>100</v>
      </c>
      <c r="X186" s="86"/>
      <c r="Y186" s="86"/>
      <c r="Z186" s="86"/>
      <c r="AA186" s="87"/>
    </row>
    <row r="187" spans="3:27" hidden="1" x14ac:dyDescent="0.2">
      <c r="C187" s="32">
        <v>43252</v>
      </c>
      <c r="D187" s="55">
        <v>0.15590000000000001</v>
      </c>
      <c r="E187" s="55">
        <v>0</v>
      </c>
      <c r="F187" s="55">
        <f t="shared" ref="F187" si="709">D187-E187</f>
        <v>0.15590000000000001</v>
      </c>
      <c r="G187" s="56">
        <v>6581051</v>
      </c>
      <c r="H187" s="68"/>
      <c r="I187" s="57">
        <f t="shared" ref="I187" si="710">+G187-H187</f>
        <v>6581051</v>
      </c>
      <c r="J187" s="57">
        <f t="shared" ref="J187" si="711">SUM(I176:I187)/12</f>
        <v>6077237.25</v>
      </c>
      <c r="K187" s="57">
        <f t="shared" ref="K187" si="712">+F187*J187</f>
        <v>947441.28727500001</v>
      </c>
      <c r="L187" s="57">
        <v>0</v>
      </c>
      <c r="M187" s="57">
        <f t="shared" ref="M187" si="713">+K187+L187</f>
        <v>947441.28727500001</v>
      </c>
      <c r="N187" s="57">
        <v>8774709.4100000001</v>
      </c>
      <c r="P187" s="34">
        <f t="shared" ref="P187" si="714">+N187-O187</f>
        <v>8774709.4100000001</v>
      </c>
      <c r="Q187" s="34">
        <f t="shared" ref="Q187" si="715">SUM(P176:P187)/12</f>
        <v>7850369.3649999984</v>
      </c>
      <c r="R187" s="41">
        <f t="shared" ref="R187" si="716">+M187/Q186</f>
        <v>0.12194244067656465</v>
      </c>
      <c r="T187" s="90"/>
      <c r="U187" s="90"/>
      <c r="V187" s="80"/>
      <c r="W187" s="51"/>
      <c r="X187" s="52"/>
      <c r="Y187" s="52"/>
      <c r="Z187" s="52"/>
      <c r="AA187" s="52"/>
    </row>
    <row r="188" spans="3:27" hidden="1" x14ac:dyDescent="0.2">
      <c r="C188" s="32">
        <v>43282</v>
      </c>
      <c r="D188" s="55">
        <v>0.14169999999999999</v>
      </c>
      <c r="E188" s="55">
        <v>0</v>
      </c>
      <c r="F188" s="55">
        <f t="shared" ref="F188" si="717">D188-E188</f>
        <v>0.14169999999999999</v>
      </c>
      <c r="G188" s="56">
        <v>6349896</v>
      </c>
      <c r="H188" s="68"/>
      <c r="I188" s="57">
        <f t="shared" ref="I188" si="718">+G188-H188</f>
        <v>6349896</v>
      </c>
      <c r="J188" s="57">
        <f t="shared" ref="J188" si="719">SUM(I177:I188)/12</f>
        <v>6054261.666666667</v>
      </c>
      <c r="K188" s="57">
        <f t="shared" ref="K188" si="720">+F188*J188</f>
        <v>857888.87816666672</v>
      </c>
      <c r="L188" s="57">
        <v>-27427</v>
      </c>
      <c r="M188" s="57">
        <f t="shared" ref="M188" si="721">+K188+L188</f>
        <v>830461.87816666672</v>
      </c>
      <c r="N188" s="57">
        <v>8043891.5800000001</v>
      </c>
      <c r="P188" s="34">
        <f t="shared" ref="P188" si="722">+N188-O188</f>
        <v>8043891.5800000001</v>
      </c>
      <c r="Q188" s="34">
        <f t="shared" ref="Q188" si="723">SUM(P177:P188)/12</f>
        <v>7830577.0458333334</v>
      </c>
      <c r="R188" s="41">
        <f t="shared" ref="R188" si="724">+M188/Q187</f>
        <v>0.1057863445087296</v>
      </c>
      <c r="T188" s="83">
        <v>-27427</v>
      </c>
      <c r="U188" s="89">
        <v>0</v>
      </c>
      <c r="V188" s="84">
        <f t="shared" ref="V188" si="725">SUM(T188:U188)</f>
        <v>-27427</v>
      </c>
      <c r="W188" s="85" t="s">
        <v>101</v>
      </c>
      <c r="X188" s="86"/>
      <c r="Y188" s="86"/>
      <c r="Z188" s="86"/>
      <c r="AA188" s="87"/>
    </row>
    <row r="189" spans="3:27" hidden="1" x14ac:dyDescent="0.2">
      <c r="C189" s="32">
        <v>43313</v>
      </c>
      <c r="D189" s="55">
        <v>0.15190000000000001</v>
      </c>
      <c r="E189" s="55">
        <v>0</v>
      </c>
      <c r="F189" s="55">
        <f t="shared" ref="F189" si="726">D189-E189</f>
        <v>0.15190000000000001</v>
      </c>
      <c r="G189" s="56">
        <v>6279221</v>
      </c>
      <c r="H189" s="68"/>
      <c r="I189" s="57">
        <f t="shared" ref="I189" si="727">+G189-H189</f>
        <v>6279221</v>
      </c>
      <c r="J189" s="57">
        <f t="shared" ref="J189" si="728">SUM(I178:I189)/12</f>
        <v>6064792</v>
      </c>
      <c r="K189" s="57">
        <f t="shared" ref="K189" si="729">+F189*J189</f>
        <v>921241.90480000002</v>
      </c>
      <c r="L189" s="57">
        <v>-27427</v>
      </c>
      <c r="M189" s="57">
        <f t="shared" ref="M189" si="730">+K189+L189</f>
        <v>893814.90480000002</v>
      </c>
      <c r="N189" s="57">
        <v>8007707.1900000004</v>
      </c>
      <c r="P189" s="34">
        <f t="shared" ref="P189" si="731">+N189-O189</f>
        <v>8007707.1900000004</v>
      </c>
      <c r="Q189" s="34">
        <f t="shared" ref="Q189" si="732">SUM(P178:P189)/12</f>
        <v>7837542.3033333318</v>
      </c>
      <c r="R189" s="41">
        <f t="shared" ref="R189" si="733">+M189/Q188</f>
        <v>0.11414419391679452</v>
      </c>
      <c r="T189" s="83">
        <v>-27427</v>
      </c>
      <c r="U189" s="89">
        <v>0</v>
      </c>
      <c r="V189" s="84">
        <f t="shared" ref="V189" si="734">SUM(T189:U189)</f>
        <v>-27427</v>
      </c>
      <c r="W189" s="85" t="s">
        <v>101</v>
      </c>
      <c r="X189" s="86"/>
      <c r="Y189" s="86"/>
      <c r="Z189" s="86"/>
      <c r="AA189" s="87"/>
    </row>
    <row r="190" spans="3:27" hidden="1" x14ac:dyDescent="0.2">
      <c r="C190" s="32">
        <v>43344</v>
      </c>
      <c r="D190" s="55">
        <v>0.1542</v>
      </c>
      <c r="E190" s="55">
        <v>0</v>
      </c>
      <c r="F190" s="55">
        <f t="shared" ref="F190" si="735">D190-E190</f>
        <v>0.1542</v>
      </c>
      <c r="G190" s="56">
        <v>5765891</v>
      </c>
      <c r="H190" s="68"/>
      <c r="I190" s="57">
        <f t="shared" ref="I190" si="736">+G190-H190</f>
        <v>5765891</v>
      </c>
      <c r="J190" s="57">
        <f t="shared" ref="J190" si="737">SUM(I179:I190)/12</f>
        <v>6131036.833333333</v>
      </c>
      <c r="K190" s="57">
        <f t="shared" ref="K190" si="738">+F190*J190</f>
        <v>945405.87969999993</v>
      </c>
      <c r="L190" s="57">
        <v>-27427</v>
      </c>
      <c r="M190" s="57">
        <f t="shared" ref="M190" si="739">+K190+L190</f>
        <v>917978.87969999993</v>
      </c>
      <c r="N190" s="57">
        <v>7638468.2199999997</v>
      </c>
      <c r="P190" s="34">
        <f t="shared" ref="P190" si="740">+N190-O190</f>
        <v>7638468.2199999997</v>
      </c>
      <c r="Q190" s="34">
        <f t="shared" ref="Q190" si="741">SUM(P179:P190)/12</f>
        <v>7943378.1966666663</v>
      </c>
      <c r="R190" s="41">
        <f t="shared" ref="R190" si="742">+M190/Q189</f>
        <v>0.11712585963454138</v>
      </c>
      <c r="T190" s="83">
        <v>-27427</v>
      </c>
      <c r="U190" s="89">
        <v>0</v>
      </c>
      <c r="V190" s="84">
        <f t="shared" ref="V190" si="743">SUM(T190:U190)</f>
        <v>-27427</v>
      </c>
      <c r="W190" s="85" t="s">
        <v>101</v>
      </c>
      <c r="X190" s="86"/>
      <c r="Y190" s="86"/>
      <c r="Z190" s="86"/>
      <c r="AA190" s="87"/>
    </row>
    <row r="191" spans="3:27" hidden="1" x14ac:dyDescent="0.2">
      <c r="C191" s="32">
        <v>43374</v>
      </c>
      <c r="D191" s="55">
        <v>0.16159999999999999</v>
      </c>
      <c r="E191" s="55">
        <v>0</v>
      </c>
      <c r="F191" s="55">
        <f t="shared" ref="F191" si="744">D191-E191</f>
        <v>0.16159999999999999</v>
      </c>
      <c r="G191" s="56">
        <v>5272316</v>
      </c>
      <c r="H191" s="68"/>
      <c r="I191" s="57">
        <f t="shared" ref="I191" si="745">+G191-H191</f>
        <v>5272316</v>
      </c>
      <c r="J191" s="57">
        <f t="shared" ref="J191" si="746">SUM(I180:I191)/12</f>
        <v>6168729.916666667</v>
      </c>
      <c r="K191" s="57">
        <f t="shared" ref="K191" si="747">+F191*J191</f>
        <v>996866.75453333335</v>
      </c>
      <c r="L191" s="57">
        <v>-27427</v>
      </c>
      <c r="M191" s="57">
        <f t="shared" ref="M191" si="748">+K191+L191</f>
        <v>969439.75453333335</v>
      </c>
      <c r="N191" s="57">
        <v>6773430.3799999999</v>
      </c>
      <c r="P191" s="34">
        <f t="shared" ref="P191" si="749">+N191-O191</f>
        <v>6773430.3799999999</v>
      </c>
      <c r="Q191" s="34">
        <f t="shared" ref="Q191" si="750">SUM(P180:P191)/12</f>
        <v>7967227.6741666654</v>
      </c>
      <c r="R191" s="41">
        <f t="shared" ref="R191" si="751">+M191/Q190</f>
        <v>0.12204376154973283</v>
      </c>
      <c r="T191" s="83">
        <v>-27427</v>
      </c>
      <c r="U191" s="89">
        <v>0</v>
      </c>
      <c r="V191" s="84">
        <f t="shared" ref="V191" si="752">SUM(T191:U191)</f>
        <v>-27427</v>
      </c>
      <c r="W191" s="85" t="s">
        <v>101</v>
      </c>
      <c r="X191" s="86"/>
      <c r="Y191" s="86"/>
      <c r="Z191" s="86"/>
      <c r="AA191" s="87"/>
    </row>
    <row r="192" spans="3:27" hidden="1" x14ac:dyDescent="0.2">
      <c r="C192" s="32">
        <v>43405</v>
      </c>
      <c r="D192" s="55">
        <v>0.16830000000000001</v>
      </c>
      <c r="E192" s="55">
        <v>0</v>
      </c>
      <c r="F192" s="55">
        <f t="shared" ref="F192" si="753">D192-E192</f>
        <v>0.16830000000000001</v>
      </c>
      <c r="G192" s="56">
        <v>5852944</v>
      </c>
      <c r="H192" s="68"/>
      <c r="I192" s="57">
        <f t="shared" ref="I192" si="754">+G192-H192</f>
        <v>5852944</v>
      </c>
      <c r="J192" s="57">
        <f t="shared" ref="J192" si="755">SUM(I181:I192)/12</f>
        <v>6219842.916666667</v>
      </c>
      <c r="K192" s="57">
        <f t="shared" ref="K192" si="756">+F192*J192</f>
        <v>1046799.5628750001</v>
      </c>
      <c r="L192" s="57">
        <v>-27427</v>
      </c>
      <c r="M192" s="57">
        <f t="shared" ref="M192" si="757">+K192+L192</f>
        <v>1019372.5628750001</v>
      </c>
      <c r="N192" s="57">
        <v>7559679.04</v>
      </c>
      <c r="P192" s="34">
        <f t="shared" ref="P192" si="758">+N192-O192</f>
        <v>7559679.04</v>
      </c>
      <c r="Q192" s="34">
        <f t="shared" ref="Q192" si="759">SUM(P181:P192)/12</f>
        <v>7989954.1799999997</v>
      </c>
      <c r="R192" s="41">
        <f t="shared" ref="R192" si="760">+M192/Q191</f>
        <v>0.12794570515165071</v>
      </c>
      <c r="T192" s="83">
        <v>-27427</v>
      </c>
      <c r="U192" s="89">
        <v>0</v>
      </c>
      <c r="V192" s="84">
        <f t="shared" ref="V192" si="761">SUM(T192:U192)</f>
        <v>-27427</v>
      </c>
      <c r="W192" s="85" t="s">
        <v>101</v>
      </c>
      <c r="X192" s="86"/>
      <c r="Y192" s="86"/>
      <c r="Z192" s="86"/>
      <c r="AA192" s="87"/>
    </row>
    <row r="193" spans="3:27" hidden="1" x14ac:dyDescent="0.2">
      <c r="C193" s="32">
        <v>43435</v>
      </c>
      <c r="D193" s="55">
        <v>0.14680000000000001</v>
      </c>
      <c r="E193" s="55">
        <v>0</v>
      </c>
      <c r="F193" s="55">
        <f t="shared" ref="F193" si="762">D193-E193</f>
        <v>0.14680000000000001</v>
      </c>
      <c r="G193" s="56">
        <v>6796577</v>
      </c>
      <c r="H193" s="68"/>
      <c r="I193" s="57">
        <f t="shared" ref="I193" si="763">+G193-H193</f>
        <v>6796577</v>
      </c>
      <c r="J193" s="57">
        <f t="shared" ref="J193" si="764">SUM(I182:I193)/12</f>
        <v>6210384.416666667</v>
      </c>
      <c r="K193" s="57">
        <f t="shared" ref="K193" si="765">+F193*J193</f>
        <v>911684.43236666685</v>
      </c>
      <c r="L193" s="57">
        <v>-27428</v>
      </c>
      <c r="M193" s="57">
        <f t="shared" ref="M193" si="766">+K193+L193</f>
        <v>884256.43236666685</v>
      </c>
      <c r="N193" s="57">
        <v>8876858.9199999999</v>
      </c>
      <c r="P193" s="34">
        <f t="shared" ref="P193" si="767">+N193-O193</f>
        <v>8876858.9199999999</v>
      </c>
      <c r="Q193" s="34">
        <f t="shared" ref="Q193" si="768">SUM(P182:P193)/12</f>
        <v>7996018.9158333326</v>
      </c>
      <c r="R193" s="41">
        <f t="shared" ref="R193" si="769">+M193/Q192</f>
        <v>0.11067102669751065</v>
      </c>
      <c r="T193" s="89">
        <f>-164563-SUM(T188:T192)</f>
        <v>-27428</v>
      </c>
      <c r="U193" s="89">
        <v>0</v>
      </c>
      <c r="V193" s="84">
        <f t="shared" ref="V193" si="770">SUM(T193:U193)</f>
        <v>-27428</v>
      </c>
      <c r="W193" s="85" t="s">
        <v>101</v>
      </c>
      <c r="X193" s="86"/>
      <c r="Y193" s="86"/>
      <c r="Z193" s="86"/>
      <c r="AA193" s="87"/>
    </row>
    <row r="194" spans="3:27" hidden="1" x14ac:dyDescent="0.2">
      <c r="C194" s="32">
        <v>43466</v>
      </c>
      <c r="D194" s="55">
        <v>0.1216</v>
      </c>
      <c r="E194" s="55">
        <v>0</v>
      </c>
      <c r="F194" s="55">
        <f t="shared" ref="F194" si="771">D194-E194</f>
        <v>0.1216</v>
      </c>
      <c r="G194" s="56">
        <v>7033561</v>
      </c>
      <c r="H194" s="68"/>
      <c r="I194" s="57">
        <f t="shared" ref="I194" si="772">+G194-H194</f>
        <v>7033561</v>
      </c>
      <c r="J194" s="57">
        <f t="shared" ref="J194" si="773">SUM(I183:I194)/12</f>
        <v>6119897.75</v>
      </c>
      <c r="K194" s="57">
        <f t="shared" ref="K194" si="774">+F194*J194</f>
        <v>744179.56640000001</v>
      </c>
      <c r="L194" s="57">
        <v>-23912</v>
      </c>
      <c r="M194" s="57">
        <f t="shared" ref="M194" si="775">+K194+L194</f>
        <v>720267.56640000001</v>
      </c>
      <c r="N194" s="57">
        <v>8768784.9000000004</v>
      </c>
      <c r="P194" s="34">
        <f t="shared" ref="P194" si="776">+N194-O194</f>
        <v>8768784.9000000004</v>
      </c>
      <c r="Q194" s="34">
        <f t="shared" ref="Q194" si="777">SUM(P183:P194)/12</f>
        <v>7864931.0850000009</v>
      </c>
      <c r="R194" s="41">
        <f t="shared" ref="R194" si="778">+M194/Q193</f>
        <v>9.0078271947776511E-2</v>
      </c>
      <c r="T194" s="83">
        <v>-23912</v>
      </c>
      <c r="U194" s="83">
        <v>0</v>
      </c>
      <c r="V194" s="84">
        <f t="shared" ref="V194" si="779">SUM(T194:U194)</f>
        <v>-23912</v>
      </c>
      <c r="W194" s="85" t="s">
        <v>102</v>
      </c>
      <c r="X194" s="86"/>
      <c r="Y194" s="86"/>
      <c r="Z194" s="86"/>
      <c r="AA194" s="87"/>
    </row>
    <row r="195" spans="3:27" hidden="1" x14ac:dyDescent="0.2">
      <c r="C195" s="32">
        <v>43497</v>
      </c>
      <c r="D195" s="55">
        <v>0.121</v>
      </c>
      <c r="E195" s="55">
        <v>0</v>
      </c>
      <c r="F195" s="55">
        <f t="shared" ref="F195" si="780">D195-E195</f>
        <v>0.121</v>
      </c>
      <c r="G195" s="56">
        <v>5867733</v>
      </c>
      <c r="H195" s="68"/>
      <c r="I195" s="57">
        <f t="shared" ref="I195" si="781">+G195-H195</f>
        <v>5867733</v>
      </c>
      <c r="J195" s="57">
        <f t="shared" ref="J195" si="782">SUM(I184:I195)/12</f>
        <v>6064932.583333333</v>
      </c>
      <c r="K195" s="57">
        <f t="shared" ref="K195" si="783">+F195*J195</f>
        <v>733856.84258333326</v>
      </c>
      <c r="L195" s="57">
        <v>-23912</v>
      </c>
      <c r="M195" s="57">
        <f t="shared" ref="M195" si="784">+K195+L195</f>
        <v>709944.84258333326</v>
      </c>
      <c r="N195" s="57">
        <v>8183946.7199999997</v>
      </c>
      <c r="P195" s="34">
        <f t="shared" ref="P195" si="785">+N195-O195</f>
        <v>8183946.7199999997</v>
      </c>
      <c r="Q195" s="34">
        <f t="shared" ref="Q195" si="786">SUM(P184:P195)/12</f>
        <v>7876895.0525000012</v>
      </c>
      <c r="R195" s="41">
        <f t="shared" ref="R195" si="787">+M195/Q194</f>
        <v>9.0267140920959915E-2</v>
      </c>
      <c r="T195" s="83">
        <v>-23912</v>
      </c>
      <c r="U195" s="83">
        <v>0</v>
      </c>
      <c r="V195" s="84">
        <f t="shared" ref="V195" si="788">SUM(T195:U195)</f>
        <v>-23912</v>
      </c>
      <c r="W195" s="85" t="s">
        <v>102</v>
      </c>
      <c r="X195" s="86"/>
      <c r="Y195" s="86"/>
      <c r="Z195" s="86"/>
      <c r="AA195" s="87"/>
    </row>
    <row r="196" spans="3:27" hidden="1" x14ac:dyDescent="0.2">
      <c r="C196" s="32">
        <v>43525</v>
      </c>
      <c r="D196" s="55">
        <v>0.15229999999999999</v>
      </c>
      <c r="E196" s="55">
        <v>0</v>
      </c>
      <c r="F196" s="55">
        <f t="shared" ref="F196" si="789">D196-E196</f>
        <v>0.15229999999999999</v>
      </c>
      <c r="G196" s="56">
        <v>6044019</v>
      </c>
      <c r="H196" s="68"/>
      <c r="I196" s="57">
        <f t="shared" ref="I196" si="790">+G196-H196</f>
        <v>6044019</v>
      </c>
      <c r="J196" s="57">
        <f t="shared" ref="J196" si="791">SUM(I185:I196)/12</f>
        <v>6075301</v>
      </c>
      <c r="K196" s="57">
        <f t="shared" ref="K196" si="792">+F196*J196</f>
        <v>925268.3422999999</v>
      </c>
      <c r="L196" s="57">
        <v>-23912</v>
      </c>
      <c r="M196" s="57">
        <f t="shared" ref="M196" si="793">+K196+L196</f>
        <v>901356.3422999999</v>
      </c>
      <c r="N196" s="57">
        <v>7348948.7000000002</v>
      </c>
      <c r="P196" s="34">
        <f t="shared" ref="P196" si="794">+N196-O196</f>
        <v>7348948.7000000002</v>
      </c>
      <c r="Q196" s="34">
        <f t="shared" ref="Q196" si="795">SUM(P185:P196)/12</f>
        <v>7884520.5575000001</v>
      </c>
      <c r="R196" s="41">
        <f t="shared" ref="R196" si="796">+M196/Q195</f>
        <v>0.11443041151270941</v>
      </c>
      <c r="T196" s="83">
        <v>-23912</v>
      </c>
      <c r="U196" s="83">
        <v>0</v>
      </c>
      <c r="V196" s="84">
        <f t="shared" ref="V196" si="797">SUM(T196:U196)</f>
        <v>-23912</v>
      </c>
      <c r="W196" s="85" t="s">
        <v>102</v>
      </c>
      <c r="X196" s="86"/>
      <c r="Y196" s="86"/>
      <c r="Z196" s="86"/>
      <c r="AA196" s="87"/>
    </row>
    <row r="197" spans="3:27" hidden="1" x14ac:dyDescent="0.2">
      <c r="C197" s="32">
        <v>43556</v>
      </c>
      <c r="D197" s="55">
        <v>0.15770000000000001</v>
      </c>
      <c r="E197" s="55">
        <v>0</v>
      </c>
      <c r="F197" s="55">
        <f t="shared" ref="F197" si="798">D197-E197</f>
        <v>0.15770000000000001</v>
      </c>
      <c r="G197" s="56">
        <v>4790710</v>
      </c>
      <c r="H197" s="68"/>
      <c r="I197" s="57">
        <f t="shared" ref="I197" si="799">+G197-H197</f>
        <v>4790710</v>
      </c>
      <c r="J197" s="57">
        <f t="shared" ref="J197" si="800">SUM(I186:I197)/12</f>
        <v>6054065.333333333</v>
      </c>
      <c r="K197" s="57">
        <f t="shared" ref="K197" si="801">+F197*J197</f>
        <v>954726.10306666663</v>
      </c>
      <c r="L197" s="57">
        <v>-23912</v>
      </c>
      <c r="M197" s="57">
        <f t="shared" ref="M197" si="802">+K197+L197</f>
        <v>930814.10306666663</v>
      </c>
      <c r="N197" s="57">
        <v>6519166.1900000004</v>
      </c>
      <c r="P197" s="34">
        <f t="shared" ref="P197" si="803">+N197-O197</f>
        <v>6519166.1900000004</v>
      </c>
      <c r="Q197" s="34">
        <f t="shared" ref="Q197" si="804">SUM(P186:P197)/12</f>
        <v>7844186.5116666676</v>
      </c>
      <c r="R197" s="41">
        <f t="shared" ref="R197" si="805">+M197/Q196</f>
        <v>0.11805589144938528</v>
      </c>
      <c r="T197" s="83">
        <v>-23912</v>
      </c>
      <c r="U197" s="83">
        <v>0</v>
      </c>
      <c r="V197" s="84">
        <f t="shared" ref="V197" si="806">SUM(T197:U197)</f>
        <v>-23912</v>
      </c>
      <c r="W197" s="85" t="s">
        <v>102</v>
      </c>
      <c r="X197" s="86"/>
      <c r="Y197" s="86"/>
      <c r="Z197" s="86"/>
      <c r="AA197" s="87"/>
    </row>
    <row r="198" spans="3:27" hidden="1" x14ac:dyDescent="0.2">
      <c r="C198" s="32">
        <v>43586</v>
      </c>
      <c r="D198" s="55">
        <v>0.18940000000000001</v>
      </c>
      <c r="E198" s="55">
        <v>0</v>
      </c>
      <c r="F198" s="55">
        <f t="shared" ref="F198" si="807">D198-E198</f>
        <v>0.18940000000000001</v>
      </c>
      <c r="G198" s="56">
        <v>5397816</v>
      </c>
      <c r="H198" s="68"/>
      <c r="I198" s="57">
        <f t="shared" ref="I198" si="808">+G198-H198</f>
        <v>5397816</v>
      </c>
      <c r="J198" s="57">
        <f t="shared" ref="J198" si="809">SUM(I187:I198)/12</f>
        <v>6002644.583333333</v>
      </c>
      <c r="K198" s="57">
        <f t="shared" ref="K198" si="810">+F198*J198</f>
        <v>1136900.8840833334</v>
      </c>
      <c r="L198" s="57">
        <v>-23912</v>
      </c>
      <c r="M198" s="57">
        <f t="shared" ref="M198" si="811">+K198+L198</f>
        <v>1112988.8840833334</v>
      </c>
      <c r="N198" s="57">
        <v>6842569.8399999999</v>
      </c>
      <c r="P198" s="34">
        <f t="shared" ref="P198" si="812">+N198-O198</f>
        <v>6842569.8399999999</v>
      </c>
      <c r="Q198" s="34">
        <f t="shared" ref="Q198" si="813">SUM(P187:P198)/12</f>
        <v>7778180.0908333333</v>
      </c>
      <c r="R198" s="41">
        <f t="shared" ref="R198" si="814">+M198/Q197</f>
        <v>0.14188710103055094</v>
      </c>
      <c r="T198" s="83">
        <v>-23912</v>
      </c>
      <c r="U198" s="83">
        <v>0</v>
      </c>
      <c r="V198" s="84">
        <f t="shared" ref="V198" si="815">SUM(T198:U198)</f>
        <v>-23912</v>
      </c>
      <c r="W198" s="85" t="s">
        <v>102</v>
      </c>
      <c r="X198" s="86"/>
      <c r="Y198" s="86"/>
      <c r="Z198" s="86"/>
      <c r="AA198" s="87"/>
    </row>
    <row r="199" spans="3:27" hidden="1" x14ac:dyDescent="0.2">
      <c r="C199" s="32">
        <v>43617</v>
      </c>
      <c r="D199" s="55">
        <v>0.1862</v>
      </c>
      <c r="E199" s="55">
        <v>0</v>
      </c>
      <c r="F199" s="55">
        <f t="shared" ref="F199" si="816">D199-E199</f>
        <v>0.1862</v>
      </c>
      <c r="G199" s="56">
        <v>5865101</v>
      </c>
      <c r="H199" s="68"/>
      <c r="I199" s="57">
        <f t="shared" ref="I199" si="817">+G199-H199</f>
        <v>5865101</v>
      </c>
      <c r="J199" s="57">
        <f t="shared" ref="J199" si="818">SUM(I188:I199)/12</f>
        <v>5942982.083333333</v>
      </c>
      <c r="K199" s="57">
        <f t="shared" ref="K199" si="819">+F199*J199</f>
        <v>1106583.2639166666</v>
      </c>
      <c r="L199" s="57">
        <v>-23911</v>
      </c>
      <c r="M199" s="57">
        <f t="shared" ref="M199" si="820">+K199+L199</f>
        <v>1082672.2639166666</v>
      </c>
      <c r="N199" s="57">
        <v>7850082.5700000003</v>
      </c>
      <c r="P199" s="34">
        <f t="shared" ref="P199" si="821">+N199-O199</f>
        <v>7850082.5700000003</v>
      </c>
      <c r="Q199" s="34">
        <f t="shared" ref="Q199" si="822">SUM(P188:P199)/12</f>
        <v>7701127.854166667</v>
      </c>
      <c r="R199" s="41">
        <f t="shared" ref="R199" si="823">+M199/Q198</f>
        <v>0.13919351972739835</v>
      </c>
      <c r="T199" s="89">
        <f>-143471-SUM(T194:T198)</f>
        <v>-23911</v>
      </c>
      <c r="U199" s="83">
        <v>0</v>
      </c>
      <c r="V199" s="84">
        <f t="shared" ref="V199" si="824">SUM(T199:U199)</f>
        <v>-23911</v>
      </c>
      <c r="W199" s="85" t="s">
        <v>102</v>
      </c>
      <c r="X199" s="86"/>
      <c r="Y199" s="86"/>
      <c r="Z199" s="86"/>
      <c r="AA199" s="87"/>
    </row>
    <row r="200" spans="3:27" hidden="1" x14ac:dyDescent="0.2">
      <c r="C200" s="32">
        <v>43647</v>
      </c>
      <c r="D200" s="55">
        <v>0.18160000000000001</v>
      </c>
      <c r="E200" s="55">
        <v>0</v>
      </c>
      <c r="F200" s="55">
        <f t="shared" ref="F200" si="825">D200-E200</f>
        <v>0.18160000000000001</v>
      </c>
      <c r="G200" s="56">
        <v>6795135</v>
      </c>
      <c r="H200" s="68"/>
      <c r="I200" s="57">
        <f t="shared" ref="I200" si="826">+G200-H200</f>
        <v>6795135</v>
      </c>
      <c r="J200" s="57">
        <f t="shared" ref="J200" si="827">SUM(I189:I200)/12</f>
        <v>5980085.333333333</v>
      </c>
      <c r="K200" s="57">
        <f t="shared" ref="K200" si="828">+F200*J200</f>
        <v>1085983.4965333333</v>
      </c>
      <c r="L200" s="57">
        <v>0</v>
      </c>
      <c r="M200" s="57">
        <f t="shared" ref="M200" si="829">+K200+L200</f>
        <v>1085983.4965333333</v>
      </c>
      <c r="N200" s="57">
        <v>8689539.1600000001</v>
      </c>
      <c r="P200" s="34">
        <f t="shared" ref="P200" si="830">+N200-O200</f>
        <v>8689539.1600000001</v>
      </c>
      <c r="Q200" s="34">
        <f t="shared" ref="Q200" si="831">SUM(P189:P200)/12</f>
        <v>7754931.8191666678</v>
      </c>
      <c r="R200" s="41">
        <f t="shared" ref="R200" si="832">+M200/Q199</f>
        <v>0.14101616245025278</v>
      </c>
      <c r="T200" s="83">
        <v>0</v>
      </c>
      <c r="U200" s="83">
        <v>0</v>
      </c>
      <c r="V200" s="84">
        <f t="shared" ref="V200" si="833">SUM(T200:U200)</f>
        <v>0</v>
      </c>
      <c r="W200" s="85"/>
      <c r="X200" s="86"/>
      <c r="Y200" s="86"/>
      <c r="Z200" s="86"/>
      <c r="AA200" s="87"/>
    </row>
    <row r="201" spans="3:27" hidden="1" x14ac:dyDescent="0.2">
      <c r="C201" s="32">
        <v>43678</v>
      </c>
      <c r="D201" s="55">
        <v>0.15490000000000001</v>
      </c>
      <c r="E201" s="55">
        <v>0</v>
      </c>
      <c r="F201" s="55">
        <f t="shared" ref="F201" si="834">D201-E201</f>
        <v>0.15490000000000001</v>
      </c>
      <c r="G201" s="56">
        <v>6598397</v>
      </c>
      <c r="H201" s="68"/>
      <c r="I201" s="57">
        <f t="shared" ref="I201" si="835">+G201-H201</f>
        <v>6598397</v>
      </c>
      <c r="J201" s="57">
        <f t="shared" ref="J201" si="836">SUM(I190:I201)/12</f>
        <v>6006683.333333333</v>
      </c>
      <c r="K201" s="57">
        <f t="shared" ref="K201" si="837">+F201*J201</f>
        <v>930435.24833333329</v>
      </c>
      <c r="L201" s="57">
        <v>8651</v>
      </c>
      <c r="M201" s="57">
        <f t="shared" ref="M201" si="838">+K201+L201</f>
        <v>939086.24833333329</v>
      </c>
      <c r="N201" s="57">
        <v>8486242.3699999992</v>
      </c>
      <c r="P201" s="34">
        <f t="shared" ref="P201" si="839">+N201-O201</f>
        <v>8486242.3699999992</v>
      </c>
      <c r="Q201" s="34">
        <f t="shared" ref="Q201" si="840">SUM(P190:P201)/12</f>
        <v>7794809.7508333325</v>
      </c>
      <c r="R201" s="41">
        <f t="shared" ref="R201" si="841">+M201/Q200</f>
        <v>0.1210953584417517</v>
      </c>
      <c r="T201" s="83">
        <v>8651</v>
      </c>
      <c r="U201" s="83">
        <v>0</v>
      </c>
      <c r="V201" s="84">
        <f t="shared" ref="V201" si="842">SUM(T201:U201)</f>
        <v>8651</v>
      </c>
      <c r="W201" s="85" t="s">
        <v>103</v>
      </c>
      <c r="X201" s="86"/>
      <c r="Y201" s="86"/>
      <c r="Z201" s="86"/>
      <c r="AA201" s="87"/>
    </row>
    <row r="202" spans="3:27" hidden="1" x14ac:dyDescent="0.2">
      <c r="C202" s="32">
        <v>43709</v>
      </c>
      <c r="D202" s="55">
        <v>0.16139999999999999</v>
      </c>
      <c r="E202" s="55">
        <v>0</v>
      </c>
      <c r="F202" s="55">
        <f t="shared" ref="F202" si="843">D202-E202</f>
        <v>0.16139999999999999</v>
      </c>
      <c r="G202" s="56">
        <v>6102642</v>
      </c>
      <c r="H202" s="68"/>
      <c r="I202" s="57">
        <f t="shared" ref="I202" si="844">+G202-H202</f>
        <v>6102642</v>
      </c>
      <c r="J202" s="57">
        <f t="shared" ref="J202" si="845">SUM(I191:I202)/12</f>
        <v>6034745.916666667</v>
      </c>
      <c r="K202" s="57">
        <f t="shared" ref="K202" si="846">+F202*J202</f>
        <v>974007.99095000001</v>
      </c>
      <c r="L202" s="57">
        <v>8651</v>
      </c>
      <c r="M202" s="57">
        <f t="shared" ref="M202" si="847">+K202+L202</f>
        <v>982658.99095000001</v>
      </c>
      <c r="N202" s="57">
        <v>7564396.5999999996</v>
      </c>
      <c r="P202" s="34">
        <f t="shared" ref="P202" si="848">+N202-O202</f>
        <v>7564396.5999999996</v>
      </c>
      <c r="Q202" s="34">
        <f t="shared" ref="Q202" si="849">SUM(P191:P202)/12</f>
        <v>7788637.1158333318</v>
      </c>
      <c r="R202" s="41">
        <f t="shared" ref="R202" si="850">+M202/Q201</f>
        <v>0.12606580819306659</v>
      </c>
      <c r="T202" s="83">
        <v>8651</v>
      </c>
      <c r="U202" s="83">
        <v>0</v>
      </c>
      <c r="V202" s="84">
        <f t="shared" ref="V202" si="851">SUM(T202:U202)</f>
        <v>8651</v>
      </c>
      <c r="W202" s="85" t="s">
        <v>103</v>
      </c>
      <c r="X202" s="86"/>
      <c r="Y202" s="86"/>
      <c r="Z202" s="86"/>
      <c r="AA202" s="87"/>
    </row>
    <row r="203" spans="3:27" hidden="1" x14ac:dyDescent="0.2">
      <c r="C203" s="32">
        <v>43739</v>
      </c>
      <c r="D203" s="55">
        <v>0.17599999999999999</v>
      </c>
      <c r="E203" s="55">
        <v>0</v>
      </c>
      <c r="F203" s="55">
        <f t="shared" ref="F203" si="852">D203-E203</f>
        <v>0.17599999999999999</v>
      </c>
      <c r="G203" s="56">
        <v>4936121</v>
      </c>
      <c r="H203" s="68"/>
      <c r="I203" s="57">
        <f t="shared" ref="I203" si="853">+G203-H203</f>
        <v>4936121</v>
      </c>
      <c r="J203" s="57">
        <f t="shared" ref="J203" si="854">SUM(I192:I203)/12</f>
        <v>6006729.666666667</v>
      </c>
      <c r="K203" s="57">
        <f t="shared" ref="K203" si="855">+F203*J203</f>
        <v>1057184.4213333332</v>
      </c>
      <c r="L203" s="57">
        <v>8651</v>
      </c>
      <c r="M203" s="57">
        <f t="shared" ref="M203" si="856">+K203+L203</f>
        <v>1065835.4213333332</v>
      </c>
      <c r="N203" s="57">
        <v>6422355.5700000003</v>
      </c>
      <c r="P203" s="34">
        <f t="shared" ref="P203" si="857">+N203-O203</f>
        <v>6422355.5700000003</v>
      </c>
      <c r="Q203" s="34">
        <f t="shared" ref="Q203" si="858">SUM(P192:P203)/12</f>
        <v>7759380.8816666678</v>
      </c>
      <c r="R203" s="41">
        <f t="shared" ref="R203" si="859">+M203/Q202</f>
        <v>0.13684491978277202</v>
      </c>
      <c r="T203" s="83">
        <v>8651</v>
      </c>
      <c r="U203" s="83">
        <v>0</v>
      </c>
      <c r="V203" s="84">
        <f t="shared" ref="V203" si="860">SUM(T203:U203)</f>
        <v>8651</v>
      </c>
      <c r="W203" s="85" t="s">
        <v>103</v>
      </c>
      <c r="X203" s="86"/>
      <c r="Y203" s="86"/>
      <c r="Z203" s="86"/>
      <c r="AA203" s="87"/>
    </row>
    <row r="204" spans="3:27" hidden="1" x14ac:dyDescent="0.2">
      <c r="C204" s="32">
        <v>43770</v>
      </c>
      <c r="D204" s="55">
        <v>0.19800000000000001</v>
      </c>
      <c r="E204" s="55">
        <v>0</v>
      </c>
      <c r="F204" s="55">
        <f t="shared" ref="F204" si="861">D204-E204</f>
        <v>0.19800000000000001</v>
      </c>
      <c r="G204" s="56">
        <v>5637795</v>
      </c>
      <c r="H204" s="68"/>
      <c r="I204" s="57">
        <f t="shared" ref="I204" si="862">+G204-H204</f>
        <v>5637795</v>
      </c>
      <c r="J204" s="57">
        <f t="shared" ref="J204" si="863">SUM(I193:I204)/12</f>
        <v>5988800.583333333</v>
      </c>
      <c r="K204" s="57">
        <f t="shared" ref="K204" si="864">+F204*J204</f>
        <v>1185782.5155</v>
      </c>
      <c r="L204" s="57">
        <v>8651</v>
      </c>
      <c r="M204" s="57">
        <f t="shared" ref="M204" si="865">+K204+L204</f>
        <v>1194433.5155</v>
      </c>
      <c r="N204" s="57">
        <v>7291491.5599999996</v>
      </c>
      <c r="P204" s="34">
        <f t="shared" ref="P204" si="866">+N204-O204</f>
        <v>7291491.5599999996</v>
      </c>
      <c r="Q204" s="34">
        <f t="shared" ref="Q204" si="867">SUM(P193:P204)/12</f>
        <v>7737031.9249999998</v>
      </c>
      <c r="R204" s="41">
        <f t="shared" ref="R204" si="868">+M204/Q203</f>
        <v>0.15393412615201368</v>
      </c>
      <c r="T204" s="83">
        <v>8651</v>
      </c>
      <c r="U204" s="83">
        <v>0</v>
      </c>
      <c r="V204" s="84">
        <f t="shared" ref="V204" si="869">SUM(T204:U204)</f>
        <v>8651</v>
      </c>
      <c r="W204" s="85" t="s">
        <v>103</v>
      </c>
      <c r="X204" s="86"/>
      <c r="Y204" s="86"/>
      <c r="Z204" s="86"/>
      <c r="AA204" s="87"/>
    </row>
    <row r="205" spans="3:27" hidden="1" x14ac:dyDescent="0.2">
      <c r="C205" s="32">
        <v>43800</v>
      </c>
      <c r="D205" s="55">
        <v>0.1668</v>
      </c>
      <c r="E205" s="55">
        <v>0</v>
      </c>
      <c r="F205" s="55">
        <f t="shared" ref="F205" si="870">D205-E205</f>
        <v>0.1668</v>
      </c>
      <c r="G205" s="56">
        <v>6552507</v>
      </c>
      <c r="H205" s="68"/>
      <c r="I205" s="57">
        <f t="shared" ref="I205" si="871">+G205-H205</f>
        <v>6552507</v>
      </c>
      <c r="J205" s="57">
        <f t="shared" ref="J205" si="872">SUM(I194:I205)/12</f>
        <v>5968461.416666667</v>
      </c>
      <c r="K205" s="57">
        <f t="shared" ref="K205" si="873">+F205*J205</f>
        <v>995539.36430000013</v>
      </c>
      <c r="L205" s="57">
        <v>8651</v>
      </c>
      <c r="M205" s="57">
        <f t="shared" ref="M205" si="874">+K205+L205</f>
        <v>1004190.3643000001</v>
      </c>
      <c r="N205" s="57">
        <v>8576628.2300000004</v>
      </c>
      <c r="P205" s="34">
        <f t="shared" ref="P205" si="875">+N205-O205</f>
        <v>8576628.2300000004</v>
      </c>
      <c r="Q205" s="34">
        <f t="shared" ref="Q205" si="876">SUM(P194:P205)/12</f>
        <v>7712012.7008333346</v>
      </c>
      <c r="R205" s="41">
        <f t="shared" ref="R205" si="877">+M205/Q204</f>
        <v>0.12979012805353005</v>
      </c>
      <c r="T205" s="83">
        <v>8651</v>
      </c>
      <c r="U205" s="83">
        <v>0</v>
      </c>
      <c r="V205" s="84">
        <f t="shared" ref="V205" si="878">SUM(T205:U205)</f>
        <v>8651</v>
      </c>
      <c r="W205" s="85" t="s">
        <v>103</v>
      </c>
      <c r="X205" s="86"/>
      <c r="Y205" s="86"/>
      <c r="Z205" s="86"/>
      <c r="AA205" s="87"/>
    </row>
    <row r="206" spans="3:27" x14ac:dyDescent="0.2">
      <c r="C206" s="32">
        <v>43831</v>
      </c>
      <c r="D206" s="55">
        <v>0.14360000000000001</v>
      </c>
      <c r="E206" s="55">
        <v>0</v>
      </c>
      <c r="F206" s="55">
        <f t="shared" ref="F206" si="879">D206-E206</f>
        <v>0.14360000000000001</v>
      </c>
      <c r="G206" s="56">
        <v>6209302</v>
      </c>
      <c r="H206" s="68"/>
      <c r="I206" s="57">
        <f t="shared" ref="I206" si="880">+G206-H206</f>
        <v>6209302</v>
      </c>
      <c r="J206" s="57">
        <f t="shared" ref="J206" si="881">SUM(I195:I206)/12</f>
        <v>5899773.166666667</v>
      </c>
      <c r="K206" s="57">
        <f t="shared" ref="K206" si="882">+F206*J206</f>
        <v>847207.42673333338</v>
      </c>
      <c r="L206" s="57">
        <v>8651</v>
      </c>
      <c r="M206" s="57">
        <f t="shared" ref="M206" si="883">+K206+L206</f>
        <v>855858.42673333338</v>
      </c>
      <c r="N206" s="57">
        <v>7756429.3399999999</v>
      </c>
      <c r="P206" s="34">
        <f t="shared" ref="P206" si="884">+N206-O206</f>
        <v>7756429.3399999999</v>
      </c>
      <c r="Q206" s="34">
        <f t="shared" ref="Q206" si="885">SUM(P195:P206)/12</f>
        <v>7627649.7375000007</v>
      </c>
      <c r="R206" s="41">
        <f t="shared" ref="R206" si="886">+M206/Q205</f>
        <v>0.11097731032533857</v>
      </c>
      <c r="T206" s="89">
        <f>51906-SUM(T201:T205)</f>
        <v>8651</v>
      </c>
      <c r="U206" s="83">
        <v>0</v>
      </c>
      <c r="V206" s="84">
        <f t="shared" ref="V206" si="887">SUM(T206:U206)</f>
        <v>8651</v>
      </c>
      <c r="W206" s="85" t="s">
        <v>103</v>
      </c>
      <c r="X206" s="86"/>
      <c r="Y206" s="86"/>
      <c r="Z206" s="86"/>
      <c r="AA206" s="87"/>
    </row>
    <row r="207" spans="3:27" x14ac:dyDescent="0.2">
      <c r="C207" s="32">
        <v>43862</v>
      </c>
      <c r="D207" s="55">
        <v>0.15179999999999999</v>
      </c>
      <c r="E207" s="55">
        <v>0</v>
      </c>
      <c r="F207" s="55">
        <f t="shared" ref="F207" si="888">D207-E207</f>
        <v>0.15179999999999999</v>
      </c>
      <c r="G207" s="56">
        <v>5702930</v>
      </c>
      <c r="H207" s="68"/>
      <c r="I207" s="57">
        <f t="shared" ref="I207" si="889">+G207-H207</f>
        <v>5702930</v>
      </c>
      <c r="J207" s="57">
        <f t="shared" ref="J207" si="890">SUM(I196:I207)/12</f>
        <v>5886039.583333333</v>
      </c>
      <c r="K207" s="57">
        <f t="shared" ref="K207" si="891">+F207*J207</f>
        <v>893500.80874999985</v>
      </c>
      <c r="L207" s="57">
        <v>0</v>
      </c>
      <c r="M207" s="57">
        <f t="shared" ref="M207" si="892">+K207+L207</f>
        <v>893500.80874999985</v>
      </c>
      <c r="N207" s="57">
        <v>7611894.4199999999</v>
      </c>
      <c r="P207" s="34">
        <f t="shared" ref="P207" si="893">+N207-O207</f>
        <v>7611894.4199999999</v>
      </c>
      <c r="Q207" s="34">
        <f t="shared" ref="Q207" si="894">SUM(P196:P207)/12</f>
        <v>7579978.7125000013</v>
      </c>
      <c r="R207" s="41">
        <f t="shared" ref="R207" si="895">+M207/Q206</f>
        <v>0.11713972711112572</v>
      </c>
      <c r="T207" s="83">
        <v>0</v>
      </c>
      <c r="U207" s="83">
        <v>0</v>
      </c>
      <c r="V207" s="84">
        <f t="shared" ref="V207" si="896">SUM(T207:U207)</f>
        <v>0</v>
      </c>
      <c r="W207" s="85"/>
      <c r="X207" s="86"/>
      <c r="Y207" s="86"/>
      <c r="Z207" s="86"/>
      <c r="AA207" s="87"/>
    </row>
    <row r="208" spans="3:27" x14ac:dyDescent="0.2">
      <c r="C208" s="32">
        <v>43891</v>
      </c>
      <c r="D208" s="55">
        <v>0.1696</v>
      </c>
      <c r="E208" s="55">
        <v>0</v>
      </c>
      <c r="F208" s="55">
        <f t="shared" ref="F208" si="897">D208-E208</f>
        <v>0.1696</v>
      </c>
      <c r="G208" s="56">
        <v>4648532</v>
      </c>
      <c r="H208" s="68"/>
      <c r="I208" s="57">
        <f t="shared" ref="I208" si="898">+G208-H208</f>
        <v>4648532</v>
      </c>
      <c r="J208" s="57">
        <f t="shared" ref="J208" si="899">SUM(I197:I208)/12</f>
        <v>5769749</v>
      </c>
      <c r="K208" s="57">
        <f t="shared" ref="K208" si="900">+F208*J208</f>
        <v>978549.43039999995</v>
      </c>
      <c r="L208" s="57">
        <v>0</v>
      </c>
      <c r="M208" s="57">
        <f t="shared" ref="M208" si="901">+K208+L208</f>
        <v>978549.43039999995</v>
      </c>
      <c r="N208" s="57">
        <v>6459922.0300000003</v>
      </c>
      <c r="P208" s="34">
        <f t="shared" ref="P208" si="902">+N208-O208</f>
        <v>6459922.0300000003</v>
      </c>
      <c r="Q208" s="34">
        <f t="shared" ref="Q208" si="903">SUM(P197:P208)/12</f>
        <v>7505893.1566666672</v>
      </c>
      <c r="R208" s="41">
        <f t="shared" ref="R208" si="904">+M208/Q207</f>
        <v>0.12909659347542657</v>
      </c>
      <c r="T208" s="83">
        <v>0</v>
      </c>
      <c r="U208" s="83">
        <v>0</v>
      </c>
      <c r="V208" s="84">
        <f t="shared" ref="V208" si="905">SUM(T208:U208)</f>
        <v>0</v>
      </c>
      <c r="W208" s="85"/>
      <c r="X208" s="86"/>
      <c r="Y208" s="86"/>
      <c r="Z208" s="86"/>
      <c r="AA208" s="87"/>
    </row>
    <row r="209" spans="3:27" x14ac:dyDescent="0.2">
      <c r="C209" s="32">
        <v>43922</v>
      </c>
      <c r="D209" s="55">
        <v>0.19980000000000001</v>
      </c>
      <c r="E209" s="55">
        <v>0</v>
      </c>
      <c r="F209" s="55">
        <f t="shared" ref="F209" si="906">D209-E209</f>
        <v>0.19980000000000001</v>
      </c>
      <c r="G209" s="56">
        <v>4062486</v>
      </c>
      <c r="H209" s="68"/>
      <c r="I209" s="57">
        <f t="shared" ref="I209" si="907">+G209-H209</f>
        <v>4062486</v>
      </c>
      <c r="J209" s="57">
        <f t="shared" ref="J209" si="908">SUM(I198:I209)/12</f>
        <v>5709063.666666667</v>
      </c>
      <c r="K209" s="57">
        <f t="shared" ref="K209" si="909">+F209*J209</f>
        <v>1140670.9206000001</v>
      </c>
      <c r="L209" s="57">
        <v>-2533</v>
      </c>
      <c r="M209" s="57">
        <f t="shared" ref="M209" si="910">+K209+L209</f>
        <v>1138137.9206000001</v>
      </c>
      <c r="N209" s="57">
        <v>5704993.6699999999</v>
      </c>
      <c r="P209" s="34">
        <f t="shared" ref="P209" si="911">+N209-O209</f>
        <v>5704993.6699999999</v>
      </c>
      <c r="Q209" s="34">
        <f t="shared" ref="Q209" si="912">SUM(P198:P209)/12</f>
        <v>7438045.4466666682</v>
      </c>
      <c r="R209" s="41">
        <f t="shared" ref="R209" si="913">+M209/Q208</f>
        <v>0.15163257680921238</v>
      </c>
      <c r="T209" s="83">
        <v>-2533</v>
      </c>
      <c r="U209" s="83">
        <v>0</v>
      </c>
      <c r="V209" s="84">
        <f t="shared" ref="V209" si="914">SUM(T209:U209)</f>
        <v>-2533</v>
      </c>
      <c r="W209" s="85" t="s">
        <v>104</v>
      </c>
      <c r="X209" s="86"/>
      <c r="Y209" s="86"/>
      <c r="Z209" s="86"/>
      <c r="AA209" s="87"/>
    </row>
    <row r="210" spans="3:27" x14ac:dyDescent="0.2">
      <c r="C210" s="32">
        <v>43952</v>
      </c>
      <c r="D210" s="55">
        <v>0.22600000000000001</v>
      </c>
      <c r="E210" s="55">
        <v>0</v>
      </c>
      <c r="F210" s="55">
        <f t="shared" ref="F210" si="915">D210-E210</f>
        <v>0.22600000000000001</v>
      </c>
      <c r="G210" s="56">
        <v>4294907</v>
      </c>
      <c r="H210" s="68"/>
      <c r="I210" s="57">
        <f t="shared" ref="I210" si="916">+G210-H210</f>
        <v>4294907</v>
      </c>
      <c r="J210" s="57">
        <f t="shared" ref="J210" si="917">SUM(I199:I210)/12</f>
        <v>5617154.583333333</v>
      </c>
      <c r="K210" s="57">
        <f t="shared" ref="K210" si="918">+F210*J210</f>
        <v>1269476.9358333333</v>
      </c>
      <c r="L210" s="57">
        <v>-2533</v>
      </c>
      <c r="M210" s="57">
        <f t="shared" ref="M210" si="919">+K210+L210</f>
        <v>1266943.9358333333</v>
      </c>
      <c r="N210" s="57">
        <v>5982236.7000000002</v>
      </c>
      <c r="P210" s="34">
        <f t="shared" ref="P210" si="920">+N210-O210</f>
        <v>5982236.7000000002</v>
      </c>
      <c r="Q210" s="34">
        <f t="shared" ref="Q210" si="921">SUM(P199:P210)/12</f>
        <v>7366351.0183333345</v>
      </c>
      <c r="R210" s="41">
        <f t="shared" ref="R210" si="922">+M210/Q209</f>
        <v>0.17033291137003059</v>
      </c>
      <c r="T210" s="83">
        <v>-2533</v>
      </c>
      <c r="U210" s="83">
        <v>0</v>
      </c>
      <c r="V210" s="84">
        <f t="shared" ref="V210" si="923">SUM(T210:U210)</f>
        <v>-2533</v>
      </c>
      <c r="W210" s="85" t="s">
        <v>104</v>
      </c>
      <c r="X210" s="86"/>
      <c r="Y210" s="86"/>
      <c r="Z210" s="86"/>
      <c r="AA210" s="87"/>
    </row>
    <row r="211" spans="3:27" x14ac:dyDescent="0.2">
      <c r="C211" s="32">
        <v>43983</v>
      </c>
      <c r="D211" s="55">
        <v>0.2336</v>
      </c>
      <c r="E211" s="55">
        <v>0</v>
      </c>
      <c r="F211" s="55">
        <f t="shared" ref="F211" si="924">D211-E211</f>
        <v>0.2336</v>
      </c>
      <c r="G211" s="56">
        <v>5439219</v>
      </c>
      <c r="H211" s="68"/>
      <c r="I211" s="57">
        <f t="shared" ref="I211" si="925">+G211-H211</f>
        <v>5439219</v>
      </c>
      <c r="J211" s="57">
        <f t="shared" ref="J211" si="926">SUM(I200:I211)/12</f>
        <v>5581664.416666667</v>
      </c>
      <c r="K211" s="57">
        <f t="shared" ref="K211" si="927">+F211*J211</f>
        <v>1303876.8077333334</v>
      </c>
      <c r="L211" s="57">
        <v>-2533</v>
      </c>
      <c r="M211" s="57">
        <f t="shared" ref="M211" si="928">+K211+L211</f>
        <v>1301343.8077333334</v>
      </c>
      <c r="N211" s="57">
        <v>7498235.04</v>
      </c>
      <c r="P211" s="34">
        <f t="shared" ref="P211" si="929">+N211-O211</f>
        <v>7498235.04</v>
      </c>
      <c r="Q211" s="34">
        <f t="shared" ref="Q211" si="930">SUM(P200:P211)/12</f>
        <v>7337030.3908333359</v>
      </c>
      <c r="R211" s="41">
        <f t="shared" ref="R211" si="931">+M211/Q210</f>
        <v>0.17666057516055861</v>
      </c>
      <c r="T211" s="83">
        <v>-2533</v>
      </c>
      <c r="U211" s="83">
        <v>0</v>
      </c>
      <c r="V211" s="84">
        <f t="shared" ref="V211" si="932">SUM(T211:U211)</f>
        <v>-2533</v>
      </c>
      <c r="W211" s="85" t="s">
        <v>104</v>
      </c>
      <c r="X211" s="86"/>
      <c r="Y211" s="86"/>
      <c r="Z211" s="86"/>
      <c r="AA211" s="87"/>
    </row>
    <row r="212" spans="3:27" x14ac:dyDescent="0.2">
      <c r="C212" s="32">
        <v>44013</v>
      </c>
      <c r="D212" s="55">
        <v>0.22370000000000001</v>
      </c>
      <c r="E212" s="55">
        <v>0</v>
      </c>
      <c r="F212" s="55">
        <f t="shared" ref="F212" si="933">D212-E212</f>
        <v>0.22370000000000001</v>
      </c>
      <c r="G212" s="56">
        <v>6583130</v>
      </c>
      <c r="H212" s="68"/>
      <c r="I212" s="57">
        <f t="shared" ref="I212" si="934">+G212-H212</f>
        <v>6583130</v>
      </c>
      <c r="J212" s="57">
        <f t="shared" ref="J212" si="935">SUM(I201:I212)/12</f>
        <v>5563997.333333333</v>
      </c>
      <c r="K212" s="57">
        <f t="shared" ref="K212" si="936">+F212*J212</f>
        <v>1244666.2034666666</v>
      </c>
      <c r="L212" s="57">
        <v>-2533</v>
      </c>
      <c r="M212" s="57">
        <f t="shared" ref="M212" si="937">+K212+L212</f>
        <v>1242133.2034666666</v>
      </c>
      <c r="N212" s="57">
        <v>8556387.0399999991</v>
      </c>
      <c r="P212" s="34">
        <f t="shared" ref="P212" si="938">+N212-O212</f>
        <v>8556387.0399999991</v>
      </c>
      <c r="Q212" s="34">
        <f t="shared" ref="Q212" si="939">SUM(P201:P212)/12</f>
        <v>7325934.3808333352</v>
      </c>
      <c r="R212" s="41">
        <f t="shared" ref="R212" si="940">+M212/Q211</f>
        <v>0.16929645064828275</v>
      </c>
      <c r="T212" s="83">
        <v>-2533</v>
      </c>
      <c r="U212" s="83">
        <v>0</v>
      </c>
      <c r="V212" s="84">
        <f t="shared" ref="V212" si="941">SUM(T212:U212)</f>
        <v>-2533</v>
      </c>
      <c r="W212" s="85" t="s">
        <v>104</v>
      </c>
      <c r="X212" s="86"/>
      <c r="Y212" s="86"/>
      <c r="Z212" s="86"/>
      <c r="AA212" s="87"/>
    </row>
    <row r="213" spans="3:27" x14ac:dyDescent="0.2">
      <c r="C213" s="32">
        <v>44044</v>
      </c>
      <c r="D213" s="55">
        <v>0.1603</v>
      </c>
      <c r="E213" s="55">
        <v>0</v>
      </c>
      <c r="F213" s="55">
        <f t="shared" ref="F213" si="942">D213-E213</f>
        <v>0.1603</v>
      </c>
      <c r="G213" s="56">
        <v>6172949</v>
      </c>
      <c r="H213" s="68"/>
      <c r="I213" s="57">
        <f t="shared" ref="I213" si="943">+G213-H213</f>
        <v>6172949</v>
      </c>
      <c r="J213" s="57">
        <f t="shared" ref="J213" si="944">SUM(I202:I213)/12</f>
        <v>5528543.333333333</v>
      </c>
      <c r="K213" s="57">
        <f t="shared" ref="K213" si="945">+F213*J213</f>
        <v>886225.49633333331</v>
      </c>
      <c r="L213" s="57">
        <v>-2533</v>
      </c>
      <c r="M213" s="57">
        <f t="shared" ref="M213" si="946">+K213+L213</f>
        <v>883692.49633333331</v>
      </c>
      <c r="N213" s="57">
        <v>8173519.2999999998</v>
      </c>
      <c r="P213" s="34">
        <f t="shared" ref="P213" si="947">+N213-O213</f>
        <v>8173519.2999999998</v>
      </c>
      <c r="Q213" s="34">
        <f t="shared" ref="Q213" si="948">SUM(P202:P213)/12</f>
        <v>7299874.1250000009</v>
      </c>
      <c r="R213" s="41">
        <f t="shared" ref="R213" si="949">+M213/Q212</f>
        <v>0.12062522681684354</v>
      </c>
      <c r="T213" s="83">
        <v>-2533</v>
      </c>
      <c r="U213" s="83">
        <v>0</v>
      </c>
      <c r="V213" s="84">
        <f t="shared" ref="V213" si="950">SUM(T213:U213)</f>
        <v>-2533</v>
      </c>
      <c r="W213" s="85" t="s">
        <v>104</v>
      </c>
      <c r="X213" s="86"/>
      <c r="Y213" s="86"/>
      <c r="Z213" s="86"/>
      <c r="AA213" s="87"/>
    </row>
    <row r="214" spans="3:27" x14ac:dyDescent="0.2">
      <c r="C214" s="32">
        <v>44075</v>
      </c>
      <c r="D214" s="55">
        <v>0.17430000000000001</v>
      </c>
      <c r="E214" s="55">
        <v>0</v>
      </c>
      <c r="F214" s="55">
        <f t="shared" ref="F214" si="951">D214-E214</f>
        <v>0.17430000000000001</v>
      </c>
      <c r="G214" s="56">
        <v>5163734</v>
      </c>
      <c r="H214" s="68"/>
      <c r="I214" s="57">
        <f t="shared" ref="I214" si="952">+G214-H214</f>
        <v>5163734</v>
      </c>
      <c r="J214" s="57">
        <f t="shared" ref="J214" si="953">SUM(I203:I214)/12</f>
        <v>5450301</v>
      </c>
      <c r="K214" s="57">
        <f t="shared" ref="K214" si="954">+F214*J214</f>
        <v>949987.46430000011</v>
      </c>
      <c r="L214" s="57">
        <v>-2531</v>
      </c>
      <c r="M214" s="57">
        <f t="shared" ref="M214" si="955">+K214+L214</f>
        <v>947456.46430000011</v>
      </c>
      <c r="N214" s="57">
        <v>6280806.5199999996</v>
      </c>
      <c r="P214" s="34">
        <f t="shared" ref="P214" si="956">+N214-O214</f>
        <v>6280806.5199999996</v>
      </c>
      <c r="Q214" s="34">
        <f t="shared" ref="Q214" si="957">SUM(P203:P214)/12</f>
        <v>7192908.2849999992</v>
      </c>
      <c r="R214" s="41">
        <f t="shared" ref="R214" si="958">+M214/Q213</f>
        <v>0.12979079475565614</v>
      </c>
      <c r="T214" s="89">
        <f>-15196-SUM(T209:T213)</f>
        <v>-2531</v>
      </c>
      <c r="U214" s="83">
        <v>0</v>
      </c>
      <c r="V214" s="84">
        <f t="shared" ref="V214" si="959">SUM(T214:U214)</f>
        <v>-2531</v>
      </c>
      <c r="W214" s="85" t="s">
        <v>104</v>
      </c>
      <c r="X214" s="86"/>
      <c r="Y214" s="86"/>
      <c r="Z214" s="86"/>
      <c r="AA214" s="87"/>
    </row>
    <row r="215" spans="3:27" x14ac:dyDescent="0.2">
      <c r="C215" s="32">
        <v>44105</v>
      </c>
      <c r="D215" s="55">
        <v>0.20849999999999999</v>
      </c>
      <c r="E215" s="55">
        <v>0</v>
      </c>
      <c r="F215" s="55">
        <f t="shared" ref="F215" si="960">D215-E215</f>
        <v>0.20849999999999999</v>
      </c>
      <c r="G215" s="56">
        <v>4101216</v>
      </c>
      <c r="H215" s="68"/>
      <c r="I215" s="57">
        <f t="shared" ref="I215" si="961">+G215-H215</f>
        <v>4101216</v>
      </c>
      <c r="J215" s="57">
        <f t="shared" ref="J215" si="962">SUM(I204:I215)/12</f>
        <v>5380725.583333333</v>
      </c>
      <c r="K215" s="57">
        <f t="shared" ref="K215" si="963">+F215*J215</f>
        <v>1121881.2841249998</v>
      </c>
      <c r="L215" s="57">
        <v>0</v>
      </c>
      <c r="M215" s="57">
        <f t="shared" ref="M215" si="964">+K215+L215</f>
        <v>1121881.2841249998</v>
      </c>
      <c r="N215" s="57">
        <v>5779777.6500000004</v>
      </c>
      <c r="P215" s="34">
        <f t="shared" ref="P215" si="965">+N215-O215</f>
        <v>5779777.6500000004</v>
      </c>
      <c r="Q215" s="34">
        <f t="shared" ref="Q215" si="966">SUM(P204:P215)/12</f>
        <v>7139360.125</v>
      </c>
      <c r="R215" s="41">
        <f t="shared" ref="R215" si="967">+M215/Q214</f>
        <v>0.1559704697562399</v>
      </c>
      <c r="T215" s="83">
        <v>0</v>
      </c>
      <c r="U215" s="83">
        <v>0</v>
      </c>
      <c r="V215" s="84">
        <f t="shared" ref="V215" si="968">SUM(T215:U215)</f>
        <v>0</v>
      </c>
      <c r="W215" s="85"/>
      <c r="X215" s="86"/>
      <c r="Y215" s="86"/>
      <c r="Z215" s="86"/>
      <c r="AA215" s="87"/>
    </row>
    <row r="216" spans="3:27" x14ac:dyDescent="0.2">
      <c r="C216" s="32">
        <v>44136</v>
      </c>
      <c r="D216" s="55">
        <v>0.2361</v>
      </c>
      <c r="E216" s="55">
        <v>0</v>
      </c>
      <c r="F216" s="55">
        <f t="shared" ref="F216" si="969">D216-E216</f>
        <v>0.2361</v>
      </c>
      <c r="G216" s="56">
        <v>4835863</v>
      </c>
      <c r="H216" s="68"/>
      <c r="I216" s="57">
        <f t="shared" ref="I216" si="970">+G216-H216</f>
        <v>4835863</v>
      </c>
      <c r="J216" s="57">
        <f t="shared" ref="J216" si="971">SUM(I205:I216)/12</f>
        <v>5313897.916666667</v>
      </c>
      <c r="K216" s="57">
        <f t="shared" ref="K216" si="972">+F216*J216</f>
        <v>1254611.2981250002</v>
      </c>
      <c r="L216" s="57">
        <v>0</v>
      </c>
      <c r="M216" s="57">
        <f t="shared" ref="M216" si="973">+K216+L216</f>
        <v>1254611.2981250002</v>
      </c>
      <c r="N216" s="57">
        <v>6811087.5199999996</v>
      </c>
      <c r="P216" s="34">
        <f t="shared" ref="P216" si="974">+N216-O216</f>
        <v>6811087.5199999996</v>
      </c>
      <c r="Q216" s="34">
        <f t="shared" ref="Q216" si="975">SUM(P205:P216)/12</f>
        <v>7099326.455000001</v>
      </c>
      <c r="R216" s="41">
        <f t="shared" ref="R216" si="976">+M216/Q215</f>
        <v>0.17573161686181227</v>
      </c>
      <c r="T216" s="83">
        <v>0</v>
      </c>
      <c r="U216" s="83">
        <v>0</v>
      </c>
      <c r="V216" s="84">
        <f t="shared" ref="V216" si="977">SUM(T216:U216)</f>
        <v>0</v>
      </c>
      <c r="W216" s="85"/>
      <c r="X216" s="86"/>
      <c r="Y216" s="86"/>
      <c r="Z216" s="86"/>
      <c r="AA216" s="87"/>
    </row>
    <row r="217" spans="3:27" x14ac:dyDescent="0.2">
      <c r="C217" s="32">
        <v>44166</v>
      </c>
      <c r="D217" s="55">
        <v>0.20880000000000001</v>
      </c>
      <c r="E217" s="55">
        <v>0</v>
      </c>
      <c r="F217" s="55">
        <f t="shared" ref="F217" si="978">D217-E217</f>
        <v>0.20880000000000001</v>
      </c>
      <c r="G217" s="56">
        <v>6359078</v>
      </c>
      <c r="H217" s="68"/>
      <c r="I217" s="57">
        <f t="shared" ref="I217" si="979">+G217-H217</f>
        <v>6359078</v>
      </c>
      <c r="J217" s="57">
        <f t="shared" ref="J217" si="980">SUM(I206:I217)/12</f>
        <v>5297778.833333333</v>
      </c>
      <c r="K217" s="57">
        <f t="shared" ref="K217" si="981">+F217*J217</f>
        <v>1106176.2204</v>
      </c>
      <c r="L217" s="57">
        <v>0</v>
      </c>
      <c r="M217" s="57">
        <f t="shared" ref="M217" si="982">+K217+L217</f>
        <v>1106176.2204</v>
      </c>
      <c r="N217" s="57">
        <v>8499219.4299999997</v>
      </c>
      <c r="P217" s="34">
        <f t="shared" ref="P217" si="983">+N217-O217</f>
        <v>8499219.4299999997</v>
      </c>
      <c r="Q217" s="34">
        <f t="shared" ref="Q217" si="984">SUM(P206:P217)/12</f>
        <v>7092875.7216666667</v>
      </c>
      <c r="R217" s="41">
        <f t="shared" ref="R217" si="985">+M217/Q216</f>
        <v>0.15581424905751848</v>
      </c>
      <c r="T217" s="83">
        <v>0</v>
      </c>
      <c r="U217" s="83">
        <v>0</v>
      </c>
      <c r="V217" s="84">
        <f t="shared" ref="V217" si="986">SUM(T217:U217)</f>
        <v>0</v>
      </c>
      <c r="W217" s="85"/>
      <c r="X217" s="86"/>
      <c r="Y217" s="86"/>
      <c r="Z217" s="86"/>
      <c r="AA217" s="87"/>
    </row>
    <row r="218" spans="3:27" x14ac:dyDescent="0.2">
      <c r="C218" s="32">
        <v>44197</v>
      </c>
      <c r="D218" s="55">
        <v>0.14000000000000001</v>
      </c>
      <c r="E218" s="55">
        <v>0</v>
      </c>
      <c r="F218" s="55">
        <f t="shared" ref="F218" si="987">D218-E218</f>
        <v>0.14000000000000001</v>
      </c>
      <c r="G218" s="56">
        <v>6794775</v>
      </c>
      <c r="H218" s="68"/>
      <c r="I218" s="57">
        <f t="shared" ref="I218" si="988">+G218-H218</f>
        <v>6794775</v>
      </c>
      <c r="J218" s="57">
        <f t="shared" ref="J218" si="989">SUM(I207:I218)/12</f>
        <v>5346568.25</v>
      </c>
      <c r="K218" s="57">
        <f t="shared" ref="K218" si="990">+F218*J218</f>
        <v>748519.55500000005</v>
      </c>
      <c r="L218" s="57">
        <v>0</v>
      </c>
      <c r="M218" s="57">
        <f t="shared" ref="M218" si="991">+K218+L218</f>
        <v>748519.55500000005</v>
      </c>
      <c r="N218" s="57">
        <v>9105465.2799999993</v>
      </c>
      <c r="P218" s="34">
        <f t="shared" ref="P218" si="992">+N218-O218</f>
        <v>9105465.2799999993</v>
      </c>
      <c r="Q218" s="34">
        <f t="shared" ref="Q218" si="993">SUM(P207:P218)/12</f>
        <v>7205295.3833333328</v>
      </c>
      <c r="R218" s="41">
        <f t="shared" ref="R218" si="994">+M218/Q217</f>
        <v>0.10553118148024096</v>
      </c>
      <c r="T218" s="83">
        <v>0</v>
      </c>
      <c r="U218" s="83">
        <v>0</v>
      </c>
      <c r="V218" s="84">
        <f t="shared" ref="V218" si="995">SUM(T218:U218)</f>
        <v>0</v>
      </c>
      <c r="W218" s="85"/>
      <c r="X218" s="86"/>
      <c r="Y218" s="86"/>
      <c r="Z218" s="86"/>
      <c r="AA218" s="87"/>
    </row>
    <row r="219" spans="3:27" x14ac:dyDescent="0.2">
      <c r="C219" s="32">
        <v>44228</v>
      </c>
      <c r="D219" s="55">
        <v>0.1321</v>
      </c>
      <c r="E219" s="55">
        <v>0</v>
      </c>
      <c r="F219" s="55">
        <f t="shared" ref="F219" si="996">D219-E219</f>
        <v>0.1321</v>
      </c>
      <c r="G219" s="56">
        <v>6707653</v>
      </c>
      <c r="H219" s="68"/>
      <c r="I219" s="57">
        <f t="shared" ref="I219" si="997">+G219-H219</f>
        <v>6707653</v>
      </c>
      <c r="J219" s="57">
        <f t="shared" ref="J219" si="998">SUM(I208:I219)/12</f>
        <v>5430295.166666667</v>
      </c>
      <c r="K219" s="57">
        <f t="shared" ref="K219" si="999">+F219*J219</f>
        <v>717341.99151666672</v>
      </c>
      <c r="L219" s="57">
        <v>0</v>
      </c>
      <c r="M219" s="57">
        <f t="shared" ref="M219" si="1000">+K219+L219</f>
        <v>717341.99151666672</v>
      </c>
      <c r="N219" s="57">
        <v>8663665.9299999997</v>
      </c>
      <c r="P219" s="34">
        <f t="shared" ref="P219" si="1001">+N219-O219</f>
        <v>8663665.9299999997</v>
      </c>
      <c r="Q219" s="34">
        <f t="shared" ref="Q219" si="1002">SUM(P208:P219)/12</f>
        <v>7292943.0091666682</v>
      </c>
      <c r="R219" s="41">
        <f t="shared" ref="R219" si="1003">+M219/Q218</f>
        <v>9.9557610528495516E-2</v>
      </c>
      <c r="T219" s="83">
        <v>0</v>
      </c>
      <c r="U219" s="83">
        <v>0</v>
      </c>
      <c r="V219" s="84">
        <f t="shared" ref="V219" si="1004">SUM(T219:U219)</f>
        <v>0</v>
      </c>
      <c r="W219" s="85"/>
      <c r="X219" s="86"/>
      <c r="Y219" s="86"/>
      <c r="Z219" s="86"/>
      <c r="AA219" s="87"/>
    </row>
    <row r="220" spans="3:27" x14ac:dyDescent="0.2">
      <c r="C220" s="32">
        <v>44256</v>
      </c>
      <c r="D220" s="55">
        <v>0.16289999999999999</v>
      </c>
      <c r="E220" s="55">
        <v>0</v>
      </c>
      <c r="F220" s="55">
        <f t="shared" ref="F220" si="1005">D220-E220</f>
        <v>0.16289999999999999</v>
      </c>
      <c r="G220" s="56">
        <v>5798512</v>
      </c>
      <c r="H220" s="68"/>
      <c r="I220" s="57">
        <f t="shared" ref="I220" si="1006">+G220-H220</f>
        <v>5798512</v>
      </c>
      <c r="J220" s="57">
        <f t="shared" ref="J220" si="1007">SUM(I209:I220)/12</f>
        <v>5526126.833333333</v>
      </c>
      <c r="K220" s="57">
        <f t="shared" ref="K220" si="1008">+F220*J220</f>
        <v>900206.06114999985</v>
      </c>
      <c r="L220" s="57">
        <v>0</v>
      </c>
      <c r="M220" s="57">
        <f t="shared" ref="M220" si="1009">+K220+L220</f>
        <v>900206.06114999985</v>
      </c>
      <c r="N220" s="57">
        <v>7387062.6200000001</v>
      </c>
      <c r="P220" s="34">
        <f t="shared" ref="P220" si="1010">+N220-O220</f>
        <v>7387062.6200000001</v>
      </c>
      <c r="Q220" s="34">
        <f t="shared" ref="Q220" si="1011">SUM(P209:P220)/12</f>
        <v>7370204.7249999987</v>
      </c>
      <c r="R220" s="41">
        <f t="shared" ref="R220" si="1012">+M220/Q219</f>
        <v>0.12343522498647118</v>
      </c>
      <c r="T220" s="83">
        <v>0</v>
      </c>
      <c r="U220" s="83">
        <v>0</v>
      </c>
      <c r="V220" s="84">
        <f t="shared" ref="V220" si="1013">SUM(T220:U220)</f>
        <v>0</v>
      </c>
      <c r="W220" s="85"/>
      <c r="X220" s="86"/>
      <c r="Y220" s="86"/>
      <c r="Z220" s="86"/>
      <c r="AA220" s="87"/>
    </row>
    <row r="221" spans="3:27" x14ac:dyDescent="0.2">
      <c r="C221" s="32">
        <v>44287</v>
      </c>
      <c r="D221" s="55">
        <v>0.17879999999999999</v>
      </c>
      <c r="E221" s="55">
        <v>0</v>
      </c>
      <c r="F221" s="55">
        <f t="shared" ref="F221" si="1014">D221-E221</f>
        <v>0.17879999999999999</v>
      </c>
      <c r="G221" s="56">
        <v>4744161</v>
      </c>
      <c r="H221" s="68"/>
      <c r="I221" s="57">
        <f t="shared" ref="I221" si="1015">+G221-H221</f>
        <v>4744161</v>
      </c>
      <c r="J221" s="57">
        <f t="shared" ref="J221" si="1016">SUM(I210:I221)/12</f>
        <v>5582933.083333333</v>
      </c>
      <c r="K221" s="57">
        <f t="shared" ref="K221" si="1017">+F221*J221</f>
        <v>998228.4352999999</v>
      </c>
      <c r="L221" s="57">
        <v>0</v>
      </c>
      <c r="M221" s="57">
        <f t="shared" ref="M221" si="1018">+K221+L221</f>
        <v>998228.4352999999</v>
      </c>
      <c r="N221" s="57">
        <v>6239334.3600000003</v>
      </c>
      <c r="P221" s="34">
        <f t="shared" ref="P221" si="1019">+N221-O221</f>
        <v>6239334.3600000003</v>
      </c>
      <c r="Q221" s="34">
        <f t="shared" ref="Q221" si="1020">SUM(P210:P221)/12</f>
        <v>7414733.1158333337</v>
      </c>
      <c r="R221" s="41">
        <f t="shared" ref="R221" si="1021">+M221/Q220</f>
        <v>0.1354410728801024</v>
      </c>
      <c r="T221" s="83">
        <v>0</v>
      </c>
      <c r="U221" s="83">
        <v>0</v>
      </c>
      <c r="V221" s="84">
        <f t="shared" ref="V221" si="1022">SUM(T221:U221)</f>
        <v>0</v>
      </c>
      <c r="W221" s="85"/>
      <c r="X221" s="86"/>
      <c r="Y221" s="86"/>
      <c r="Z221" s="86"/>
      <c r="AA221" s="87"/>
    </row>
    <row r="222" spans="3:27" x14ac:dyDescent="0.2">
      <c r="C222" s="32">
        <v>44317</v>
      </c>
      <c r="D222" s="55">
        <v>0.25509999999999999</v>
      </c>
      <c r="E222" s="55">
        <v>0</v>
      </c>
      <c r="F222" s="55">
        <f t="shared" ref="F222" si="1023">D222-E222</f>
        <v>0.25509999999999999</v>
      </c>
      <c r="G222" s="56">
        <v>4844994</v>
      </c>
      <c r="H222" s="68"/>
      <c r="I222" s="57">
        <f t="shared" ref="I222" si="1024">+G222-H222</f>
        <v>4844994</v>
      </c>
      <c r="J222" s="57">
        <f t="shared" ref="J222" si="1025">SUM(I211:I222)/12</f>
        <v>5628773.666666667</v>
      </c>
      <c r="K222" s="57">
        <f t="shared" ref="K222" si="1026">+F222*J222</f>
        <v>1435900.1623666666</v>
      </c>
      <c r="L222" s="57">
        <v>0</v>
      </c>
      <c r="M222" s="57">
        <f t="shared" ref="M222" si="1027">+K222+L222</f>
        <v>1435900.1623666666</v>
      </c>
      <c r="N222" s="57">
        <v>6301421.8499999996</v>
      </c>
      <c r="P222" s="34">
        <f t="shared" ref="P222" si="1028">+N222-O222</f>
        <v>6301421.8499999996</v>
      </c>
      <c r="Q222" s="34">
        <f t="shared" ref="Q222" si="1029">SUM(P211:P222)/12</f>
        <v>7441331.8783333329</v>
      </c>
      <c r="R222" s="41">
        <f t="shared" ref="R222" si="1030">+M222/Q221</f>
        <v>0.19365500280791798</v>
      </c>
      <c r="T222" s="83">
        <v>0</v>
      </c>
      <c r="U222" s="83">
        <v>0</v>
      </c>
      <c r="V222" s="84">
        <f t="shared" ref="V222" si="1031">SUM(T222:U222)</f>
        <v>0</v>
      </c>
      <c r="W222" s="85"/>
      <c r="X222" s="86"/>
      <c r="Y222" s="86"/>
      <c r="Z222" s="86"/>
      <c r="AA222" s="87"/>
    </row>
    <row r="223" spans="3:27" x14ac:dyDescent="0.2">
      <c r="C223" s="32">
        <v>44348</v>
      </c>
      <c r="D223" s="55">
        <v>0.23019999999999999</v>
      </c>
      <c r="E223" s="55">
        <v>0</v>
      </c>
      <c r="F223" s="55">
        <f t="shared" ref="F223" si="1032">D223-E223</f>
        <v>0.23019999999999999</v>
      </c>
      <c r="G223" s="56">
        <v>6120540</v>
      </c>
      <c r="H223" s="68"/>
      <c r="I223" s="57">
        <f t="shared" ref="I223" si="1033">+G223-H223</f>
        <v>6120540</v>
      </c>
      <c r="J223" s="57">
        <f t="shared" ref="J223" si="1034">SUM(I212:I223)/12</f>
        <v>5685550.416666667</v>
      </c>
      <c r="K223" s="57">
        <f t="shared" ref="K223" si="1035">+F223*J223</f>
        <v>1308813.7059166667</v>
      </c>
      <c r="L223" s="57">
        <v>0</v>
      </c>
      <c r="M223" s="57">
        <f t="shared" ref="M223" si="1036">+K223+L223</f>
        <v>1308813.7059166667</v>
      </c>
      <c r="N223" s="57">
        <v>8299131.7999999998</v>
      </c>
      <c r="P223" s="34">
        <f t="shared" ref="P223" si="1037">+N223-O223</f>
        <v>8299131.7999999998</v>
      </c>
      <c r="Q223" s="34">
        <f t="shared" ref="Q223" si="1038">SUM(P212:P223)/12</f>
        <v>7508073.2749999994</v>
      </c>
      <c r="R223" s="41">
        <f t="shared" ref="R223" si="1039">+M223/Q222</f>
        <v>0.17588433459438813</v>
      </c>
      <c r="T223" s="83">
        <v>0</v>
      </c>
      <c r="U223" s="83">
        <v>0</v>
      </c>
      <c r="V223" s="84">
        <f t="shared" ref="V223" si="1040">SUM(T223:U223)</f>
        <v>0</v>
      </c>
      <c r="W223" s="85"/>
      <c r="X223" s="86"/>
      <c r="Y223" s="86"/>
      <c r="Z223" s="86"/>
      <c r="AA223" s="87"/>
    </row>
    <row r="224" spans="3:27" x14ac:dyDescent="0.2">
      <c r="C224" s="32">
        <v>44378</v>
      </c>
      <c r="D224" s="55">
        <v>0.2099</v>
      </c>
      <c r="E224" s="55">
        <v>0</v>
      </c>
      <c r="F224" s="55">
        <f t="shared" ref="F224" si="1041">D224-E224</f>
        <v>0.2099</v>
      </c>
      <c r="G224" s="56">
        <v>6563526</v>
      </c>
      <c r="H224" s="68"/>
      <c r="I224" s="57">
        <f t="shared" ref="I224" si="1042">+G224-H224</f>
        <v>6563526</v>
      </c>
      <c r="J224" s="57">
        <f t="shared" ref="J224" si="1043">SUM(I213:I224)/12</f>
        <v>5683916.75</v>
      </c>
      <c r="K224" s="57">
        <f t="shared" ref="K224" si="1044">+F224*J224</f>
        <v>1193054.125825</v>
      </c>
      <c r="L224" s="57">
        <v>0</v>
      </c>
      <c r="M224" s="57">
        <f t="shared" ref="M224" si="1045">+K224+L224</f>
        <v>1193054.125825</v>
      </c>
      <c r="N224" s="57">
        <v>8462656.6999999993</v>
      </c>
      <c r="P224" s="34">
        <f t="shared" ref="P224" si="1046">+N224-O224</f>
        <v>8462656.6999999993</v>
      </c>
      <c r="Q224" s="34">
        <f t="shared" ref="Q224" si="1047">SUM(P213:P224)/12</f>
        <v>7500262.4133333331</v>
      </c>
      <c r="R224" s="41">
        <f t="shared" ref="R224" si="1048">+M224/Q223</f>
        <v>0.15890283460572646</v>
      </c>
      <c r="T224" s="83">
        <v>0</v>
      </c>
      <c r="U224" s="83">
        <v>0</v>
      </c>
      <c r="V224" s="84">
        <f t="shared" ref="V224" si="1049">SUM(T224:U224)</f>
        <v>0</v>
      </c>
      <c r="W224" s="85"/>
      <c r="X224" s="86"/>
      <c r="Y224" s="86"/>
      <c r="Z224" s="86"/>
      <c r="AA224" s="87"/>
    </row>
    <row r="225" spans="3:27" x14ac:dyDescent="0.2">
      <c r="C225" s="32">
        <v>44409</v>
      </c>
      <c r="D225" s="55">
        <v>0.18920000000000001</v>
      </c>
      <c r="E225" s="55">
        <v>0</v>
      </c>
      <c r="F225" s="55">
        <f t="shared" ref="F225" si="1050">D225-E225</f>
        <v>0.18920000000000001</v>
      </c>
      <c r="G225" s="56">
        <v>6940769</v>
      </c>
      <c r="H225" s="68"/>
      <c r="I225" s="57">
        <f t="shared" ref="I225" si="1051">+G225-H225</f>
        <v>6940769</v>
      </c>
      <c r="J225" s="57">
        <f t="shared" ref="J225" si="1052">SUM(I214:I225)/12</f>
        <v>5747901.75</v>
      </c>
      <c r="K225" s="57">
        <f t="shared" ref="K225" si="1053">+F225*J225</f>
        <v>1087503.0111</v>
      </c>
      <c r="L225" s="57">
        <v>0</v>
      </c>
      <c r="M225" s="57">
        <f t="shared" ref="M225" si="1054">+K225+L225</f>
        <v>1087503.0111</v>
      </c>
      <c r="N225" s="57">
        <v>8798736.6600000001</v>
      </c>
      <c r="P225" s="34">
        <f t="shared" ref="P225" si="1055">+N225-O225</f>
        <v>8798736.6600000001</v>
      </c>
      <c r="Q225" s="34">
        <f t="shared" ref="Q225" si="1056">SUM(P214:P225)/12</f>
        <v>7552363.8599999994</v>
      </c>
      <c r="R225" s="41">
        <f t="shared" ref="R225" si="1057">+M225/Q224</f>
        <v>0.14499532831901041</v>
      </c>
      <c r="T225" s="83">
        <v>0</v>
      </c>
      <c r="U225" s="83">
        <v>0</v>
      </c>
      <c r="V225" s="84">
        <f t="shared" ref="V225" si="1058">SUM(T225:U225)</f>
        <v>0</v>
      </c>
      <c r="W225" s="85"/>
      <c r="X225" s="86"/>
      <c r="Y225" s="86"/>
      <c r="Z225" s="86"/>
      <c r="AA225" s="87"/>
    </row>
    <row r="226" spans="3:27" x14ac:dyDescent="0.2">
      <c r="C226" s="32">
        <v>44440</v>
      </c>
      <c r="D226" s="55">
        <v>0.1777</v>
      </c>
      <c r="E226" s="55">
        <v>0</v>
      </c>
      <c r="F226" s="55">
        <f t="shared" ref="F226" si="1059">D226-E226</f>
        <v>0.1777</v>
      </c>
      <c r="G226" s="56">
        <v>5707607</v>
      </c>
      <c r="H226" s="68"/>
      <c r="I226" s="57">
        <f t="shared" ref="I226" si="1060">+G226-H226</f>
        <v>5707607</v>
      </c>
      <c r="J226" s="57">
        <f t="shared" ref="J226" si="1061">SUM(I215:I226)/12</f>
        <v>5793224.5</v>
      </c>
      <c r="K226" s="57">
        <f t="shared" ref="K226" si="1062">+F226*J226</f>
        <v>1029455.99365</v>
      </c>
      <c r="L226" s="57">
        <v>0</v>
      </c>
      <c r="M226" s="57">
        <f t="shared" ref="M226" si="1063">+K226+L226</f>
        <v>1029455.99365</v>
      </c>
      <c r="N226" s="57">
        <v>7442230.8300000001</v>
      </c>
      <c r="P226" s="34">
        <f t="shared" ref="P226" si="1064">+N226-O226</f>
        <v>7442230.8300000001</v>
      </c>
      <c r="Q226" s="34">
        <f t="shared" ref="Q226" si="1065">SUM(P215:P226)/12</f>
        <v>7649149.2191666663</v>
      </c>
      <c r="R226" s="41">
        <f t="shared" ref="R226" si="1066">+M226/Q225</f>
        <v>0.13630910966861176</v>
      </c>
      <c r="T226" s="83">
        <v>0</v>
      </c>
      <c r="U226" s="83">
        <v>0</v>
      </c>
      <c r="V226" s="84">
        <f t="shared" ref="V226" si="1067">SUM(T226:U226)</f>
        <v>0</v>
      </c>
      <c r="W226" s="85"/>
      <c r="X226" s="86"/>
      <c r="Y226" s="86"/>
      <c r="Z226" s="86"/>
      <c r="AA226" s="87"/>
    </row>
    <row r="227" spans="3:27" x14ac:dyDescent="0.2">
      <c r="C227" s="32">
        <v>44470</v>
      </c>
      <c r="D227" s="55">
        <v>0.21179999999999999</v>
      </c>
      <c r="E227" s="55">
        <v>0</v>
      </c>
      <c r="F227" s="55">
        <f t="shared" ref="F227" si="1068">D227-E227</f>
        <v>0.21179999999999999</v>
      </c>
      <c r="G227" s="56">
        <v>5391374</v>
      </c>
      <c r="H227" s="68"/>
      <c r="I227" s="57">
        <f t="shared" ref="I227" si="1069">+G227-H227</f>
        <v>5391374</v>
      </c>
      <c r="J227" s="57">
        <f t="shared" ref="J227" si="1070">SUM(I216:I227)/12</f>
        <v>5900737.666666667</v>
      </c>
      <c r="K227" s="57">
        <f t="shared" ref="K227" si="1071">+F227*J227</f>
        <v>1249776.2378</v>
      </c>
      <c r="L227" s="57">
        <v>0</v>
      </c>
      <c r="M227" s="57">
        <f t="shared" ref="M227" si="1072">+K227+L227</f>
        <v>1249776.2378</v>
      </c>
      <c r="N227" s="57">
        <v>7087638.3200000003</v>
      </c>
      <c r="P227" s="34">
        <f t="shared" ref="P227" si="1073">+N227-O227</f>
        <v>7087638.3200000003</v>
      </c>
      <c r="Q227" s="34">
        <f t="shared" ref="Q227" si="1074">SUM(P216:P227)/12</f>
        <v>7758137.6083333315</v>
      </c>
      <c r="R227" s="41">
        <f t="shared" ref="R227" si="1075">+M227/Q226</f>
        <v>0.16338761370590132</v>
      </c>
      <c r="T227" s="83">
        <v>0</v>
      </c>
      <c r="U227" s="83">
        <v>0</v>
      </c>
      <c r="V227" s="84">
        <f t="shared" ref="V227" si="1076">SUM(T227:U227)</f>
        <v>0</v>
      </c>
      <c r="W227" s="85"/>
      <c r="X227" s="86"/>
      <c r="Y227" s="86"/>
      <c r="Z227" s="86"/>
      <c r="AA227" s="87"/>
    </row>
    <row r="228" spans="3:27" x14ac:dyDescent="0.2">
      <c r="C228" s="32">
        <v>44501</v>
      </c>
      <c r="D228" s="55">
        <v>0.20419999999999999</v>
      </c>
      <c r="E228" s="55">
        <v>0</v>
      </c>
      <c r="F228" s="55">
        <f t="shared" ref="F228" si="1077">D228-E228</f>
        <v>0.20419999999999999</v>
      </c>
      <c r="G228" s="56">
        <v>7402836</v>
      </c>
      <c r="H228" s="68"/>
      <c r="I228" s="57">
        <f t="shared" ref="I228" si="1078">+G228-H228</f>
        <v>7402836</v>
      </c>
      <c r="J228" s="57">
        <f t="shared" ref="J228" si="1079">SUM(I217:I228)/12</f>
        <v>6114652.083333333</v>
      </c>
      <c r="K228" s="57">
        <f t="shared" ref="K228" si="1080">+F228*J228</f>
        <v>1248611.9554166666</v>
      </c>
      <c r="L228" s="57">
        <v>0</v>
      </c>
      <c r="M228" s="57">
        <f t="shared" ref="M228" si="1081">+K228+L228</f>
        <v>1248611.9554166666</v>
      </c>
      <c r="N228" s="57">
        <v>9506519.8200000003</v>
      </c>
      <c r="P228" s="34">
        <f t="shared" ref="P228" si="1082">+N228-O228</f>
        <v>9506519.8200000003</v>
      </c>
      <c r="Q228" s="34">
        <f t="shared" ref="Q228" si="1083">SUM(P217:P228)/12</f>
        <v>7982756.9666666659</v>
      </c>
      <c r="R228" s="41">
        <f t="shared" ref="R228" si="1084">+M228/Q227</f>
        <v>0.16094222846414605</v>
      </c>
      <c r="T228" s="83">
        <v>0</v>
      </c>
      <c r="U228" s="83">
        <v>0</v>
      </c>
      <c r="V228" s="84">
        <f t="shared" ref="V228" si="1085">SUM(T228:U228)</f>
        <v>0</v>
      </c>
      <c r="W228" s="85"/>
      <c r="X228" s="86"/>
      <c r="Y228" s="86"/>
      <c r="Z228" s="86"/>
      <c r="AA228" s="87"/>
    </row>
    <row r="229" spans="3:27" x14ac:dyDescent="0.2">
      <c r="C229" s="32">
        <v>44531</v>
      </c>
      <c r="D229" s="55">
        <v>0.13880000000000001</v>
      </c>
      <c r="E229" s="55">
        <v>0</v>
      </c>
      <c r="F229" s="55">
        <f t="shared" ref="F229" si="1086">D229-E229</f>
        <v>0.13880000000000001</v>
      </c>
      <c r="G229" s="56">
        <v>8159366</v>
      </c>
      <c r="H229" s="68"/>
      <c r="I229" s="57">
        <f t="shared" ref="I229" si="1087">+G229-H229</f>
        <v>8159366</v>
      </c>
      <c r="J229" s="57">
        <f t="shared" ref="J229" si="1088">SUM(I218:I229)/12</f>
        <v>6264676.083333333</v>
      </c>
      <c r="K229" s="57">
        <f t="shared" ref="K229" si="1089">+F229*J229</f>
        <v>869537.04036666662</v>
      </c>
      <c r="L229" s="57">
        <v>0</v>
      </c>
      <c r="M229" s="57">
        <f t="shared" ref="M229" si="1090">+K229+L229</f>
        <v>869537.04036666662</v>
      </c>
      <c r="N229" s="57"/>
      <c r="P229" s="34"/>
      <c r="Q229" s="34"/>
      <c r="R229" s="41">
        <f t="shared" ref="R229" si="1091">+M229/Q228</f>
        <v>0.10892690883582748</v>
      </c>
      <c r="T229" s="83">
        <v>0</v>
      </c>
      <c r="U229" s="83">
        <v>0</v>
      </c>
      <c r="V229" s="84">
        <f t="shared" ref="V229" si="1092">SUM(T229:U229)</f>
        <v>0</v>
      </c>
      <c r="W229" s="85"/>
      <c r="X229" s="86"/>
      <c r="Y229" s="86"/>
      <c r="Z229" s="86"/>
      <c r="AA229" s="87"/>
    </row>
    <row r="231" spans="3:27" x14ac:dyDescent="0.2">
      <c r="C231" t="s">
        <v>67</v>
      </c>
    </row>
    <row r="232" spans="3:27" x14ac:dyDescent="0.2">
      <c r="C232" t="s">
        <v>68</v>
      </c>
    </row>
    <row r="233" spans="3:27" x14ac:dyDescent="0.2">
      <c r="C233" t="s">
        <v>69</v>
      </c>
    </row>
    <row r="235" spans="3:27" x14ac:dyDescent="0.2">
      <c r="C235" t="s">
        <v>71</v>
      </c>
    </row>
    <row r="236" spans="3:27" x14ac:dyDescent="0.2">
      <c r="C236" t="s">
        <v>72</v>
      </c>
    </row>
    <row r="238" spans="3:27" ht="25.5" x14ac:dyDescent="0.2">
      <c r="D238" s="49" t="s">
        <v>73</v>
      </c>
      <c r="G238" s="66" t="s">
        <v>82</v>
      </c>
      <c r="H238" s="66" t="s">
        <v>83</v>
      </c>
      <c r="I238" s="66" t="s">
        <v>84</v>
      </c>
      <c r="J238" s="67" t="s">
        <v>80</v>
      </c>
      <c r="K238" s="74" t="s">
        <v>85</v>
      </c>
      <c r="L238" s="77" t="s">
        <v>86</v>
      </c>
      <c r="M238" s="74" t="s">
        <v>81</v>
      </c>
    </row>
    <row r="239" spans="3:27" x14ac:dyDescent="0.2">
      <c r="D239" s="49" t="s">
        <v>74</v>
      </c>
      <c r="G239" s="63">
        <v>9891972</v>
      </c>
      <c r="H239" s="69">
        <v>-59642</v>
      </c>
      <c r="I239" s="61">
        <f>G239+H239</f>
        <v>9832330</v>
      </c>
      <c r="J239" s="60">
        <v>-6822</v>
      </c>
      <c r="K239" s="62">
        <f>I239+J239</f>
        <v>9825508</v>
      </c>
      <c r="L239" s="76">
        <v>0</v>
      </c>
      <c r="M239" s="73">
        <f>K239-L239</f>
        <v>9825508</v>
      </c>
      <c r="P239" s="49" t="s">
        <v>75</v>
      </c>
    </row>
    <row r="240" spans="3:27" ht="13.5" thickBot="1" x14ac:dyDescent="0.25">
      <c r="D240" s="49" t="s">
        <v>78</v>
      </c>
      <c r="F240" s="50"/>
      <c r="G240" s="64">
        <v>-1677413</v>
      </c>
      <c r="H240" s="70">
        <v>10114</v>
      </c>
      <c r="I240" s="61">
        <f>G240+H240</f>
        <v>-1667299</v>
      </c>
      <c r="J240" s="79">
        <v>1157</v>
      </c>
      <c r="K240" s="62">
        <f>I240+J240</f>
        <v>-1666142</v>
      </c>
      <c r="L240" s="78"/>
      <c r="M240" s="80">
        <f>K240-L240</f>
        <v>-1666142</v>
      </c>
      <c r="P240" s="49" t="s">
        <v>76</v>
      </c>
    </row>
    <row r="241" spans="3:16" ht="13.5" thickBot="1" x14ac:dyDescent="0.25">
      <c r="D241" s="49" t="s">
        <v>79</v>
      </c>
      <c r="F241" s="50"/>
      <c r="G241" s="65">
        <f t="shared" ref="G241:M241" si="1093">G239+G240</f>
        <v>8214559</v>
      </c>
      <c r="H241" s="65">
        <f t="shared" si="1093"/>
        <v>-49528</v>
      </c>
      <c r="I241" s="65">
        <f t="shared" si="1093"/>
        <v>8165031</v>
      </c>
      <c r="J241" s="65">
        <f t="shared" si="1093"/>
        <v>-5665</v>
      </c>
      <c r="K241" s="65">
        <f t="shared" si="1093"/>
        <v>8159366</v>
      </c>
      <c r="L241" s="75">
        <f t="shared" si="1093"/>
        <v>0</v>
      </c>
      <c r="M241" s="81">
        <f t="shared" si="1093"/>
        <v>8159366</v>
      </c>
      <c r="P241" s="49" t="s">
        <v>77</v>
      </c>
    </row>
    <row r="242" spans="3:16" ht="13.5" thickTop="1" x14ac:dyDescent="0.2">
      <c r="D242" s="49"/>
      <c r="F242" s="50"/>
    </row>
    <row r="243" spans="3:16" x14ac:dyDescent="0.2">
      <c r="D243" s="51" t="s">
        <v>87</v>
      </c>
      <c r="E243" s="52"/>
      <c r="F243" s="53"/>
      <c r="G243" s="53"/>
      <c r="H243" s="51"/>
      <c r="I243" s="52"/>
    </row>
    <row r="244" spans="3:16" x14ac:dyDescent="0.2">
      <c r="D244" s="82" t="s">
        <v>88</v>
      </c>
      <c r="E244" s="52"/>
      <c r="F244" s="52"/>
      <c r="G244" s="53"/>
      <c r="H244" s="51"/>
      <c r="I244" s="52"/>
    </row>
    <row r="245" spans="3:16" x14ac:dyDescent="0.2">
      <c r="C245" s="49"/>
      <c r="D245" s="51"/>
      <c r="E245" s="52"/>
      <c r="F245" s="52"/>
      <c r="G245" s="53"/>
      <c r="H245" s="52"/>
      <c r="I245" s="52"/>
    </row>
    <row r="246" spans="3:16" x14ac:dyDescent="0.2">
      <c r="C246" s="49"/>
      <c r="D246" s="52"/>
      <c r="E246" s="52"/>
      <c r="F246" s="52"/>
      <c r="G246" s="52"/>
      <c r="H246" s="52"/>
      <c r="I246" s="52"/>
    </row>
    <row r="247" spans="3:16" x14ac:dyDescent="0.2">
      <c r="D247" s="51"/>
      <c r="E247" s="52"/>
      <c r="F247" s="52"/>
      <c r="G247" s="53"/>
      <c r="H247" s="52"/>
      <c r="I247" s="52"/>
    </row>
  </sheetData>
  <phoneticPr fontId="0" type="noConversion"/>
  <pageMargins left="0.44" right="0.48" top="1" bottom="1" header="0.5" footer="0.5"/>
  <pageSetup scale="66" orientation="landscape" r:id="rId1"/>
  <headerFooter alignWithMargins="0">
    <oddFooter>&amp;RPage 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Salt River</vt:lpstr>
      <vt:lpstr>Chart1</vt:lpstr>
      <vt:lpstr>'Salt River'!Print_Area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Diana K. Edwards</cp:lastModifiedBy>
  <cp:lastPrinted>2022-06-20T19:14:26Z</cp:lastPrinted>
  <dcterms:created xsi:type="dcterms:W3CDTF">2005-04-25T17:46:41Z</dcterms:created>
  <dcterms:modified xsi:type="dcterms:W3CDTF">2022-06-23T20:24:27Z</dcterms:modified>
</cp:coreProperties>
</file>