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D36" i="6" s="1"/>
  <c r="G15" i="6"/>
  <c r="D35" i="6" s="1"/>
  <c r="G35" i="6" s="1"/>
  <c r="G14" i="6"/>
  <c r="D34" i="6" s="1"/>
  <c r="G34" i="6" s="1"/>
  <c r="G13" i="6"/>
  <c r="D33" i="6" s="1"/>
  <c r="G66" i="6"/>
  <c r="E36" i="6" s="1"/>
  <c r="F66" i="6"/>
  <c r="E66" i="6"/>
  <c r="D66" i="6"/>
  <c r="E33" i="6" s="1"/>
  <c r="E35" i="6"/>
  <c r="E34" i="6"/>
  <c r="D25" i="6"/>
  <c r="F25" i="6" s="1"/>
  <c r="F24" i="6"/>
  <c r="D24" i="6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G36" i="6" l="1"/>
  <c r="G17" i="6"/>
  <c r="G18" i="6" s="1"/>
  <c r="G19" i="6" s="1"/>
  <c r="G20" i="6" s="1"/>
  <c r="G21" i="6" s="1"/>
  <c r="G22" i="6" s="1"/>
  <c r="G23" i="6" s="1"/>
  <c r="G52" i="6"/>
  <c r="G33" i="6"/>
  <c r="G37" i="6" s="1"/>
  <c r="G46" i="6" s="1"/>
  <c r="G45" i="6"/>
  <c r="G48" i="6" s="1"/>
  <c r="G39" i="6" l="1"/>
  <c r="G24" i="6"/>
  <c r="G25" i="6" s="1"/>
  <c r="G50" i="6" l="1"/>
  <c r="G54" i="6" s="1"/>
  <c r="G41" i="6"/>
  <c r="E11" i="1" l="1"/>
  <c r="G15" i="5"/>
  <c r="D34" i="5" s="1"/>
  <c r="G14" i="5"/>
  <c r="D33" i="5" s="1"/>
  <c r="G33" i="5" s="1"/>
  <c r="G13" i="5"/>
  <c r="D32" i="5" s="1"/>
  <c r="G32" i="5" s="1"/>
  <c r="F64" i="5"/>
  <c r="E64" i="5"/>
  <c r="E33" i="5" s="1"/>
  <c r="D64" i="5"/>
  <c r="E34" i="5"/>
  <c r="E32" i="5"/>
  <c r="F24" i="5"/>
  <c r="D24" i="5"/>
  <c r="D23" i="5"/>
  <c r="F23" i="5" s="1"/>
  <c r="D22" i="5"/>
  <c r="F22" i="5" s="1"/>
  <c r="D21" i="5"/>
  <c r="F21" i="5" s="1"/>
  <c r="D20" i="5"/>
  <c r="F20" i="5" s="1"/>
  <c r="F19" i="5"/>
  <c r="D19" i="5"/>
  <c r="D18" i="5"/>
  <c r="F18" i="5" s="1"/>
  <c r="D17" i="5"/>
  <c r="F17" i="5" s="1"/>
  <c r="G34" i="5" l="1"/>
  <c r="G16" i="5"/>
  <c r="G17" i="5" s="1"/>
  <c r="G18" i="5" s="1"/>
  <c r="G19" i="5" s="1"/>
  <c r="G20" i="5" s="1"/>
  <c r="G21" i="5" s="1"/>
  <c r="G22" i="5" s="1"/>
  <c r="G50" i="5"/>
  <c r="G35" i="5"/>
  <c r="G44" i="5" s="1"/>
  <c r="G43" i="5" l="1"/>
  <c r="G46" i="5" s="1"/>
  <c r="G37" i="5"/>
  <c r="G23" i="5"/>
  <c r="G24" i="5" s="1"/>
  <c r="G48" i="5" l="1"/>
  <c r="G52" i="5" s="1"/>
  <c r="G39" i="5"/>
  <c r="E10" i="1" l="1"/>
  <c r="G15" i="4"/>
  <c r="D34" i="4" s="1"/>
  <c r="G14" i="4"/>
  <c r="G16" i="4" s="1"/>
  <c r="F64" i="4"/>
  <c r="E64" i="4"/>
  <c r="E33" i="4" s="1"/>
  <c r="D64" i="4"/>
  <c r="E34" i="4"/>
  <c r="E32" i="4"/>
  <c r="D32" i="4"/>
  <c r="G32" i="4" s="1"/>
  <c r="F24" i="4"/>
  <c r="D24" i="4"/>
  <c r="D23" i="4"/>
  <c r="F23" i="4" s="1"/>
  <c r="D22" i="4"/>
  <c r="F22" i="4" s="1"/>
  <c r="D21" i="4"/>
  <c r="F21" i="4" s="1"/>
  <c r="D20" i="4"/>
  <c r="F20" i="4" s="1"/>
  <c r="F19" i="4"/>
  <c r="D19" i="4"/>
  <c r="D18" i="4"/>
  <c r="F18" i="4" s="1"/>
  <c r="D17" i="4"/>
  <c r="F17" i="4" s="1"/>
  <c r="G50" i="4" s="1"/>
  <c r="G34" i="4" l="1"/>
  <c r="D33" i="4"/>
  <c r="G33" i="4"/>
  <c r="G35" i="4" s="1"/>
  <c r="G44" i="4" s="1"/>
  <c r="G17" i="4"/>
  <c r="G18" i="4" s="1"/>
  <c r="G19" i="4" s="1"/>
  <c r="G20" i="4" s="1"/>
  <c r="G21" i="4" s="1"/>
  <c r="G22" i="4" s="1"/>
  <c r="G43" i="4"/>
  <c r="G46" i="4" l="1"/>
  <c r="G37" i="4"/>
  <c r="G23" i="4"/>
  <c r="G24" i="4" s="1"/>
  <c r="G39" i="4" l="1"/>
  <c r="G48" i="4"/>
  <c r="G52" i="4" s="1"/>
  <c r="E9" i="1" l="1"/>
  <c r="G15" i="3"/>
  <c r="G16" i="3" s="1"/>
  <c r="G43" i="3" s="1"/>
  <c r="F64" i="3"/>
  <c r="E34" i="3" s="1"/>
  <c r="E64" i="3"/>
  <c r="E33" i="3" s="1"/>
  <c r="D64" i="3"/>
  <c r="D33" i="3"/>
  <c r="E32" i="3"/>
  <c r="D32" i="3"/>
  <c r="G32" i="3" s="1"/>
  <c r="D24" i="3"/>
  <c r="F24" i="3" s="1"/>
  <c r="D23" i="3"/>
  <c r="F23" i="3" s="1"/>
  <c r="F22" i="3"/>
  <c r="D22" i="3"/>
  <c r="D21" i="3"/>
  <c r="F21" i="3" s="1"/>
  <c r="D20" i="3"/>
  <c r="F20" i="3" s="1"/>
  <c r="F19" i="3"/>
  <c r="D19" i="3"/>
  <c r="D18" i="3"/>
  <c r="F18" i="3" s="1"/>
  <c r="D17" i="3"/>
  <c r="F17" i="3" s="1"/>
  <c r="D34" i="3" l="1"/>
  <c r="G34" i="3" s="1"/>
  <c r="G17" i="3"/>
  <c r="G18" i="3" s="1"/>
  <c r="G19" i="3" s="1"/>
  <c r="G20" i="3" s="1"/>
  <c r="G21" i="3" s="1"/>
  <c r="G22" i="3" s="1"/>
  <c r="G50" i="3"/>
  <c r="G33" i="3"/>
  <c r="G35" i="3" l="1"/>
  <c r="G44" i="3" s="1"/>
  <c r="G46" i="3" s="1"/>
  <c r="G23" i="3"/>
  <c r="G24" i="3" s="1"/>
  <c r="G37" i="3"/>
  <c r="G48" i="3" l="1"/>
  <c r="G52" i="3" s="1"/>
  <c r="G39" i="3"/>
  <c r="E8" i="1" l="1"/>
  <c r="F64" i="2"/>
  <c r="E64" i="2"/>
  <c r="E33" i="2" s="1"/>
  <c r="D64" i="2"/>
  <c r="E34" i="2"/>
  <c r="G34" i="2" s="1"/>
  <c r="D34" i="2"/>
  <c r="D33" i="2"/>
  <c r="G33" i="2" s="1"/>
  <c r="E32" i="2"/>
  <c r="D32" i="2"/>
  <c r="G32" i="2" s="1"/>
  <c r="D24" i="2"/>
  <c r="F24" i="2" s="1"/>
  <c r="D23" i="2"/>
  <c r="F23" i="2" s="1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G16" i="2"/>
  <c r="G43" i="2" s="1"/>
  <c r="G50" i="2" l="1"/>
  <c r="G35" i="2"/>
  <c r="G44" i="2" s="1"/>
  <c r="G46" i="2" s="1"/>
  <c r="G17" i="2"/>
  <c r="G18" i="2" s="1"/>
  <c r="G19" i="2" s="1"/>
  <c r="G20" i="2" s="1"/>
  <c r="G21" i="2" s="1"/>
  <c r="G22" i="2" s="1"/>
  <c r="G23" i="2" l="1"/>
  <c r="G24" i="2" s="1"/>
  <c r="G37" i="2"/>
  <c r="G39" i="2" l="1"/>
  <c r="G48" i="2"/>
  <c r="G52" i="2" s="1"/>
  <c r="E14" i="1" l="1"/>
  <c r="F12" i="1"/>
  <c r="F11" i="1"/>
  <c r="F10" i="1"/>
  <c r="F9" i="1"/>
  <c r="F8" i="1"/>
  <c r="F14" i="1" l="1"/>
  <c r="E21" i="1"/>
  <c r="E23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<sst xmlns="http://schemas.openxmlformats.org/spreadsheetml/2006/main" count="370" uniqueCount="99">
  <si>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</si>
  <si>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</si>
  <si>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</si>
  <si>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</si>
  <si>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</si>
  <si>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</si>
  <si>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</si>
  <si>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</si>
  <si>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</si>
  <si>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</si>
  <si>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</si>
  <si>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</si>
  <si>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DR1 Response 2 - Taylor County Surcharge Summary.xlsx</t>
  </si>
  <si>
    <t>Taylor County RECC</t>
  </si>
  <si>
    <t>Taylor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</si>
  <si>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</si>
  <si>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</si>
  <si>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</si>
  <si>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</si>
  <si>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</si>
  <si>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</si>
  <si>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</si>
  <si>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</si>
  <si>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</si>
  <si>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</si>
  <si>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</si>
  <si>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</si>
  <si>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</si>
  <si>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</si>
  <si>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</si>
  <si>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</si>
  <si>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</si>
  <si>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</si>
  <si>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</si>
  <si>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</si>
  <si>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</si>
  <si>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</si>
  <si>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</si>
  <si>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</si>
  <si>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</si>
  <si>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</si>
  <si>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</si>
  <si>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</si>
  <si>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</si>
  <si>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</si>
  <si>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</si>
  <si>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</si>
  <si>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</si>
  <si>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</si>
  <si>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</si>
  <si>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</si>
  <si>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</si>
  <si>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</si>
  <si>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</si>
  <si>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</si>
  <si>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</si>
  <si>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</si>
  <si>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</si>
  <si>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</si>
  <si>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</si>
  <si>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</si>
  <si>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</si>
  <si>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</si>
  <si>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</si>
  <si>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</si>
  <si>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</si>
  <si>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</si>
  <si>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</si>
  <si>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</si>
  <si>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</si>
  <si>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</si>
  <si>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</si>
  <si>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</si>
  <si>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</si>
  <si>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</si>
  <si>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</si>
  <si>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</si>
  <si>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Less Adjustment for Order amounts remaining to be amortized at end of review period June 2020</t>
  </si>
  <si>
    <t>From Tab "A - 11-30-19" (Over)/Under-Recovery</t>
  </si>
  <si>
    <t>Monthly recovery (per month for six months)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</si>
  <si>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</si>
  <si>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</si>
  <si>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</si>
  <si>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</si>
  <si>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</si>
  <si>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</si>
  <si>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</si>
  <si>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</si>
  <si>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</si>
  <si>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 xml:space="preserve">Tab "C - 11-30-20" Recovery 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</si>
  <si>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</si>
  <si>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</si>
  <si>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</si>
  <si>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</si>
  <si>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</si>
  <si>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</si>
  <si>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"C - 11-30-20" Recovery</t>
  </si>
  <si>
    <t>Tab "D - 05-31-21" Recovery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</si>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</sst>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Fill="1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5" fontId="0" fillId="0" borderId="12" xfId="0" applyNumberFormat="1" applyBorder="1"/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11" xfId="0" applyBorder="1"/>
    <xf numFmtId="0" fontId="0" fillId="0" borderId="2" xfId="0" applyBorder="1"/>
    <xf numFmtId="0" fontId="0" fillId="0" borderId="8" xfId="0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4" sqref="A4"/>
    </sheetView>
  </sheetViews>
  <sheetFormatPr defaultColWidth="15.625" defaultRowHeight="14.25" x14ac:dyDescent="0.2"/>
  <sheetData>
    <row r="1" spans="1:6" x14ac:dyDescent="0.2">
      <c r="A1" t="s">
        <v>12</v>
      </c>
    </row>
    <row r="3" spans="1:6" ht="15" x14ac:dyDescent="0.25">
      <c r="C3" s="58" t="s">
        <v>13</v>
      </c>
      <c r="D3" s="58"/>
      <c r="E3" s="58"/>
    </row>
    <row r="4" spans="1:6" ht="15" x14ac:dyDescent="0.25">
      <c r="B4" s="58" t="s">
        <v>0</v>
      </c>
      <c r="C4" s="58"/>
      <c r="D4" s="58"/>
      <c r="E4" s="58"/>
      <c r="F4" s="58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-28836</v>
      </c>
      <c r="F8" s="2" t="str">
        <f>IF(E8&gt;0,"Under-Recovery","Over-Recovery")</f>
        <v>Over-Recovery</v>
      </c>
    </row>
    <row r="9" spans="1:6" x14ac:dyDescent="0.2">
      <c r="B9" t="s">
        <v>5</v>
      </c>
      <c r="E9" s="3">
        <f>'B - 05-31-20'!G37</f>
        <v>-30240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7122.7700000000186</v>
      </c>
      <c r="F10" s="2" t="str">
        <f t="shared" si="0"/>
        <v>Under-Recovery</v>
      </c>
    </row>
    <row r="11" spans="1:6" x14ac:dyDescent="0.2">
      <c r="B11" t="s">
        <v>7</v>
      </c>
      <c r="E11" s="3">
        <f>'D - 05-31-21'!G37</f>
        <v>-17944.010000000009</v>
      </c>
      <c r="F11" s="2" t="str">
        <f t="shared" si="0"/>
        <v>Over-Recovery</v>
      </c>
    </row>
    <row r="12" spans="1:6" x14ac:dyDescent="0.2">
      <c r="B12" t="s">
        <v>6</v>
      </c>
      <c r="E12" s="4">
        <f>'E - 11-30-21'!G39</f>
        <v>118976.44000000006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49079.20000000007</v>
      </c>
      <c r="F14" s="2" t="str">
        <f>IF(E14&gt;0,"Under-Recovery","Over-Recovery")</f>
        <v>Under-Recovery</v>
      </c>
    </row>
    <row r="15" spans="1:6" ht="15" thickTop="1" x14ac:dyDescent="0.2"/>
    <row r="19" spans="2:6" ht="15" x14ac:dyDescent="0.25">
      <c r="B19" s="58" t="s">
        <v>9</v>
      </c>
      <c r="C19" s="58"/>
      <c r="D19" s="58"/>
      <c r="E19" s="58"/>
      <c r="F19" s="58"/>
    </row>
    <row r="21" spans="2:6" x14ac:dyDescent="0.2">
      <c r="B21" t="s">
        <v>10</v>
      </c>
      <c r="E21" s="3">
        <f>ROUND(E14/6,0)</f>
        <v>8180</v>
      </c>
    </row>
    <row r="22" spans="2:6" x14ac:dyDescent="0.2">
      <c r="E22" s="3"/>
    </row>
    <row r="23" spans="2:6" x14ac:dyDescent="0.2">
      <c r="B23" t="s">
        <v>11</v>
      </c>
      <c r="E23" s="3">
        <f>ROUND(E14/12,0)</f>
        <v>4090</v>
      </c>
    </row>
    <row r="24" spans="2:6" x14ac:dyDescent="0.2">
      <c r="E24" s="3"/>
    </row>
  </sheetData>
  <mergeCells count="3">
    <mergeCell ref="B4:F4"/>
    <mergeCell ref="C3:E3"/>
    <mergeCell ref="B19:F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0" sqref="C4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Taylor County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32</v>
      </c>
      <c r="D13" s="13"/>
      <c r="E13" s="13"/>
      <c r="F13" s="14"/>
      <c r="G13" s="15">
        <v>-815</v>
      </c>
    </row>
    <row r="14" spans="1:7" x14ac:dyDescent="0.2">
      <c r="B14" s="9" t="s">
        <v>33</v>
      </c>
      <c r="C14" s="13" t="s">
        <v>34</v>
      </c>
      <c r="D14" s="13"/>
      <c r="E14" s="13"/>
      <c r="F14" s="14"/>
      <c r="G14" s="15">
        <v>-84832</v>
      </c>
    </row>
    <row r="15" spans="1:7" x14ac:dyDescent="0.2">
      <c r="B15" s="9" t="s">
        <v>35</v>
      </c>
      <c r="C15" s="13" t="s">
        <v>36</v>
      </c>
      <c r="D15" s="13"/>
      <c r="E15" s="13"/>
      <c r="F15" s="16"/>
      <c r="G15" s="17">
        <v>28109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8">
        <f>G13+G14+G15</f>
        <v>-57538</v>
      </c>
    </row>
    <row r="17" spans="2:7" x14ac:dyDescent="0.2">
      <c r="B17" s="9">
        <v>2</v>
      </c>
      <c r="C17" s="19">
        <v>43647</v>
      </c>
      <c r="D17" s="17">
        <f>431812-243</f>
        <v>431569</v>
      </c>
      <c r="E17" s="55">
        <v>414144</v>
      </c>
      <c r="F17" s="20">
        <f t="shared" ref="F17:F24" si="0">D17-E17</f>
        <v>17425</v>
      </c>
      <c r="G17" s="18">
        <f t="shared" ref="G17:G24" si="1">G16+F17</f>
        <v>-40113</v>
      </c>
    </row>
    <row r="18" spans="2:7" x14ac:dyDescent="0.2">
      <c r="B18" s="9">
        <v>3</v>
      </c>
      <c r="C18" s="21">
        <v>43678</v>
      </c>
      <c r="D18" s="52">
        <f>496490-239</f>
        <v>496251</v>
      </c>
      <c r="E18" s="56">
        <v>502306</v>
      </c>
      <c r="F18" s="22">
        <f t="shared" si="0"/>
        <v>-6055</v>
      </c>
      <c r="G18" s="23">
        <f t="shared" si="1"/>
        <v>-46168</v>
      </c>
    </row>
    <row r="19" spans="2:7" x14ac:dyDescent="0.2">
      <c r="B19" s="9">
        <v>4</v>
      </c>
      <c r="C19" s="21">
        <v>43709</v>
      </c>
      <c r="D19" s="52">
        <f>467189-233</f>
        <v>466956</v>
      </c>
      <c r="E19" s="56">
        <v>470332</v>
      </c>
      <c r="F19" s="22">
        <f t="shared" si="0"/>
        <v>-3376</v>
      </c>
      <c r="G19" s="23">
        <f t="shared" si="1"/>
        <v>-49544</v>
      </c>
    </row>
    <row r="20" spans="2:7" x14ac:dyDescent="0.2">
      <c r="B20" s="9">
        <v>5</v>
      </c>
      <c r="C20" s="21">
        <v>43739</v>
      </c>
      <c r="D20" s="52">
        <f>371621-198</f>
        <v>371423</v>
      </c>
      <c r="E20" s="56">
        <v>372523</v>
      </c>
      <c r="F20" s="22">
        <f t="shared" si="0"/>
        <v>-1100</v>
      </c>
      <c r="G20" s="23">
        <f t="shared" si="1"/>
        <v>-50644</v>
      </c>
    </row>
    <row r="21" spans="2:7" x14ac:dyDescent="0.2">
      <c r="B21" s="9">
        <v>6</v>
      </c>
      <c r="C21" s="21">
        <v>43770</v>
      </c>
      <c r="D21" s="52">
        <f>328875-207</f>
        <v>328668</v>
      </c>
      <c r="E21" s="56">
        <v>321158</v>
      </c>
      <c r="F21" s="22">
        <f t="shared" si="0"/>
        <v>7510</v>
      </c>
      <c r="G21" s="23">
        <f t="shared" si="1"/>
        <v>-43134</v>
      </c>
    </row>
    <row r="22" spans="2:7" x14ac:dyDescent="0.2">
      <c r="B22" s="9">
        <v>7</v>
      </c>
      <c r="C22" s="21">
        <v>43800</v>
      </c>
      <c r="D22" s="52">
        <f>454856-225</f>
        <v>454631</v>
      </c>
      <c r="E22" s="56">
        <v>440500</v>
      </c>
      <c r="F22" s="24">
        <f t="shared" si="0"/>
        <v>14131</v>
      </c>
      <c r="G22" s="25">
        <f t="shared" si="1"/>
        <v>-29003</v>
      </c>
    </row>
    <row r="23" spans="2:7" x14ac:dyDescent="0.2">
      <c r="B23" s="26" t="s">
        <v>39</v>
      </c>
      <c r="C23" s="19">
        <v>43831</v>
      </c>
      <c r="D23" s="17">
        <f>580456-253</f>
        <v>580203</v>
      </c>
      <c r="E23" s="55">
        <v>507647</v>
      </c>
      <c r="F23" s="20">
        <f t="shared" si="0"/>
        <v>72556</v>
      </c>
      <c r="G23" s="18">
        <f t="shared" si="1"/>
        <v>43553</v>
      </c>
    </row>
    <row r="24" spans="2:7" x14ac:dyDescent="0.2">
      <c r="B24" s="27" t="s">
        <v>40</v>
      </c>
      <c r="C24" s="28">
        <v>43862</v>
      </c>
      <c r="D24" s="53">
        <f>461815-213</f>
        <v>461602</v>
      </c>
      <c r="E24" s="57">
        <v>478499</v>
      </c>
      <c r="F24" s="24">
        <f t="shared" si="0"/>
        <v>-16897</v>
      </c>
      <c r="G24" s="25">
        <f t="shared" si="1"/>
        <v>26656</v>
      </c>
    </row>
    <row r="25" spans="2:7" x14ac:dyDescent="0.2">
      <c r="B25" s="10"/>
      <c r="C25" s="29" t="s">
        <v>41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3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2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2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2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2" t="s">
        <v>54</v>
      </c>
    </row>
    <row r="32" spans="2:7" x14ac:dyDescent="0.2">
      <c r="B32" s="26" t="s">
        <v>55</v>
      </c>
      <c r="C32" s="6" t="s">
        <v>56</v>
      </c>
      <c r="D32" s="18">
        <f>-G13</f>
        <v>815</v>
      </c>
      <c r="E32" s="18">
        <f>D64</f>
        <v>-815</v>
      </c>
      <c r="F32" s="6"/>
      <c r="G32" s="18">
        <f>D32+E32</f>
        <v>0</v>
      </c>
    </row>
    <row r="33" spans="2:7" x14ac:dyDescent="0.2">
      <c r="B33" s="33" t="s">
        <v>57</v>
      </c>
      <c r="C33" s="8" t="s">
        <v>58</v>
      </c>
      <c r="D33" s="23">
        <f>-G14</f>
        <v>84832</v>
      </c>
      <c r="E33" s="23">
        <f>E64</f>
        <v>-56556</v>
      </c>
      <c r="F33" s="8"/>
      <c r="G33" s="23">
        <f>D33+E33</f>
        <v>28276</v>
      </c>
    </row>
    <row r="34" spans="2:7" x14ac:dyDescent="0.2">
      <c r="B34" s="33" t="s">
        <v>59</v>
      </c>
      <c r="C34" s="8" t="s">
        <v>60</v>
      </c>
      <c r="D34" s="23">
        <f>-G15</f>
        <v>-28109</v>
      </c>
      <c r="E34" s="23">
        <f>F64</f>
        <v>0</v>
      </c>
      <c r="F34" s="8"/>
      <c r="G34" s="23">
        <f>D34+E34</f>
        <v>-28109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37">
        <f>G32+G33+G34</f>
        <v>167</v>
      </c>
    </row>
    <row r="36" spans="2:7" x14ac:dyDescent="0.2">
      <c r="B36" s="38"/>
      <c r="G36" s="39"/>
    </row>
    <row r="37" spans="2:7" x14ac:dyDescent="0.2">
      <c r="B37" s="11">
        <v>9</v>
      </c>
      <c r="C37" s="40" t="s">
        <v>63</v>
      </c>
      <c r="D37" s="13"/>
      <c r="E37" s="13"/>
      <c r="F37" s="14"/>
      <c r="G37" s="37">
        <f>G22+G35</f>
        <v>-28836</v>
      </c>
    </row>
    <row r="38" spans="2:7" x14ac:dyDescent="0.2">
      <c r="B38" s="38"/>
      <c r="G38" s="39"/>
    </row>
    <row r="39" spans="2:7" x14ac:dyDescent="0.2">
      <c r="B39" s="11">
        <v>10</v>
      </c>
      <c r="C39" s="40" t="s">
        <v>79</v>
      </c>
      <c r="D39" s="13"/>
      <c r="E39" s="13"/>
      <c r="F39" s="14"/>
      <c r="G39" s="37">
        <f>G37/6</f>
        <v>-4806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-57538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167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-57371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-28836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28535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-57371</v>
      </c>
    </row>
    <row r="53" spans="2:7" ht="15" thickTop="1" x14ac:dyDescent="0.2">
      <c r="B53" s="49"/>
      <c r="C53" s="50"/>
      <c r="D53" s="50"/>
      <c r="E53" s="50"/>
      <c r="F53" s="50"/>
      <c r="G53" s="51"/>
    </row>
    <row r="55" spans="2:7" x14ac:dyDescent="0.2">
      <c r="B55" t="s">
        <v>71</v>
      </c>
    </row>
    <row r="56" spans="2:7" x14ac:dyDescent="0.2">
      <c r="B56" s="38"/>
      <c r="C56" s="6"/>
      <c r="D56" s="7" t="s">
        <v>72</v>
      </c>
      <c r="E56" s="7" t="s">
        <v>72</v>
      </c>
      <c r="F56" s="7" t="s">
        <v>72</v>
      </c>
    </row>
    <row r="57" spans="2:7" x14ac:dyDescent="0.2">
      <c r="B57" s="38"/>
      <c r="C57" s="10" t="s">
        <v>25</v>
      </c>
      <c r="D57" s="10" t="s">
        <v>73</v>
      </c>
      <c r="E57" s="10" t="s">
        <v>74</v>
      </c>
      <c r="F57" s="10" t="s">
        <v>75</v>
      </c>
    </row>
    <row r="58" spans="2:7" x14ac:dyDescent="0.2">
      <c r="C58" s="19">
        <v>43647</v>
      </c>
      <c r="D58" s="17">
        <v>-815</v>
      </c>
      <c r="E58" s="17">
        <v>0</v>
      </c>
      <c r="F58" s="17">
        <v>0</v>
      </c>
    </row>
    <row r="59" spans="2:7" x14ac:dyDescent="0.2">
      <c r="C59" s="21">
        <v>43678</v>
      </c>
      <c r="D59" s="52">
        <v>0</v>
      </c>
      <c r="E59" s="52">
        <v>0</v>
      </c>
      <c r="F59" s="52">
        <v>0</v>
      </c>
    </row>
    <row r="60" spans="2:7" x14ac:dyDescent="0.2">
      <c r="C60" s="21">
        <v>43709</v>
      </c>
      <c r="D60" s="52">
        <v>0</v>
      </c>
      <c r="E60" s="52">
        <v>-14139</v>
      </c>
      <c r="F60" s="52">
        <v>0</v>
      </c>
    </row>
    <row r="61" spans="2:7" x14ac:dyDescent="0.2">
      <c r="C61" s="21">
        <v>43739</v>
      </c>
      <c r="D61" s="52">
        <v>0</v>
      </c>
      <c r="E61" s="52">
        <v>-14139</v>
      </c>
      <c r="F61" s="52">
        <v>0</v>
      </c>
    </row>
    <row r="62" spans="2:7" x14ac:dyDescent="0.2">
      <c r="C62" s="21">
        <v>43770</v>
      </c>
      <c r="D62" s="52">
        <v>0</v>
      </c>
      <c r="E62" s="52">
        <v>-14139</v>
      </c>
      <c r="F62" s="52">
        <v>0</v>
      </c>
    </row>
    <row r="63" spans="2:7" x14ac:dyDescent="0.2">
      <c r="C63" s="28">
        <v>43800</v>
      </c>
      <c r="D63" s="52">
        <v>0</v>
      </c>
      <c r="E63" s="53">
        <v>-14139</v>
      </c>
      <c r="F63" s="53">
        <v>0</v>
      </c>
    </row>
    <row r="64" spans="2:7" x14ac:dyDescent="0.2">
      <c r="C64" s="54" t="s">
        <v>76</v>
      </c>
      <c r="D64" s="37">
        <f>SUM(D58:D63)</f>
        <v>-815</v>
      </c>
      <c r="E64" s="37">
        <f>SUM(E58:E63)</f>
        <v>-56556</v>
      </c>
      <c r="F64" s="37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58" sqref="F5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</cols>
  <sheetData>
    <row r="1" spans="1:7" x14ac:dyDescent="0.2">
      <c r="A1" t="str">
        <f>Summary!A1</f>
        <v>DR1 Response 2 - Taylor County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34</v>
      </c>
      <c r="D13" s="13"/>
      <c r="E13" s="13"/>
      <c r="F13" s="14"/>
      <c r="G13" s="15">
        <v>-28276</v>
      </c>
    </row>
    <row r="14" spans="1:7" x14ac:dyDescent="0.2">
      <c r="B14" s="9" t="s">
        <v>33</v>
      </c>
      <c r="C14" s="13" t="s">
        <v>36</v>
      </c>
      <c r="D14" s="13"/>
      <c r="E14" s="13"/>
      <c r="F14" s="14"/>
      <c r="G14" s="15">
        <v>28109</v>
      </c>
    </row>
    <row r="15" spans="1:7" x14ac:dyDescent="0.2">
      <c r="B15" s="9" t="s">
        <v>35</v>
      </c>
      <c r="C15" s="13" t="s">
        <v>78</v>
      </c>
      <c r="D15" s="13"/>
      <c r="E15" s="13"/>
      <c r="F15" s="16"/>
      <c r="G15" s="17">
        <f>'A - 11-30-19'!G37</f>
        <v>-28836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8">
        <f>G13+G14+G15</f>
        <v>-29003</v>
      </c>
    </row>
    <row r="17" spans="2:7" x14ac:dyDescent="0.2">
      <c r="B17" s="9">
        <v>2</v>
      </c>
      <c r="C17" s="19">
        <v>43831</v>
      </c>
      <c r="D17" s="17">
        <f>580456-253</f>
        <v>580203</v>
      </c>
      <c r="E17" s="55">
        <v>507647</v>
      </c>
      <c r="F17" s="20">
        <f t="shared" ref="F17:F24" si="0">D17-E17</f>
        <v>72556</v>
      </c>
      <c r="G17" s="18">
        <f t="shared" ref="G17:G24" si="1">G16+F17</f>
        <v>43553</v>
      </c>
    </row>
    <row r="18" spans="2:7" x14ac:dyDescent="0.2">
      <c r="B18" s="9">
        <v>3</v>
      </c>
      <c r="C18" s="21">
        <v>43862</v>
      </c>
      <c r="D18" s="52">
        <f>461815-213</f>
        <v>461602</v>
      </c>
      <c r="E18" s="56">
        <v>478499</v>
      </c>
      <c r="F18" s="22">
        <f t="shared" si="0"/>
        <v>-16897</v>
      </c>
      <c r="G18" s="23">
        <f t="shared" si="1"/>
        <v>26656</v>
      </c>
    </row>
    <row r="19" spans="2:7" x14ac:dyDescent="0.2">
      <c r="B19" s="9">
        <v>4</v>
      </c>
      <c r="C19" s="21">
        <v>43891</v>
      </c>
      <c r="D19" s="52">
        <f>365185-183</f>
        <v>365002</v>
      </c>
      <c r="E19" s="56">
        <v>364634</v>
      </c>
      <c r="F19" s="22">
        <f t="shared" si="0"/>
        <v>368</v>
      </c>
      <c r="G19" s="23">
        <f t="shared" si="1"/>
        <v>27024</v>
      </c>
    </row>
    <row r="20" spans="2:7" x14ac:dyDescent="0.2">
      <c r="B20" s="9">
        <v>5</v>
      </c>
      <c r="C20" s="21">
        <v>43922</v>
      </c>
      <c r="D20" s="52">
        <f>310041-193</f>
        <v>309848</v>
      </c>
      <c r="E20" s="56">
        <v>335095</v>
      </c>
      <c r="F20" s="22">
        <f t="shared" si="0"/>
        <v>-25247</v>
      </c>
      <c r="G20" s="23">
        <f t="shared" si="1"/>
        <v>1777</v>
      </c>
    </row>
    <row r="21" spans="2:7" x14ac:dyDescent="0.2">
      <c r="B21" s="9">
        <v>6</v>
      </c>
      <c r="C21" s="21">
        <v>43952</v>
      </c>
      <c r="D21" s="52">
        <f>309586-216</f>
        <v>309370</v>
      </c>
      <c r="E21" s="56">
        <v>323452</v>
      </c>
      <c r="F21" s="22">
        <f t="shared" si="0"/>
        <v>-14082</v>
      </c>
      <c r="G21" s="23">
        <f t="shared" si="1"/>
        <v>-12305</v>
      </c>
    </row>
    <row r="22" spans="2:7" x14ac:dyDescent="0.2">
      <c r="B22" s="9">
        <v>7</v>
      </c>
      <c r="C22" s="21">
        <v>43983</v>
      </c>
      <c r="D22" s="52">
        <f>352397-254</f>
        <v>352143</v>
      </c>
      <c r="E22" s="56">
        <v>380175</v>
      </c>
      <c r="F22" s="24">
        <f t="shared" si="0"/>
        <v>-28032</v>
      </c>
      <c r="G22" s="25">
        <f t="shared" si="1"/>
        <v>-40337</v>
      </c>
    </row>
    <row r="23" spans="2:7" x14ac:dyDescent="0.2">
      <c r="B23" s="26" t="s">
        <v>39</v>
      </c>
      <c r="C23" s="19">
        <v>44013</v>
      </c>
      <c r="D23" s="17">
        <f>479531-223</f>
        <v>479308</v>
      </c>
      <c r="E23" s="55">
        <v>464826</v>
      </c>
      <c r="F23" s="20">
        <f t="shared" si="0"/>
        <v>14482</v>
      </c>
      <c r="G23" s="18">
        <f t="shared" si="1"/>
        <v>-25855</v>
      </c>
    </row>
    <row r="24" spans="2:7" x14ac:dyDescent="0.2">
      <c r="B24" s="27" t="s">
        <v>40</v>
      </c>
      <c r="C24" s="28">
        <v>44044</v>
      </c>
      <c r="D24" s="53">
        <f>613876-232</f>
        <v>613644</v>
      </c>
      <c r="E24" s="57">
        <v>614005</v>
      </c>
      <c r="F24" s="24">
        <f t="shared" si="0"/>
        <v>-361</v>
      </c>
      <c r="G24" s="25">
        <f t="shared" si="1"/>
        <v>-26216</v>
      </c>
    </row>
    <row r="25" spans="2:7" x14ac:dyDescent="0.2">
      <c r="B25" s="10"/>
      <c r="C25" s="29" t="s">
        <v>77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3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2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2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2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2" t="s">
        <v>54</v>
      </c>
    </row>
    <row r="32" spans="2:7" x14ac:dyDescent="0.2">
      <c r="B32" s="26" t="s">
        <v>55</v>
      </c>
      <c r="C32" s="6" t="s">
        <v>58</v>
      </c>
      <c r="D32" s="18">
        <f>-G13</f>
        <v>28276</v>
      </c>
      <c r="E32" s="18">
        <f>D64</f>
        <v>-28276</v>
      </c>
      <c r="F32" s="6"/>
      <c r="G32" s="18">
        <f>D32+E32</f>
        <v>0</v>
      </c>
    </row>
    <row r="33" spans="2:7" x14ac:dyDescent="0.2">
      <c r="B33" s="33" t="s">
        <v>57</v>
      </c>
      <c r="C33" s="8" t="s">
        <v>60</v>
      </c>
      <c r="D33" s="23">
        <f>-G14</f>
        <v>-28109</v>
      </c>
      <c r="E33" s="23">
        <f>E64</f>
        <v>9370</v>
      </c>
      <c r="F33" s="8"/>
      <c r="G33" s="23">
        <f>D33+E33</f>
        <v>-18739</v>
      </c>
    </row>
    <row r="34" spans="2:7" x14ac:dyDescent="0.2">
      <c r="B34" s="33" t="s">
        <v>59</v>
      </c>
      <c r="C34" s="8" t="s">
        <v>80</v>
      </c>
      <c r="D34" s="23">
        <f>-G15</f>
        <v>28836</v>
      </c>
      <c r="E34" s="23">
        <f>F64</f>
        <v>0</v>
      </c>
      <c r="F34" s="8"/>
      <c r="G34" s="23">
        <f>D34+E34</f>
        <v>28836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37">
        <f>G32+G33+G34</f>
        <v>10097</v>
      </c>
    </row>
    <row r="36" spans="2:7" x14ac:dyDescent="0.2">
      <c r="B36" s="38"/>
      <c r="G36" s="39"/>
    </row>
    <row r="37" spans="2:7" x14ac:dyDescent="0.2">
      <c r="B37" s="11">
        <v>9</v>
      </c>
      <c r="C37" s="40" t="s">
        <v>63</v>
      </c>
      <c r="D37" s="13"/>
      <c r="E37" s="13"/>
      <c r="F37" s="14"/>
      <c r="G37" s="37">
        <f>G22+G35</f>
        <v>-30240</v>
      </c>
    </row>
    <row r="38" spans="2:7" x14ac:dyDescent="0.2">
      <c r="B38" s="38"/>
      <c r="G38" s="39"/>
    </row>
    <row r="39" spans="2:7" x14ac:dyDescent="0.2">
      <c r="B39" s="11">
        <v>10</v>
      </c>
      <c r="C39" s="40" t="s">
        <v>79</v>
      </c>
      <c r="D39" s="13"/>
      <c r="E39" s="13"/>
      <c r="F39" s="14"/>
      <c r="G39" s="37">
        <f>G37/6</f>
        <v>-5040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-29003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10097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-18906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-30240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-11334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-18906</v>
      </c>
    </row>
    <row r="53" spans="2:7" ht="15" thickTop="1" x14ac:dyDescent="0.2">
      <c r="B53" s="49"/>
      <c r="C53" s="50"/>
      <c r="D53" s="50"/>
      <c r="E53" s="50"/>
      <c r="F53" s="50"/>
      <c r="G53" s="51"/>
    </row>
    <row r="55" spans="2:7" x14ac:dyDescent="0.2">
      <c r="B55" t="s">
        <v>71</v>
      </c>
    </row>
    <row r="56" spans="2:7" x14ac:dyDescent="0.2">
      <c r="B56" s="38"/>
      <c r="C56" s="6"/>
      <c r="D56" s="7" t="s">
        <v>72</v>
      </c>
      <c r="E56" s="7" t="s">
        <v>72</v>
      </c>
      <c r="F56" s="7" t="s">
        <v>81</v>
      </c>
    </row>
    <row r="57" spans="2:7" x14ac:dyDescent="0.2">
      <c r="B57" s="38"/>
      <c r="C57" s="10" t="s">
        <v>25</v>
      </c>
      <c r="D57" s="10" t="s">
        <v>74</v>
      </c>
      <c r="E57" s="10" t="s">
        <v>75</v>
      </c>
      <c r="F57" s="10" t="s">
        <v>82</v>
      </c>
    </row>
    <row r="58" spans="2:7" x14ac:dyDescent="0.2">
      <c r="C58" s="19">
        <v>43831</v>
      </c>
      <c r="D58" s="17">
        <v>-14139</v>
      </c>
      <c r="E58" s="17">
        <v>0</v>
      </c>
      <c r="F58" s="17">
        <v>0</v>
      </c>
    </row>
    <row r="59" spans="2:7" x14ac:dyDescent="0.2">
      <c r="C59" s="21">
        <v>43862</v>
      </c>
      <c r="D59" s="52">
        <v>-14137</v>
      </c>
      <c r="E59" s="52">
        <v>0</v>
      </c>
      <c r="F59" s="52">
        <v>0</v>
      </c>
    </row>
    <row r="60" spans="2:7" x14ac:dyDescent="0.2">
      <c r="C60" s="21">
        <v>43891</v>
      </c>
      <c r="D60" s="52">
        <v>0</v>
      </c>
      <c r="E60" s="52">
        <v>0</v>
      </c>
      <c r="F60" s="52">
        <v>0</v>
      </c>
    </row>
    <row r="61" spans="2:7" x14ac:dyDescent="0.2">
      <c r="C61" s="21">
        <v>43922</v>
      </c>
      <c r="D61" s="52">
        <v>0</v>
      </c>
      <c r="E61" s="52">
        <v>0</v>
      </c>
      <c r="F61" s="52">
        <v>0</v>
      </c>
    </row>
    <row r="62" spans="2:7" x14ac:dyDescent="0.2">
      <c r="C62" s="21">
        <v>43952</v>
      </c>
      <c r="D62" s="52">
        <v>0</v>
      </c>
      <c r="E62" s="52">
        <v>4685</v>
      </c>
      <c r="F62" s="52">
        <v>0</v>
      </c>
    </row>
    <row r="63" spans="2:7" x14ac:dyDescent="0.2">
      <c r="C63" s="21">
        <v>43983</v>
      </c>
      <c r="D63" s="52">
        <v>0</v>
      </c>
      <c r="E63" s="53">
        <v>4685</v>
      </c>
      <c r="F63" s="53">
        <v>0</v>
      </c>
    </row>
    <row r="64" spans="2:7" x14ac:dyDescent="0.2">
      <c r="C64" s="54" t="s">
        <v>76</v>
      </c>
      <c r="D64" s="37">
        <f>SUM(D58:D63)</f>
        <v>-28276</v>
      </c>
      <c r="E64" s="37">
        <f>SUM(E58:E63)</f>
        <v>9370</v>
      </c>
      <c r="F64" s="37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31" sqref="A31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Taylor County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36</v>
      </c>
      <c r="D13" s="13"/>
      <c r="E13" s="13"/>
      <c r="F13" s="14"/>
      <c r="G13" s="15">
        <v>18739</v>
      </c>
    </row>
    <row r="14" spans="1:7" x14ac:dyDescent="0.2">
      <c r="B14" s="9" t="s">
        <v>33</v>
      </c>
      <c r="C14" s="13" t="s">
        <v>78</v>
      </c>
      <c r="D14" s="13"/>
      <c r="E14" s="13"/>
      <c r="F14" s="14"/>
      <c r="G14" s="15">
        <f>'A - 11-30-19'!G37</f>
        <v>-28836</v>
      </c>
    </row>
    <row r="15" spans="1:7" x14ac:dyDescent="0.2">
      <c r="B15" s="9" t="s">
        <v>35</v>
      </c>
      <c r="C15" s="13" t="s">
        <v>84</v>
      </c>
      <c r="D15" s="13"/>
      <c r="E15" s="13"/>
      <c r="F15" s="16"/>
      <c r="G15" s="17">
        <f>'B - 05-31-20'!G37</f>
        <v>-30240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8">
        <f>G13+G14+G15</f>
        <v>-40337</v>
      </c>
    </row>
    <row r="17" spans="2:7" x14ac:dyDescent="0.2">
      <c r="B17" s="9">
        <v>2</v>
      </c>
      <c r="C17" s="19">
        <v>44013</v>
      </c>
      <c r="D17" s="17">
        <f>479531-223</f>
        <v>479308</v>
      </c>
      <c r="E17" s="55">
        <v>464825.83</v>
      </c>
      <c r="F17" s="20">
        <f t="shared" ref="F17:F24" si="0">D17-E17</f>
        <v>14482.169999999984</v>
      </c>
      <c r="G17" s="18">
        <f t="shared" ref="G17:G24" si="1">G16+F17</f>
        <v>-25854.830000000016</v>
      </c>
    </row>
    <row r="18" spans="2:7" x14ac:dyDescent="0.2">
      <c r="B18" s="9">
        <v>3</v>
      </c>
      <c r="C18" s="21">
        <v>44044</v>
      </c>
      <c r="D18" s="52">
        <f>613876-232</f>
        <v>613644</v>
      </c>
      <c r="E18" s="56">
        <v>614005.07999999996</v>
      </c>
      <c r="F18" s="22">
        <f t="shared" si="0"/>
        <v>-361.07999999995809</v>
      </c>
      <c r="G18" s="23">
        <f t="shared" si="1"/>
        <v>-26215.909999999974</v>
      </c>
    </row>
    <row r="19" spans="2:7" x14ac:dyDescent="0.2">
      <c r="B19" s="9">
        <v>4</v>
      </c>
      <c r="C19" s="21">
        <v>44075</v>
      </c>
      <c r="D19" s="52">
        <f>549297-0</f>
        <v>549297</v>
      </c>
      <c r="E19" s="56">
        <v>555109.54</v>
      </c>
      <c r="F19" s="22">
        <f t="shared" si="0"/>
        <v>-5812.5400000000373</v>
      </c>
      <c r="G19" s="23">
        <f t="shared" si="1"/>
        <v>-32028.450000000012</v>
      </c>
    </row>
    <row r="20" spans="2:7" x14ac:dyDescent="0.2">
      <c r="B20" s="9">
        <v>5</v>
      </c>
      <c r="C20" s="21">
        <v>44105</v>
      </c>
      <c r="D20" s="52">
        <f>327679-163</f>
        <v>327516</v>
      </c>
      <c r="E20" s="56">
        <v>347329.21</v>
      </c>
      <c r="F20" s="22">
        <f t="shared" si="0"/>
        <v>-19813.210000000021</v>
      </c>
      <c r="G20" s="23">
        <f t="shared" si="1"/>
        <v>-51841.660000000033</v>
      </c>
    </row>
    <row r="21" spans="2:7" x14ac:dyDescent="0.2">
      <c r="B21" s="9">
        <v>6</v>
      </c>
      <c r="C21" s="21">
        <v>44136</v>
      </c>
      <c r="D21" s="52">
        <f>305373-180</f>
        <v>305193</v>
      </c>
      <c r="E21" s="56">
        <v>327645.59999999998</v>
      </c>
      <c r="F21" s="22">
        <f t="shared" si="0"/>
        <v>-22452.599999999977</v>
      </c>
      <c r="G21" s="23">
        <f t="shared" si="1"/>
        <v>-74294.260000000009</v>
      </c>
    </row>
    <row r="22" spans="2:7" x14ac:dyDescent="0.2">
      <c r="B22" s="9">
        <v>7</v>
      </c>
      <c r="C22" s="21">
        <v>44166</v>
      </c>
      <c r="D22" s="52">
        <f>451408-216</f>
        <v>451192</v>
      </c>
      <c r="E22" s="56">
        <v>428850.97</v>
      </c>
      <c r="F22" s="24">
        <f t="shared" si="0"/>
        <v>22341.030000000028</v>
      </c>
      <c r="G22" s="25">
        <f t="shared" si="1"/>
        <v>-51953.229999999981</v>
      </c>
    </row>
    <row r="23" spans="2:7" x14ac:dyDescent="0.2">
      <c r="B23" s="26" t="s">
        <v>39</v>
      </c>
      <c r="C23" s="19">
        <v>44197</v>
      </c>
      <c r="D23" s="17">
        <f>681785-247</f>
        <v>681538</v>
      </c>
      <c r="E23" s="55">
        <v>667829.63</v>
      </c>
      <c r="F23" s="20">
        <f t="shared" si="0"/>
        <v>13708.369999999995</v>
      </c>
      <c r="G23" s="18">
        <f t="shared" si="1"/>
        <v>-38244.859999999986</v>
      </c>
    </row>
    <row r="24" spans="2:7" x14ac:dyDescent="0.2">
      <c r="B24" s="27" t="s">
        <v>40</v>
      </c>
      <c r="C24" s="28">
        <v>44228</v>
      </c>
      <c r="D24" s="53">
        <f>623330-220</f>
        <v>623110</v>
      </c>
      <c r="E24" s="57">
        <v>619822.78</v>
      </c>
      <c r="F24" s="24">
        <f t="shared" si="0"/>
        <v>3287.2199999999721</v>
      </c>
      <c r="G24" s="25">
        <f t="shared" si="1"/>
        <v>-34957.640000000014</v>
      </c>
    </row>
    <row r="25" spans="2:7" x14ac:dyDescent="0.2">
      <c r="B25" s="10"/>
      <c r="C25" s="29" t="s">
        <v>83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3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2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2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2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2" t="s">
        <v>54</v>
      </c>
    </row>
    <row r="32" spans="2:7" x14ac:dyDescent="0.2">
      <c r="B32" s="26" t="s">
        <v>55</v>
      </c>
      <c r="C32" s="6" t="s">
        <v>60</v>
      </c>
      <c r="D32" s="18">
        <f>-G13</f>
        <v>-18739</v>
      </c>
      <c r="E32" s="18">
        <f>D64</f>
        <v>18739</v>
      </c>
      <c r="F32" s="6"/>
      <c r="G32" s="18">
        <f>D32+E32</f>
        <v>0</v>
      </c>
    </row>
    <row r="33" spans="2:7" x14ac:dyDescent="0.2">
      <c r="B33" s="33" t="s">
        <v>57</v>
      </c>
      <c r="C33" s="8" t="s">
        <v>80</v>
      </c>
      <c r="D33" s="23">
        <f>-G14</f>
        <v>28836</v>
      </c>
      <c r="E33" s="23">
        <f>E64</f>
        <v>0</v>
      </c>
      <c r="F33" s="8"/>
      <c r="G33" s="23">
        <f>D33+E33</f>
        <v>28836</v>
      </c>
    </row>
    <row r="34" spans="2:7" x14ac:dyDescent="0.2">
      <c r="B34" s="33" t="s">
        <v>59</v>
      </c>
      <c r="C34" s="8" t="s">
        <v>85</v>
      </c>
      <c r="D34" s="23">
        <f>-G15</f>
        <v>30240</v>
      </c>
      <c r="E34" s="23">
        <f>F64</f>
        <v>0</v>
      </c>
      <c r="F34" s="8"/>
      <c r="G34" s="23">
        <f>D34+E34</f>
        <v>30240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37">
        <f>G32+G33+G34</f>
        <v>59076</v>
      </c>
    </row>
    <row r="36" spans="2:7" x14ac:dyDescent="0.2">
      <c r="B36" s="38"/>
      <c r="G36" s="39"/>
    </row>
    <row r="37" spans="2:7" x14ac:dyDescent="0.2">
      <c r="B37" s="11">
        <v>9</v>
      </c>
      <c r="C37" s="40" t="s">
        <v>63</v>
      </c>
      <c r="D37" s="13"/>
      <c r="E37" s="13"/>
      <c r="F37" s="14"/>
      <c r="G37" s="37">
        <f>G22+G35</f>
        <v>7122.7700000000186</v>
      </c>
    </row>
    <row r="38" spans="2:7" x14ac:dyDescent="0.2">
      <c r="B38" s="38"/>
      <c r="G38" s="39"/>
    </row>
    <row r="39" spans="2:7" x14ac:dyDescent="0.2">
      <c r="B39" s="11">
        <v>10</v>
      </c>
      <c r="C39" s="40" t="s">
        <v>79</v>
      </c>
      <c r="D39" s="13"/>
      <c r="E39" s="13"/>
      <c r="F39" s="14"/>
      <c r="G39" s="37">
        <f>G37/6</f>
        <v>1187.1283333333365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-40337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59076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18739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7122.7700000000186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-11616.229999999981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18739</v>
      </c>
    </row>
    <row r="53" spans="2:7" ht="15" thickTop="1" x14ac:dyDescent="0.2">
      <c r="B53" s="49"/>
      <c r="C53" s="50"/>
      <c r="D53" s="50"/>
      <c r="E53" s="50"/>
      <c r="F53" s="50"/>
      <c r="G53" s="51"/>
    </row>
    <row r="55" spans="2:7" x14ac:dyDescent="0.2">
      <c r="B55" t="s">
        <v>71</v>
      </c>
    </row>
    <row r="56" spans="2:7" x14ac:dyDescent="0.2">
      <c r="B56" s="38"/>
      <c r="C56" s="6"/>
      <c r="D56" s="7" t="s">
        <v>72</v>
      </c>
      <c r="E56" s="7" t="s">
        <v>81</v>
      </c>
      <c r="F56" s="7" t="s">
        <v>81</v>
      </c>
    </row>
    <row r="57" spans="2:7" x14ac:dyDescent="0.2">
      <c r="B57" s="38"/>
      <c r="C57" s="10" t="s">
        <v>25</v>
      </c>
      <c r="D57" s="10" t="s">
        <v>75</v>
      </c>
      <c r="E57" s="10" t="s">
        <v>82</v>
      </c>
      <c r="F57" s="10" t="s">
        <v>86</v>
      </c>
    </row>
    <row r="58" spans="2:7" x14ac:dyDescent="0.2">
      <c r="C58" s="19">
        <v>44013</v>
      </c>
      <c r="D58" s="17">
        <v>4685</v>
      </c>
      <c r="E58" s="17">
        <v>0</v>
      </c>
      <c r="F58" s="17">
        <v>0</v>
      </c>
    </row>
    <row r="59" spans="2:7" x14ac:dyDescent="0.2">
      <c r="C59" s="21">
        <v>44044</v>
      </c>
      <c r="D59" s="52">
        <v>4685</v>
      </c>
      <c r="E59" s="52">
        <v>0</v>
      </c>
      <c r="F59" s="52">
        <v>0</v>
      </c>
    </row>
    <row r="60" spans="2:7" x14ac:dyDescent="0.2">
      <c r="C60" s="21">
        <v>44075</v>
      </c>
      <c r="D60" s="52">
        <v>4685</v>
      </c>
      <c r="E60" s="52">
        <v>0</v>
      </c>
      <c r="F60" s="52">
        <v>0</v>
      </c>
    </row>
    <row r="61" spans="2:7" x14ac:dyDescent="0.2">
      <c r="C61" s="21">
        <v>44105</v>
      </c>
      <c r="D61" s="52">
        <v>4684</v>
      </c>
      <c r="E61" s="52">
        <v>0</v>
      </c>
      <c r="F61" s="52">
        <v>0</v>
      </c>
    </row>
    <row r="62" spans="2:7" x14ac:dyDescent="0.2">
      <c r="C62" s="21">
        <v>44136</v>
      </c>
      <c r="D62" s="52">
        <v>0</v>
      </c>
      <c r="E62" s="52">
        <v>0</v>
      </c>
      <c r="F62" s="52">
        <v>0</v>
      </c>
    </row>
    <row r="63" spans="2:7" x14ac:dyDescent="0.2">
      <c r="C63" s="21">
        <v>44166</v>
      </c>
      <c r="D63" s="52">
        <v>0</v>
      </c>
      <c r="E63" s="53">
        <v>0</v>
      </c>
      <c r="F63" s="53">
        <v>0</v>
      </c>
    </row>
    <row r="64" spans="2:7" x14ac:dyDescent="0.2">
      <c r="C64" s="54" t="s">
        <v>76</v>
      </c>
      <c r="D64" s="37">
        <f>SUM(D58:D63)</f>
        <v>18739</v>
      </c>
      <c r="E64" s="37">
        <f>SUM(E58:E63)</f>
        <v>0</v>
      </c>
      <c r="F64" s="37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27" sqref="A2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Taylor County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78</v>
      </c>
      <c r="D13" s="13"/>
      <c r="E13" s="13"/>
      <c r="F13" s="14"/>
      <c r="G13" s="15">
        <f>'A - 11-30-19'!G37</f>
        <v>-28836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-30240</v>
      </c>
    </row>
    <row r="15" spans="1:7" x14ac:dyDescent="0.2">
      <c r="B15" s="9" t="s">
        <v>35</v>
      </c>
      <c r="C15" s="13" t="s">
        <v>88</v>
      </c>
      <c r="D15" s="13"/>
      <c r="E15" s="13"/>
      <c r="F15" s="16"/>
      <c r="G15" s="17">
        <f>'C - 11-30-20'!G37</f>
        <v>7122.7700000000186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8">
        <f>G13+G14+G15</f>
        <v>-51953.229999999981</v>
      </c>
    </row>
    <row r="17" spans="2:7" x14ac:dyDescent="0.2">
      <c r="B17" s="9">
        <v>2</v>
      </c>
      <c r="C17" s="19">
        <v>44197</v>
      </c>
      <c r="D17" s="17">
        <f>681785-247</f>
        <v>681538</v>
      </c>
      <c r="E17" s="55">
        <v>667829.63</v>
      </c>
      <c r="F17" s="20">
        <f t="shared" ref="F17:F24" si="0">D17-E17</f>
        <v>13708.369999999995</v>
      </c>
      <c r="G17" s="18">
        <f t="shared" ref="G17:G24" si="1">G16+F17</f>
        <v>-38244.859999999986</v>
      </c>
    </row>
    <row r="18" spans="2:7" x14ac:dyDescent="0.2">
      <c r="B18" s="9">
        <v>3</v>
      </c>
      <c r="C18" s="21">
        <v>44228</v>
      </c>
      <c r="D18" s="52">
        <f>623330-220</f>
        <v>623110</v>
      </c>
      <c r="E18" s="56">
        <v>619822.78</v>
      </c>
      <c r="F18" s="22">
        <f t="shared" si="0"/>
        <v>3287.2199999999721</v>
      </c>
      <c r="G18" s="23">
        <f t="shared" si="1"/>
        <v>-34957.640000000014</v>
      </c>
    </row>
    <row r="19" spans="2:7" x14ac:dyDescent="0.2">
      <c r="B19" s="9">
        <v>4</v>
      </c>
      <c r="C19" s="21">
        <v>44256</v>
      </c>
      <c r="D19" s="52">
        <f>424950-148</f>
        <v>424802</v>
      </c>
      <c r="E19" s="56">
        <v>442305.18</v>
      </c>
      <c r="F19" s="22">
        <f t="shared" si="0"/>
        <v>-17503.179999999993</v>
      </c>
      <c r="G19" s="23">
        <f t="shared" si="1"/>
        <v>-52460.820000000007</v>
      </c>
    </row>
    <row r="20" spans="2:7" x14ac:dyDescent="0.2">
      <c r="B20" s="9">
        <v>5</v>
      </c>
      <c r="C20" s="21">
        <v>44287</v>
      </c>
      <c r="D20" s="52">
        <f>333393-140</f>
        <v>333253</v>
      </c>
      <c r="E20" s="56">
        <v>301221.88</v>
      </c>
      <c r="F20" s="22">
        <f t="shared" si="0"/>
        <v>32031.119999999995</v>
      </c>
      <c r="G20" s="23">
        <f t="shared" si="1"/>
        <v>-20429.700000000012</v>
      </c>
    </row>
    <row r="21" spans="2:7" x14ac:dyDescent="0.2">
      <c r="B21" s="9">
        <v>6</v>
      </c>
      <c r="C21" s="21">
        <v>44317</v>
      </c>
      <c r="D21" s="52">
        <f>336589-174</f>
        <v>336415</v>
      </c>
      <c r="E21" s="56">
        <v>371557.22</v>
      </c>
      <c r="F21" s="22">
        <f t="shared" si="0"/>
        <v>-35142.219999999972</v>
      </c>
      <c r="G21" s="23">
        <f t="shared" si="1"/>
        <v>-55571.919999999984</v>
      </c>
    </row>
    <row r="22" spans="2:7" x14ac:dyDescent="0.2">
      <c r="B22" s="9">
        <v>7</v>
      </c>
      <c r="C22" s="21">
        <v>44348</v>
      </c>
      <c r="D22" s="52">
        <f>351107-192</f>
        <v>350915</v>
      </c>
      <c r="E22" s="56">
        <v>365240.32000000001</v>
      </c>
      <c r="F22" s="24">
        <f t="shared" si="0"/>
        <v>-14325.320000000007</v>
      </c>
      <c r="G22" s="25">
        <f t="shared" si="1"/>
        <v>-69897.239999999991</v>
      </c>
    </row>
    <row r="23" spans="2:7" x14ac:dyDescent="0.2">
      <c r="B23" s="26" t="s">
        <v>39</v>
      </c>
      <c r="C23" s="19">
        <v>44378</v>
      </c>
      <c r="D23" s="17">
        <f>615641-274</f>
        <v>615367</v>
      </c>
      <c r="E23" s="55">
        <v>595431.47</v>
      </c>
      <c r="F23" s="20">
        <f t="shared" si="0"/>
        <v>19935.530000000028</v>
      </c>
      <c r="G23" s="18">
        <f t="shared" si="1"/>
        <v>-49961.709999999963</v>
      </c>
    </row>
    <row r="24" spans="2:7" x14ac:dyDescent="0.2">
      <c r="B24" s="27" t="s">
        <v>40</v>
      </c>
      <c r="C24" s="28">
        <v>44409</v>
      </c>
      <c r="D24" s="53">
        <f>594904-0</f>
        <v>594904</v>
      </c>
      <c r="E24" s="57">
        <v>605696.36</v>
      </c>
      <c r="F24" s="24">
        <f t="shared" si="0"/>
        <v>-10792.359999999986</v>
      </c>
      <c r="G24" s="25">
        <f t="shared" si="1"/>
        <v>-60754.069999999949</v>
      </c>
    </row>
    <row r="25" spans="2:7" x14ac:dyDescent="0.2">
      <c r="B25" s="10"/>
      <c r="C25" s="29" t="s">
        <v>87</v>
      </c>
      <c r="D25" s="30"/>
      <c r="E25" s="30"/>
      <c r="F25" s="30"/>
      <c r="G25" s="31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3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2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2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2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2" t="s">
        <v>54</v>
      </c>
    </row>
    <row r="32" spans="2:7" x14ac:dyDescent="0.2">
      <c r="B32" s="26" t="s">
        <v>55</v>
      </c>
      <c r="C32" s="6" t="s">
        <v>80</v>
      </c>
      <c r="D32" s="18">
        <f>-G13</f>
        <v>28836</v>
      </c>
      <c r="E32" s="18">
        <f>D64</f>
        <v>0</v>
      </c>
      <c r="F32" s="6"/>
      <c r="G32" s="18">
        <f>D32+E32</f>
        <v>28836</v>
      </c>
    </row>
    <row r="33" spans="2:7" x14ac:dyDescent="0.2">
      <c r="B33" s="33" t="s">
        <v>57</v>
      </c>
      <c r="C33" s="8" t="s">
        <v>85</v>
      </c>
      <c r="D33" s="23">
        <f>-G14</f>
        <v>30240</v>
      </c>
      <c r="E33" s="23">
        <f>E64</f>
        <v>0</v>
      </c>
      <c r="F33" s="8"/>
      <c r="G33" s="23">
        <f>D33+E33</f>
        <v>30240</v>
      </c>
    </row>
    <row r="34" spans="2:7" x14ac:dyDescent="0.2">
      <c r="B34" s="33" t="s">
        <v>59</v>
      </c>
      <c r="C34" s="8" t="s">
        <v>89</v>
      </c>
      <c r="D34" s="23">
        <f>-G15</f>
        <v>-7122.7700000000186</v>
      </c>
      <c r="E34" s="23">
        <f>F64</f>
        <v>0</v>
      </c>
      <c r="F34" s="8"/>
      <c r="G34" s="23">
        <f>D34+E34</f>
        <v>-7122.7700000000186</v>
      </c>
    </row>
    <row r="35" spans="2:7" x14ac:dyDescent="0.2">
      <c r="B35" s="10" t="s">
        <v>61</v>
      </c>
      <c r="C35" s="34"/>
      <c r="D35" s="35"/>
      <c r="E35" s="35"/>
      <c r="F35" s="36" t="s">
        <v>62</v>
      </c>
      <c r="G35" s="37">
        <f>G32+G33+G34</f>
        <v>51953.229999999981</v>
      </c>
    </row>
    <row r="36" spans="2:7" x14ac:dyDescent="0.2">
      <c r="B36" s="38"/>
      <c r="G36" s="39"/>
    </row>
    <row r="37" spans="2:7" x14ac:dyDescent="0.2">
      <c r="B37" s="11">
        <v>9</v>
      </c>
      <c r="C37" s="40" t="s">
        <v>63</v>
      </c>
      <c r="D37" s="13"/>
      <c r="E37" s="13"/>
      <c r="F37" s="14"/>
      <c r="G37" s="37">
        <f>G22+G35</f>
        <v>-17944.010000000009</v>
      </c>
    </row>
    <row r="38" spans="2:7" x14ac:dyDescent="0.2">
      <c r="B38" s="38"/>
      <c r="G38" s="39"/>
    </row>
    <row r="39" spans="2:7" x14ac:dyDescent="0.2">
      <c r="B39" s="11">
        <v>10</v>
      </c>
      <c r="C39" s="40" t="s">
        <v>79</v>
      </c>
      <c r="D39" s="13"/>
      <c r="E39" s="13"/>
      <c r="F39" s="14"/>
      <c r="G39" s="37">
        <f>G37/6</f>
        <v>-2990.6683333333349</v>
      </c>
    </row>
    <row r="41" spans="2:7" x14ac:dyDescent="0.2">
      <c r="B41" s="6"/>
      <c r="C41" s="41" t="s">
        <v>64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65</v>
      </c>
      <c r="D43" s="45"/>
      <c r="E43" s="45"/>
      <c r="F43" s="45"/>
      <c r="G43" s="46">
        <f>G16</f>
        <v>-51953.229999999981</v>
      </c>
    </row>
    <row r="44" spans="2:7" x14ac:dyDescent="0.2">
      <c r="B44" s="9">
        <v>12</v>
      </c>
      <c r="C44" s="45" t="s">
        <v>66</v>
      </c>
      <c r="D44" s="45"/>
      <c r="E44" s="45"/>
      <c r="F44" s="45"/>
      <c r="G44" s="47">
        <f>G35</f>
        <v>51953.229999999981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67</v>
      </c>
      <c r="D46" s="45"/>
      <c r="E46" s="45"/>
      <c r="F46" s="45"/>
      <c r="G46" s="48">
        <f>G43+G44</f>
        <v>0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68</v>
      </c>
      <c r="D48" s="45"/>
      <c r="E48" s="45"/>
      <c r="F48" s="45"/>
      <c r="G48" s="46">
        <f>G37</f>
        <v>-17944.010000000009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69</v>
      </c>
      <c r="D50" s="45"/>
      <c r="E50" s="45"/>
      <c r="F50" s="45"/>
      <c r="G50" s="47">
        <f>SUM(F17:F22)</f>
        <v>-17944.010000000009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70</v>
      </c>
      <c r="D52" s="45"/>
      <c r="E52" s="45"/>
      <c r="F52" s="45"/>
      <c r="G52" s="48">
        <f>G48-G50</f>
        <v>0</v>
      </c>
    </row>
    <row r="53" spans="2:7" ht="15" thickTop="1" x14ac:dyDescent="0.2">
      <c r="B53" s="49"/>
      <c r="C53" s="50"/>
      <c r="D53" s="50"/>
      <c r="E53" s="50"/>
      <c r="F53" s="50"/>
      <c r="G53" s="51"/>
    </row>
    <row r="55" spans="2:7" x14ac:dyDescent="0.2">
      <c r="B55" t="s">
        <v>71</v>
      </c>
    </row>
    <row r="56" spans="2:7" x14ac:dyDescent="0.2">
      <c r="B56" s="38"/>
      <c r="C56" s="6"/>
      <c r="D56" s="7" t="s">
        <v>81</v>
      </c>
      <c r="E56" s="7" t="s">
        <v>81</v>
      </c>
      <c r="F56" s="7" t="s">
        <v>81</v>
      </c>
    </row>
    <row r="57" spans="2:7" x14ac:dyDescent="0.2">
      <c r="B57" s="38"/>
      <c r="C57" s="10" t="s">
        <v>25</v>
      </c>
      <c r="D57" s="10" t="s">
        <v>82</v>
      </c>
      <c r="E57" s="10" t="s">
        <v>86</v>
      </c>
      <c r="F57" s="10" t="s">
        <v>90</v>
      </c>
    </row>
    <row r="58" spans="2:7" x14ac:dyDescent="0.2">
      <c r="C58" s="19">
        <v>44197</v>
      </c>
      <c r="D58" s="17">
        <v>0</v>
      </c>
      <c r="E58" s="17">
        <v>0</v>
      </c>
      <c r="F58" s="17">
        <v>0</v>
      </c>
    </row>
    <row r="59" spans="2:7" x14ac:dyDescent="0.2">
      <c r="C59" s="21">
        <v>44228</v>
      </c>
      <c r="D59" s="52">
        <v>0</v>
      </c>
      <c r="E59" s="52">
        <v>0</v>
      </c>
      <c r="F59" s="52">
        <v>0</v>
      </c>
    </row>
    <row r="60" spans="2:7" x14ac:dyDescent="0.2">
      <c r="C60" s="21">
        <v>44256</v>
      </c>
      <c r="D60" s="52">
        <v>0</v>
      </c>
      <c r="E60" s="52">
        <v>0</v>
      </c>
      <c r="F60" s="52">
        <v>0</v>
      </c>
    </row>
    <row r="61" spans="2:7" x14ac:dyDescent="0.2">
      <c r="C61" s="21">
        <v>44287</v>
      </c>
      <c r="D61" s="52">
        <v>0</v>
      </c>
      <c r="E61" s="52">
        <v>0</v>
      </c>
      <c r="F61" s="52">
        <v>0</v>
      </c>
    </row>
    <row r="62" spans="2:7" x14ac:dyDescent="0.2">
      <c r="C62" s="21">
        <v>44317</v>
      </c>
      <c r="D62" s="52">
        <v>0</v>
      </c>
      <c r="E62" s="52">
        <v>0</v>
      </c>
      <c r="F62" s="52">
        <v>0</v>
      </c>
    </row>
    <row r="63" spans="2:7" x14ac:dyDescent="0.2">
      <c r="C63" s="21">
        <v>44348</v>
      </c>
      <c r="D63" s="52">
        <v>0</v>
      </c>
      <c r="E63" s="53">
        <v>0</v>
      </c>
      <c r="F63" s="53">
        <v>0</v>
      </c>
    </row>
    <row r="64" spans="2:7" x14ac:dyDescent="0.2">
      <c r="C64" s="54" t="s">
        <v>76</v>
      </c>
      <c r="D64" s="37">
        <f>SUM(D58:D63)</f>
        <v>0</v>
      </c>
      <c r="E64" s="37">
        <f>SUM(E58:E63)</f>
        <v>0</v>
      </c>
      <c r="F64" s="37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A30" sqref="A3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</cols>
  <sheetData>
    <row r="1" spans="1:7" x14ac:dyDescent="0.2">
      <c r="A1" t="str">
        <f>Summary!A1</f>
        <v>DR1 Response 2 - Taylor County Surcharge Summary.xlsx</v>
      </c>
    </row>
    <row r="4" spans="1:7" x14ac:dyDescent="0.2">
      <c r="B4" s="59" t="s">
        <v>14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5" t="s">
        <v>30</v>
      </c>
      <c r="D12" s="66"/>
      <c r="E12" s="66"/>
      <c r="F12" s="66"/>
      <c r="G12" s="67"/>
    </row>
    <row r="13" spans="1:7" x14ac:dyDescent="0.2">
      <c r="B13" s="7" t="s">
        <v>31</v>
      </c>
      <c r="C13" s="13" t="s">
        <v>78</v>
      </c>
      <c r="D13" s="13"/>
      <c r="E13" s="13"/>
      <c r="F13" s="14"/>
      <c r="G13" s="15">
        <f>'A - 11-30-19'!G37</f>
        <v>-28836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-30240</v>
      </c>
    </row>
    <row r="15" spans="1:7" x14ac:dyDescent="0.2">
      <c r="B15" s="9" t="s">
        <v>35</v>
      </c>
      <c r="C15" s="13" t="s">
        <v>88</v>
      </c>
      <c r="D15" s="13"/>
      <c r="E15" s="13"/>
      <c r="F15" s="16"/>
      <c r="G15" s="17">
        <f>'C - 11-30-20'!G37</f>
        <v>7122.7700000000186</v>
      </c>
    </row>
    <row r="16" spans="1:7" x14ac:dyDescent="0.2">
      <c r="B16" s="9" t="s">
        <v>37</v>
      </c>
      <c r="C16" s="13" t="s">
        <v>95</v>
      </c>
      <c r="D16" s="13"/>
      <c r="E16" s="13"/>
      <c r="F16" s="16"/>
      <c r="G16" s="17">
        <f>'D - 05-31-21'!G37</f>
        <v>-17944.010000000009</v>
      </c>
    </row>
    <row r="17" spans="2:7" x14ac:dyDescent="0.2">
      <c r="B17" s="10" t="s">
        <v>91</v>
      </c>
      <c r="C17" s="13" t="s">
        <v>38</v>
      </c>
      <c r="D17" s="13"/>
      <c r="E17" s="13"/>
      <c r="F17" s="16"/>
      <c r="G17" s="18">
        <f>G13+G14+G15+G16</f>
        <v>-69897.239999999991</v>
      </c>
    </row>
    <row r="18" spans="2:7" x14ac:dyDescent="0.2">
      <c r="B18" s="9">
        <v>2</v>
      </c>
      <c r="C18" s="19">
        <v>44378</v>
      </c>
      <c r="D18" s="17">
        <f>615641-274</f>
        <v>615367</v>
      </c>
      <c r="E18" s="55">
        <v>595431.47</v>
      </c>
      <c r="F18" s="20">
        <f t="shared" ref="F18:F25" si="0">D18-E18</f>
        <v>19935.530000000028</v>
      </c>
      <c r="G18" s="18">
        <f t="shared" ref="G18:G25" si="1">G17+F18</f>
        <v>-49961.709999999963</v>
      </c>
    </row>
    <row r="19" spans="2:7" x14ac:dyDescent="0.2">
      <c r="B19" s="9">
        <v>3</v>
      </c>
      <c r="C19" s="21">
        <v>44409</v>
      </c>
      <c r="D19" s="52">
        <f>594904-0</f>
        <v>594904</v>
      </c>
      <c r="E19" s="56">
        <v>605696.36</v>
      </c>
      <c r="F19" s="22">
        <f t="shared" si="0"/>
        <v>-10792.359999999986</v>
      </c>
      <c r="G19" s="23">
        <f t="shared" si="1"/>
        <v>-60754.069999999949</v>
      </c>
    </row>
    <row r="20" spans="2:7" x14ac:dyDescent="0.2">
      <c r="B20" s="9">
        <v>4</v>
      </c>
      <c r="C20" s="21">
        <v>44440</v>
      </c>
      <c r="D20" s="52">
        <f>557773-228</f>
        <v>557545</v>
      </c>
      <c r="E20" s="56">
        <v>565831.5</v>
      </c>
      <c r="F20" s="22">
        <f t="shared" si="0"/>
        <v>-8286.5</v>
      </c>
      <c r="G20" s="23">
        <f t="shared" si="1"/>
        <v>-69040.569999999949</v>
      </c>
    </row>
    <row r="21" spans="2:7" x14ac:dyDescent="0.2">
      <c r="B21" s="9">
        <v>5</v>
      </c>
      <c r="C21" s="21">
        <v>44470</v>
      </c>
      <c r="D21" s="52">
        <f>407683-205</f>
        <v>407478</v>
      </c>
      <c r="E21" s="56">
        <v>407233.4</v>
      </c>
      <c r="F21" s="22">
        <f t="shared" si="0"/>
        <v>244.59999999997672</v>
      </c>
      <c r="G21" s="23">
        <f t="shared" si="1"/>
        <v>-68795.969999999972</v>
      </c>
    </row>
    <row r="22" spans="2:7" x14ac:dyDescent="0.2">
      <c r="B22" s="9">
        <v>6</v>
      </c>
      <c r="C22" s="21">
        <v>44501</v>
      </c>
      <c r="D22" s="52">
        <f>382266-28</f>
        <v>382238</v>
      </c>
      <c r="E22" s="56">
        <v>390321.24</v>
      </c>
      <c r="F22" s="22">
        <f t="shared" si="0"/>
        <v>-8083.2399999999907</v>
      </c>
      <c r="G22" s="23">
        <f t="shared" si="1"/>
        <v>-76879.209999999963</v>
      </c>
    </row>
    <row r="23" spans="2:7" x14ac:dyDescent="0.2">
      <c r="B23" s="9">
        <v>7</v>
      </c>
      <c r="C23" s="21">
        <v>44531</v>
      </c>
      <c r="D23" s="52">
        <f>703411-234</f>
        <v>703177</v>
      </c>
      <c r="E23" s="56">
        <v>577218.59</v>
      </c>
      <c r="F23" s="24">
        <f t="shared" si="0"/>
        <v>125958.41000000003</v>
      </c>
      <c r="G23" s="25">
        <f t="shared" si="1"/>
        <v>49079.20000000007</v>
      </c>
    </row>
    <row r="24" spans="2:7" x14ac:dyDescent="0.2">
      <c r="B24" s="26" t="s">
        <v>39</v>
      </c>
      <c r="C24" s="19">
        <v>44562</v>
      </c>
      <c r="D24" s="17">
        <f>697328-229</f>
        <v>697099</v>
      </c>
      <c r="E24" s="55">
        <v>503622.07</v>
      </c>
      <c r="F24" s="20">
        <f t="shared" si="0"/>
        <v>193476.93</v>
      </c>
      <c r="G24" s="18">
        <f t="shared" si="1"/>
        <v>242556.13000000006</v>
      </c>
    </row>
    <row r="25" spans="2:7" x14ac:dyDescent="0.2">
      <c r="B25" s="27" t="s">
        <v>40</v>
      </c>
      <c r="C25" s="28">
        <v>44593</v>
      </c>
      <c r="D25" s="53">
        <f>593975-157</f>
        <v>593818</v>
      </c>
      <c r="E25" s="57">
        <v>809290.36</v>
      </c>
      <c r="F25" s="24">
        <f t="shared" si="0"/>
        <v>-215472.36</v>
      </c>
      <c r="G25" s="25">
        <f t="shared" si="1"/>
        <v>27083.770000000077</v>
      </c>
    </row>
    <row r="26" spans="2:7" x14ac:dyDescent="0.2">
      <c r="B26" s="10"/>
      <c r="C26" s="29" t="s">
        <v>92</v>
      </c>
      <c r="D26" s="30"/>
      <c r="E26" s="30"/>
      <c r="F26" s="30"/>
      <c r="G26" s="31"/>
    </row>
    <row r="27" spans="2:7" x14ac:dyDescent="0.2">
      <c r="B27" s="7"/>
      <c r="C27" s="6"/>
      <c r="D27" s="6"/>
      <c r="E27" s="6"/>
      <c r="F27" s="6"/>
      <c r="G27" s="18"/>
    </row>
    <row r="28" spans="2:7" x14ac:dyDescent="0.2">
      <c r="B28" s="9"/>
      <c r="C28" s="8"/>
      <c r="D28" s="9" t="s">
        <v>42</v>
      </c>
      <c r="E28" s="9" t="s">
        <v>43</v>
      </c>
      <c r="F28" s="8"/>
      <c r="G28" s="23"/>
    </row>
    <row r="29" spans="2:7" x14ac:dyDescent="0.2">
      <c r="B29" s="9">
        <v>8</v>
      </c>
      <c r="C29" s="8"/>
      <c r="D29" s="9" t="s">
        <v>44</v>
      </c>
      <c r="E29" s="9" t="s">
        <v>45</v>
      </c>
      <c r="F29" s="8"/>
      <c r="G29" s="32" t="s">
        <v>42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2" t="s">
        <v>48</v>
      </c>
    </row>
    <row r="31" spans="2:7" x14ac:dyDescent="0.2">
      <c r="B31" s="9"/>
      <c r="C31" s="8"/>
      <c r="D31" s="9" t="s">
        <v>49</v>
      </c>
      <c r="E31" s="9" t="s">
        <v>50</v>
      </c>
      <c r="F31" s="8"/>
      <c r="G31" s="32" t="s">
        <v>51</v>
      </c>
    </row>
    <row r="32" spans="2:7" x14ac:dyDescent="0.2">
      <c r="B32" s="10"/>
      <c r="C32" s="8"/>
      <c r="D32" s="9" t="s">
        <v>52</v>
      </c>
      <c r="E32" s="9" t="s">
        <v>53</v>
      </c>
      <c r="F32" s="8"/>
      <c r="G32" s="32" t="s">
        <v>54</v>
      </c>
    </row>
    <row r="33" spans="2:7" x14ac:dyDescent="0.2">
      <c r="B33" s="26" t="s">
        <v>55</v>
      </c>
      <c r="C33" s="6" t="s">
        <v>80</v>
      </c>
      <c r="D33" s="18">
        <f>-G13</f>
        <v>28836</v>
      </c>
      <c r="E33" s="18">
        <f>D66</f>
        <v>0</v>
      </c>
      <c r="F33" s="6"/>
      <c r="G33" s="18">
        <f>D33+E33</f>
        <v>28836</v>
      </c>
    </row>
    <row r="34" spans="2:7" x14ac:dyDescent="0.2">
      <c r="B34" s="33" t="s">
        <v>57</v>
      </c>
      <c r="C34" s="8" t="s">
        <v>85</v>
      </c>
      <c r="D34" s="23">
        <f>-G14</f>
        <v>30240</v>
      </c>
      <c r="E34" s="23">
        <f>E66</f>
        <v>0</v>
      </c>
      <c r="F34" s="8"/>
      <c r="G34" s="23">
        <f>D34+E34</f>
        <v>30240</v>
      </c>
    </row>
    <row r="35" spans="2:7" x14ac:dyDescent="0.2">
      <c r="B35" s="33" t="s">
        <v>59</v>
      </c>
      <c r="C35" s="8" t="s">
        <v>96</v>
      </c>
      <c r="D35" s="23">
        <f>-G15</f>
        <v>-7122.7700000000186</v>
      </c>
      <c r="E35" s="23">
        <f>F66</f>
        <v>0</v>
      </c>
      <c r="F35" s="8"/>
      <c r="G35" s="23">
        <f>D35+E35</f>
        <v>-7122.7700000000186</v>
      </c>
    </row>
    <row r="36" spans="2:7" x14ac:dyDescent="0.2">
      <c r="B36" s="33" t="s">
        <v>61</v>
      </c>
      <c r="C36" s="8" t="s">
        <v>97</v>
      </c>
      <c r="D36" s="23">
        <f>-G16</f>
        <v>17944.010000000009</v>
      </c>
      <c r="E36" s="23">
        <f>G66</f>
        <v>0</v>
      </c>
      <c r="F36" s="8"/>
      <c r="G36" s="23">
        <f>D36+E36</f>
        <v>17944.010000000009</v>
      </c>
    </row>
    <row r="37" spans="2:7" x14ac:dyDescent="0.2">
      <c r="B37" s="10" t="s">
        <v>93</v>
      </c>
      <c r="C37" s="34"/>
      <c r="D37" s="35"/>
      <c r="E37" s="35"/>
      <c r="F37" s="36" t="s">
        <v>62</v>
      </c>
      <c r="G37" s="37">
        <f>G33+G34+G35+G36</f>
        <v>69897.239999999991</v>
      </c>
    </row>
    <row r="38" spans="2:7" x14ac:dyDescent="0.2">
      <c r="B38" s="38"/>
      <c r="G38" s="39"/>
    </row>
    <row r="39" spans="2:7" x14ac:dyDescent="0.2">
      <c r="B39" s="11">
        <v>9</v>
      </c>
      <c r="C39" s="40" t="s">
        <v>94</v>
      </c>
      <c r="D39" s="13"/>
      <c r="E39" s="13"/>
      <c r="F39" s="14"/>
      <c r="G39" s="37">
        <f>G23+G37</f>
        <v>118976.44000000006</v>
      </c>
    </row>
    <row r="40" spans="2:7" x14ac:dyDescent="0.2">
      <c r="B40" s="38"/>
      <c r="G40" s="39"/>
    </row>
    <row r="41" spans="2:7" x14ac:dyDescent="0.2">
      <c r="B41" s="11">
        <v>10</v>
      </c>
      <c r="C41" s="40" t="s">
        <v>79</v>
      </c>
      <c r="D41" s="13"/>
      <c r="E41" s="13"/>
      <c r="F41" s="14"/>
      <c r="G41" s="37">
        <f>G39/6</f>
        <v>19829.406666666677</v>
      </c>
    </row>
    <row r="43" spans="2:7" x14ac:dyDescent="0.2">
      <c r="B43" s="6"/>
      <c r="C43" s="41" t="s">
        <v>64</v>
      </c>
      <c r="D43" s="42"/>
      <c r="E43" s="42"/>
      <c r="F43" s="42"/>
      <c r="G43" s="43"/>
    </row>
    <row r="44" spans="2:7" x14ac:dyDescent="0.2">
      <c r="B44" s="6"/>
      <c r="C44" s="44"/>
      <c r="D44" s="44"/>
      <c r="E44" s="44"/>
      <c r="F44" s="44"/>
      <c r="G44" s="16"/>
    </row>
    <row r="45" spans="2:7" x14ac:dyDescent="0.2">
      <c r="B45" s="9">
        <v>11</v>
      </c>
      <c r="C45" s="45" t="s">
        <v>65</v>
      </c>
      <c r="D45" s="45"/>
      <c r="E45" s="45"/>
      <c r="F45" s="45"/>
      <c r="G45" s="46">
        <f>G17</f>
        <v>-69897.239999999991</v>
      </c>
    </row>
    <row r="46" spans="2:7" x14ac:dyDescent="0.2">
      <c r="B46" s="9">
        <v>12</v>
      </c>
      <c r="C46" s="45" t="s">
        <v>66</v>
      </c>
      <c r="D46" s="45"/>
      <c r="E46" s="45"/>
      <c r="F46" s="45"/>
      <c r="G46" s="47">
        <f>G37</f>
        <v>69897.239999999991</v>
      </c>
    </row>
    <row r="47" spans="2:7" x14ac:dyDescent="0.2">
      <c r="B47" s="9"/>
      <c r="C47" s="45"/>
      <c r="D47" s="45"/>
      <c r="E47" s="45"/>
      <c r="F47" s="45"/>
      <c r="G47" s="46"/>
    </row>
    <row r="48" spans="2:7" ht="15" thickBot="1" x14ac:dyDescent="0.25">
      <c r="B48" s="9">
        <v>13</v>
      </c>
      <c r="C48" s="45" t="s">
        <v>67</v>
      </c>
      <c r="D48" s="45"/>
      <c r="E48" s="45"/>
      <c r="F48" s="45"/>
      <c r="G48" s="48">
        <f>G45+G46</f>
        <v>0</v>
      </c>
    </row>
    <row r="49" spans="2:7" ht="15" thickTop="1" x14ac:dyDescent="0.2">
      <c r="B49" s="9"/>
      <c r="C49" s="45"/>
      <c r="D49" s="45"/>
      <c r="E49" s="45"/>
      <c r="F49" s="45"/>
      <c r="G49" s="46"/>
    </row>
    <row r="50" spans="2:7" x14ac:dyDescent="0.2">
      <c r="B50" s="9">
        <v>14</v>
      </c>
      <c r="C50" s="45" t="s">
        <v>68</v>
      </c>
      <c r="D50" s="45"/>
      <c r="E50" s="45"/>
      <c r="F50" s="45"/>
      <c r="G50" s="46">
        <f>G39</f>
        <v>118976.44000000006</v>
      </c>
    </row>
    <row r="51" spans="2:7" x14ac:dyDescent="0.2">
      <c r="B51" s="9"/>
      <c r="C51" s="45"/>
      <c r="D51" s="45"/>
      <c r="E51" s="45"/>
      <c r="F51" s="45"/>
      <c r="G51" s="46"/>
    </row>
    <row r="52" spans="2:7" x14ac:dyDescent="0.2">
      <c r="B52" s="9">
        <v>15</v>
      </c>
      <c r="C52" s="45" t="s">
        <v>69</v>
      </c>
      <c r="D52" s="45"/>
      <c r="E52" s="45"/>
      <c r="F52" s="45"/>
      <c r="G52" s="47">
        <f>SUM(F18:F23)</f>
        <v>118976.44000000006</v>
      </c>
    </row>
    <row r="53" spans="2:7" x14ac:dyDescent="0.2">
      <c r="B53" s="9"/>
      <c r="C53" s="45"/>
      <c r="D53" s="45"/>
      <c r="E53" s="45"/>
      <c r="F53" s="45"/>
      <c r="G53" s="46"/>
    </row>
    <row r="54" spans="2:7" ht="15" thickBot="1" x14ac:dyDescent="0.25">
      <c r="B54" s="9">
        <v>16</v>
      </c>
      <c r="C54" s="45" t="s">
        <v>70</v>
      </c>
      <c r="D54" s="45"/>
      <c r="E54" s="45"/>
      <c r="F54" s="45"/>
      <c r="G54" s="48">
        <f>G50-G52</f>
        <v>0</v>
      </c>
    </row>
    <row r="55" spans="2:7" ht="15" thickTop="1" x14ac:dyDescent="0.2">
      <c r="B55" s="49"/>
      <c r="C55" s="50"/>
      <c r="D55" s="50"/>
      <c r="E55" s="50"/>
      <c r="F55" s="50"/>
      <c r="G55" s="51"/>
    </row>
    <row r="57" spans="2:7" x14ac:dyDescent="0.2">
      <c r="B57" t="s">
        <v>71</v>
      </c>
    </row>
    <row r="58" spans="2:7" x14ac:dyDescent="0.2">
      <c r="B58" s="38"/>
      <c r="C58" s="6"/>
      <c r="D58" s="7" t="s">
        <v>81</v>
      </c>
      <c r="E58" s="7" t="s">
        <v>81</v>
      </c>
      <c r="F58" s="7" t="s">
        <v>81</v>
      </c>
      <c r="G58" s="7" t="s">
        <v>81</v>
      </c>
    </row>
    <row r="59" spans="2:7" x14ac:dyDescent="0.2">
      <c r="B59" s="38"/>
      <c r="C59" s="10" t="s">
        <v>25</v>
      </c>
      <c r="D59" s="10" t="s">
        <v>82</v>
      </c>
      <c r="E59" s="10" t="s">
        <v>86</v>
      </c>
      <c r="F59" s="10" t="s">
        <v>90</v>
      </c>
      <c r="G59" s="10" t="s">
        <v>98</v>
      </c>
    </row>
    <row r="60" spans="2:7" x14ac:dyDescent="0.2">
      <c r="C60" s="19">
        <v>44378</v>
      </c>
      <c r="D60" s="17">
        <v>0</v>
      </c>
      <c r="E60" s="17">
        <v>0</v>
      </c>
      <c r="F60" s="17">
        <v>0</v>
      </c>
      <c r="G60" s="17">
        <v>0</v>
      </c>
    </row>
    <row r="61" spans="2:7" x14ac:dyDescent="0.2">
      <c r="C61" s="21">
        <v>44409</v>
      </c>
      <c r="D61" s="52">
        <v>0</v>
      </c>
      <c r="E61" s="52">
        <v>0</v>
      </c>
      <c r="F61" s="52">
        <v>0</v>
      </c>
      <c r="G61" s="52">
        <v>0</v>
      </c>
    </row>
    <row r="62" spans="2:7" x14ac:dyDescent="0.2">
      <c r="C62" s="21">
        <v>44440</v>
      </c>
      <c r="D62" s="52">
        <v>0</v>
      </c>
      <c r="E62" s="52">
        <v>0</v>
      </c>
      <c r="F62" s="52">
        <v>0</v>
      </c>
      <c r="G62" s="52">
        <v>0</v>
      </c>
    </row>
    <row r="63" spans="2:7" x14ac:dyDescent="0.2">
      <c r="C63" s="21">
        <v>44470</v>
      </c>
      <c r="D63" s="52">
        <v>0</v>
      </c>
      <c r="E63" s="52">
        <v>0</v>
      </c>
      <c r="F63" s="52">
        <v>0</v>
      </c>
      <c r="G63" s="52">
        <v>0</v>
      </c>
    </row>
    <row r="64" spans="2:7" x14ac:dyDescent="0.2">
      <c r="C64" s="21">
        <v>44501</v>
      </c>
      <c r="D64" s="52">
        <v>0</v>
      </c>
      <c r="E64" s="52">
        <v>0</v>
      </c>
      <c r="F64" s="52">
        <v>0</v>
      </c>
      <c r="G64" s="52">
        <v>0</v>
      </c>
    </row>
    <row r="65" spans="3:7" x14ac:dyDescent="0.2">
      <c r="C65" s="21">
        <v>44531</v>
      </c>
      <c r="D65" s="52">
        <v>0</v>
      </c>
      <c r="E65" s="53">
        <v>0</v>
      </c>
      <c r="F65" s="53">
        <v>0</v>
      </c>
      <c r="G65" s="53">
        <v>0</v>
      </c>
    </row>
    <row r="66" spans="3:7" x14ac:dyDescent="0.2">
      <c r="C66" s="54" t="s">
        <v>76</v>
      </c>
      <c r="D66" s="37">
        <f>SUM(D60:D65)</f>
        <v>0</v>
      </c>
      <c r="E66" s="37">
        <f>SUM(E60:E65)</f>
        <v>0</v>
      </c>
      <c r="F66" s="37">
        <f>SUM(F60:F65)</f>
        <v>0</v>
      </c>
      <c r="G66" s="37">
        <f>SUM(G60:G65)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2022-06-15T13:38:30Z</dcterms:modified>
</cp:coreProperties>
</file>