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Env Surcharge Review Cases\PSC Case 2022-00141 - 30-Month Review\PSC DR1\Request 2\"/>
    </mc:Choice>
  </mc:AlternateContent>
  <bookViews>
    <workbookView xWindow="0" yWindow="0" windowWidth="18510" windowHeight="13950"/>
  </bookViews>
  <sheets>
    <sheet name="Summary" sheetId="1" r:id="rId1"/>
    <sheet name="A - 11-30-19" sheetId="2" r:id="rId2"/>
    <sheet name="B - 05-31-20" sheetId="3" r:id="rId3"/>
    <sheet name="C - 11-30-20" sheetId="4" r:id="rId4"/>
    <sheet name="D - 05-31-21" sheetId="5" r:id="rId5"/>
    <sheet name="E - 11-30-21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G16" i="6"/>
  <c r="D36" i="6" s="1"/>
  <c r="G15" i="6"/>
  <c r="D35" i="6" s="1"/>
  <c r="G35" i="6" s="1"/>
  <c r="G14" i="6"/>
  <c r="G13" i="6"/>
  <c r="D33" i="6" s="1"/>
  <c r="L21" i="6"/>
  <c r="L20" i="6"/>
  <c r="L19" i="6"/>
  <c r="L18" i="6"/>
  <c r="L17" i="6"/>
  <c r="L16" i="6"/>
  <c r="L15" i="6"/>
  <c r="L14" i="6"/>
  <c r="M14" i="6" s="1"/>
  <c r="M15" i="6" s="1"/>
  <c r="M16" i="6" s="1"/>
  <c r="M17" i="6" s="1"/>
  <c r="M18" i="6" s="1"/>
  <c r="M19" i="6" s="1"/>
  <c r="G66" i="6"/>
  <c r="E36" i="6" s="1"/>
  <c r="F66" i="6"/>
  <c r="E66" i="6"/>
  <c r="D66" i="6"/>
  <c r="E33" i="6" s="1"/>
  <c r="E35" i="6"/>
  <c r="E34" i="6"/>
  <c r="D34" i="6"/>
  <c r="G34" i="6" s="1"/>
  <c r="E25" i="6"/>
  <c r="D25" i="6"/>
  <c r="F25" i="6" s="1"/>
  <c r="E24" i="6"/>
  <c r="D24" i="6"/>
  <c r="F24" i="6" s="1"/>
  <c r="E23" i="6"/>
  <c r="D23" i="6"/>
  <c r="F23" i="6" s="1"/>
  <c r="E22" i="6"/>
  <c r="D22" i="6"/>
  <c r="F22" i="6" s="1"/>
  <c r="E21" i="6"/>
  <c r="D21" i="6"/>
  <c r="F21" i="6" s="1"/>
  <c r="E20" i="6"/>
  <c r="D20" i="6"/>
  <c r="F20" i="6" s="1"/>
  <c r="E19" i="6"/>
  <c r="D19" i="6"/>
  <c r="F19" i="6" s="1"/>
  <c r="E18" i="6"/>
  <c r="D18" i="6"/>
  <c r="F18" i="6" s="1"/>
  <c r="G36" i="6" l="1"/>
  <c r="G17" i="6"/>
  <c r="G45" i="6" s="1"/>
  <c r="M20" i="6"/>
  <c r="M21" i="6" s="1"/>
  <c r="M23" i="6"/>
  <c r="M25" i="6" s="1"/>
  <c r="G52" i="6"/>
  <c r="G33" i="6"/>
  <c r="G37" i="6" s="1"/>
  <c r="G46" i="6" s="1"/>
  <c r="G48" i="6" l="1"/>
  <c r="G18" i="6"/>
  <c r="G19" i="6" s="1"/>
  <c r="G20" i="6" s="1"/>
  <c r="G21" i="6" s="1"/>
  <c r="G22" i="6" s="1"/>
  <c r="G23" i="6" s="1"/>
  <c r="G39" i="6" s="1"/>
  <c r="G24" i="6"/>
  <c r="G25" i="6" s="1"/>
  <c r="G50" i="6" l="1"/>
  <c r="G54" i="6" s="1"/>
  <c r="G41" i="6"/>
  <c r="E11" i="1" l="1"/>
  <c r="G15" i="5"/>
  <c r="D34" i="5" s="1"/>
  <c r="G14" i="5"/>
  <c r="D33" i="5" s="1"/>
  <c r="G33" i="5" s="1"/>
  <c r="G13" i="5"/>
  <c r="D32" i="5" s="1"/>
  <c r="G32" i="5" s="1"/>
  <c r="L21" i="5"/>
  <c r="L20" i="5"/>
  <c r="L19" i="5"/>
  <c r="L18" i="5"/>
  <c r="L17" i="5"/>
  <c r="L16" i="5"/>
  <c r="K16" i="5"/>
  <c r="K15" i="5"/>
  <c r="L15" i="5" s="1"/>
  <c r="K14" i="5"/>
  <c r="L14" i="5" s="1"/>
  <c r="M14" i="5" s="1"/>
  <c r="M15" i="5" s="1"/>
  <c r="M16" i="5" s="1"/>
  <c r="M17" i="5" s="1"/>
  <c r="M18" i="5" s="1"/>
  <c r="M19" i="5" s="1"/>
  <c r="F64" i="5"/>
  <c r="E64" i="5"/>
  <c r="E33" i="5" s="1"/>
  <c r="D64" i="5"/>
  <c r="E34" i="5"/>
  <c r="E32" i="5"/>
  <c r="E24" i="5"/>
  <c r="D24" i="5"/>
  <c r="F24" i="5" s="1"/>
  <c r="E23" i="5"/>
  <c r="D23" i="5"/>
  <c r="F23" i="5" s="1"/>
  <c r="E22" i="5"/>
  <c r="D22" i="5"/>
  <c r="F22" i="5" s="1"/>
  <c r="E21" i="5"/>
  <c r="D21" i="5"/>
  <c r="F21" i="5" s="1"/>
  <c r="E20" i="5"/>
  <c r="D20" i="5"/>
  <c r="F20" i="5" s="1"/>
  <c r="E19" i="5"/>
  <c r="D19" i="5"/>
  <c r="F19" i="5" s="1"/>
  <c r="E18" i="5"/>
  <c r="D18" i="5"/>
  <c r="F18" i="5" s="1"/>
  <c r="E17" i="5"/>
  <c r="D17" i="5"/>
  <c r="F17" i="5" s="1"/>
  <c r="G34" i="5" l="1"/>
  <c r="G16" i="5"/>
  <c r="G43" i="5" s="1"/>
  <c r="M23" i="5"/>
  <c r="M25" i="5" s="1"/>
  <c r="M20" i="5"/>
  <c r="M21" i="5" s="1"/>
  <c r="G35" i="5"/>
  <c r="G44" i="5" s="1"/>
  <c r="G46" i="5" s="1"/>
  <c r="G50" i="5"/>
  <c r="G17" i="5" l="1"/>
  <c r="G18" i="5" s="1"/>
  <c r="G19" i="5" s="1"/>
  <c r="G20" i="5" s="1"/>
  <c r="G21" i="5" s="1"/>
  <c r="G22" i="5" s="1"/>
  <c r="G23" i="5" s="1"/>
  <c r="G24" i="5" s="1"/>
  <c r="G37" i="5" l="1"/>
  <c r="G48" i="5"/>
  <c r="G52" i="5" s="1"/>
  <c r="G39" i="5"/>
  <c r="E10" i="1" l="1"/>
  <c r="G15" i="4"/>
  <c r="G14" i="4"/>
  <c r="L21" i="4"/>
  <c r="K21" i="4"/>
  <c r="K20" i="4"/>
  <c r="L20" i="4" s="1"/>
  <c r="K19" i="4"/>
  <c r="L19" i="4" s="1"/>
  <c r="K18" i="4"/>
  <c r="L18" i="4" s="1"/>
  <c r="K17" i="4"/>
  <c r="L17" i="4" s="1"/>
  <c r="K16" i="4"/>
  <c r="L16" i="4" s="1"/>
  <c r="L15" i="4"/>
  <c r="K15" i="4"/>
  <c r="K14" i="4"/>
  <c r="L14" i="4" s="1"/>
  <c r="M14" i="4" s="1"/>
  <c r="M15" i="4" s="1"/>
  <c r="M16" i="4" s="1"/>
  <c r="F64" i="4"/>
  <c r="E64" i="4"/>
  <c r="E33" i="4" s="1"/>
  <c r="D64" i="4"/>
  <c r="E34" i="4"/>
  <c r="G34" i="4" s="1"/>
  <c r="D34" i="4"/>
  <c r="D33" i="4"/>
  <c r="G33" i="4" s="1"/>
  <c r="E32" i="4"/>
  <c r="D32" i="4"/>
  <c r="G32" i="4" s="1"/>
  <c r="E24" i="4"/>
  <c r="D24" i="4"/>
  <c r="F24" i="4" s="1"/>
  <c r="E23" i="4"/>
  <c r="D23" i="4"/>
  <c r="F23" i="4" s="1"/>
  <c r="E22" i="4"/>
  <c r="D22" i="4"/>
  <c r="F22" i="4" s="1"/>
  <c r="E21" i="4"/>
  <c r="D21" i="4"/>
  <c r="F21" i="4" s="1"/>
  <c r="E20" i="4"/>
  <c r="D20" i="4"/>
  <c r="F20" i="4" s="1"/>
  <c r="E19" i="4"/>
  <c r="D19" i="4"/>
  <c r="F19" i="4" s="1"/>
  <c r="E18" i="4"/>
  <c r="D18" i="4"/>
  <c r="F18" i="4" s="1"/>
  <c r="E17" i="4"/>
  <c r="D17" i="4"/>
  <c r="F17" i="4" s="1"/>
  <c r="G16" i="4"/>
  <c r="G43" i="4" s="1"/>
  <c r="M17" i="4" l="1"/>
  <c r="M18" i="4" s="1"/>
  <c r="M19" i="4" s="1"/>
  <c r="G50" i="4"/>
  <c r="G35" i="4"/>
  <c r="G44" i="4" s="1"/>
  <c r="G46" i="4" s="1"/>
  <c r="G17" i="4"/>
  <c r="G18" i="4" s="1"/>
  <c r="G19" i="4" s="1"/>
  <c r="G20" i="4" s="1"/>
  <c r="G21" i="4" s="1"/>
  <c r="G22" i="4" s="1"/>
  <c r="M20" i="4" l="1"/>
  <c r="M21" i="4" s="1"/>
  <c r="M23" i="4"/>
  <c r="M25" i="4" s="1"/>
  <c r="G23" i="4"/>
  <c r="G24" i="4" s="1"/>
  <c r="G37" i="4"/>
  <c r="G48" i="4" l="1"/>
  <c r="G52" i="4" s="1"/>
  <c r="G39" i="4"/>
  <c r="E9" i="1" l="1"/>
  <c r="K21" i="3"/>
  <c r="K20" i="3"/>
  <c r="L20" i="3" s="1"/>
  <c r="K19" i="3"/>
  <c r="L19" i="3" s="1"/>
  <c r="K18" i="3"/>
  <c r="K17" i="3"/>
  <c r="E24" i="3"/>
  <c r="E23" i="3"/>
  <c r="E22" i="3"/>
  <c r="E21" i="3"/>
  <c r="E20" i="3"/>
  <c r="G15" i="3"/>
  <c r="D34" i="3" s="1"/>
  <c r="L21" i="3"/>
  <c r="L18" i="3"/>
  <c r="L17" i="3"/>
  <c r="L16" i="3"/>
  <c r="L15" i="3"/>
  <c r="L14" i="3"/>
  <c r="M14" i="3" s="1"/>
  <c r="M15" i="3" s="1"/>
  <c r="M16" i="3" s="1"/>
  <c r="F64" i="3"/>
  <c r="E64" i="3"/>
  <c r="E33" i="3" s="1"/>
  <c r="D64" i="3"/>
  <c r="E32" i="3" s="1"/>
  <c r="G32" i="3" s="1"/>
  <c r="E34" i="3"/>
  <c r="D33" i="3"/>
  <c r="G33" i="3" s="1"/>
  <c r="D32" i="3"/>
  <c r="D24" i="3"/>
  <c r="F23" i="3"/>
  <c r="D23" i="3"/>
  <c r="D22" i="3"/>
  <c r="F21" i="3"/>
  <c r="D21" i="3"/>
  <c r="D20" i="3"/>
  <c r="F20" i="3" s="1"/>
  <c r="D19" i="3"/>
  <c r="F19" i="3" s="1"/>
  <c r="D18" i="3"/>
  <c r="F18" i="3" s="1"/>
  <c r="D17" i="3"/>
  <c r="F17" i="3" s="1"/>
  <c r="M17" i="3" l="1"/>
  <c r="M18" i="3" s="1"/>
  <c r="M19" i="3" s="1"/>
  <c r="M23" i="3" s="1"/>
  <c r="M25" i="3" s="1"/>
  <c r="F24" i="3"/>
  <c r="F22" i="3"/>
  <c r="G16" i="3"/>
  <c r="G17" i="3" s="1"/>
  <c r="G18" i="3" s="1"/>
  <c r="G19" i="3" s="1"/>
  <c r="G20" i="3" s="1"/>
  <c r="G21" i="3" s="1"/>
  <c r="G22" i="3" s="1"/>
  <c r="G23" i="3" s="1"/>
  <c r="G24" i="3" s="1"/>
  <c r="G34" i="3"/>
  <c r="G35" i="3" s="1"/>
  <c r="G44" i="3" s="1"/>
  <c r="G50" i="3"/>
  <c r="M20" i="3" l="1"/>
  <c r="M21" i="3" s="1"/>
  <c r="G43" i="3"/>
  <c r="G46" i="3" s="1"/>
  <c r="G37" i="3"/>
  <c r="G48" i="3" l="1"/>
  <c r="G52" i="3" s="1"/>
  <c r="G39" i="3"/>
  <c r="E8" i="1" l="1"/>
  <c r="F64" i="2"/>
  <c r="E34" i="2" s="1"/>
  <c r="E64" i="2"/>
  <c r="D64" i="2"/>
  <c r="G43" i="2"/>
  <c r="D34" i="2"/>
  <c r="G34" i="2" s="1"/>
  <c r="E33" i="2"/>
  <c r="G33" i="2" s="1"/>
  <c r="D33" i="2"/>
  <c r="E32" i="2"/>
  <c r="D32" i="2"/>
  <c r="G32" i="2" s="1"/>
  <c r="D24" i="2"/>
  <c r="F24" i="2" s="1"/>
  <c r="F23" i="2"/>
  <c r="D23" i="2"/>
  <c r="D22" i="2"/>
  <c r="F22" i="2" s="1"/>
  <c r="D21" i="2"/>
  <c r="F21" i="2" s="1"/>
  <c r="D20" i="2"/>
  <c r="F20" i="2" s="1"/>
  <c r="D19" i="2"/>
  <c r="F19" i="2" s="1"/>
  <c r="F18" i="2"/>
  <c r="D18" i="2"/>
  <c r="D17" i="2"/>
  <c r="F17" i="2" s="1"/>
  <c r="G16" i="2"/>
  <c r="G17" i="2" s="1"/>
  <c r="G18" i="2" s="1"/>
  <c r="G19" i="2" s="1"/>
  <c r="G20" i="2" s="1"/>
  <c r="G50" i="2" l="1"/>
  <c r="G21" i="2"/>
  <c r="G22" i="2" s="1"/>
  <c r="G35" i="2"/>
  <c r="G44" i="2" s="1"/>
  <c r="G46" i="2" s="1"/>
  <c r="G23" i="2" l="1"/>
  <c r="G24" i="2" s="1"/>
  <c r="G37" i="2"/>
  <c r="G39" i="2" l="1"/>
  <c r="G48" i="2"/>
  <c r="G52" i="2" s="1"/>
  <c r="E14" i="1" l="1"/>
  <c r="F12" i="1"/>
  <c r="F11" i="1"/>
  <c r="F10" i="1"/>
  <c r="F9" i="1"/>
  <c r="F8" i="1"/>
  <c r="F14" i="1" l="1"/>
  <c r="E24" i="1"/>
  <c r="E26" i="1"/>
  <c r="A1" i="6"/>
  <c r="A1" i="5"/>
  <c r="A1" i="4"/>
  <c r="A1" i="3"/>
  <c r="A1" i="2"/>
</calcChain>
</file>

<file path=xl/sharedStrings.xml><?xml version="1.0" encoding="utf-8"?>
<sst xmlns="http://schemas.openxmlformats.org/spreadsheetml/2006/main" count="457" uniqueCount="109">
  <si>
    <t>Net (Over)/Under-Recovery of Environmental Surcharge</t>
  </si>
  <si>
    <t>From:</t>
  </si>
  <si>
    <t>Amount</t>
  </si>
  <si>
    <t xml:space="preserve">  Tab "A - 11-30-19", Line No. 9</t>
  </si>
  <si>
    <t xml:space="preserve">  Tab "C - 11-30-20", Line No. 9</t>
  </si>
  <si>
    <t xml:space="preserve">  Tab "B - 05-31-20", Line No. 9</t>
  </si>
  <si>
    <t xml:space="preserve">  Tab "E - 11-30-21", Line No. 9</t>
  </si>
  <si>
    <t xml:space="preserve">  Tab "D - 05-31-21", Line No. 9</t>
  </si>
  <si>
    <t>Total Net (Over)/Under-Recovery for Review Period</t>
  </si>
  <si>
    <t>Amortization Options for Total Net (Over)/Under-Recovery</t>
  </si>
  <si>
    <t>Traditional 6-Month Amortization Period</t>
  </si>
  <si>
    <t>Option - 12-Month Amortization Period</t>
  </si>
  <si>
    <t>DR1 Response 2 - Shelby Surcharge Summary.xlsx</t>
  </si>
  <si>
    <t>Shelby Energy Cooperative</t>
  </si>
  <si>
    <t>Please note that during the 30-month review period that Shelby began to directly pass through</t>
  </si>
  <si>
    <t>the EKPC surcharge amounts for customers served under Rate B.  Since these are</t>
  </si>
  <si>
    <t>direct pass throughs, there is no over- or under-recovery associated with those customers.</t>
  </si>
  <si>
    <t>Shelby - Calculation of (Over)/Under Recovery</t>
  </si>
  <si>
    <t>Billed to Retail</t>
  </si>
  <si>
    <t>EKPC Invoice</t>
  </si>
  <si>
    <t>Consumer &amp;</t>
  </si>
  <si>
    <t>Month recorded</t>
  </si>
  <si>
    <t xml:space="preserve">recorded on </t>
  </si>
  <si>
    <t>Monthly</t>
  </si>
  <si>
    <t>Cumulative</t>
  </si>
  <si>
    <t>Member's Books</t>
  </si>
  <si>
    <t>(Over) or Under</t>
  </si>
  <si>
    <t>Line No.</t>
  </si>
  <si>
    <t>Month &amp; Year</t>
  </si>
  <si>
    <t>(2)</t>
  </si>
  <si>
    <t>(3)</t>
  </si>
  <si>
    <t>(4)</t>
  </si>
  <si>
    <t>(5)</t>
  </si>
  <si>
    <t>Previous (Over)/Under-Recovery Remaining to be Amortized</t>
  </si>
  <si>
    <t>1a</t>
  </si>
  <si>
    <t>From Case No. 2018-00306 (Over)/Under-Recovery</t>
  </si>
  <si>
    <t>1b</t>
  </si>
  <si>
    <t>From Case No. 2019-00171 (Over)/Under-Recovery</t>
  </si>
  <si>
    <t>1c</t>
  </si>
  <si>
    <t>From Case No. 2019-00380 (Over)/Under-Recovery</t>
  </si>
  <si>
    <t>1d</t>
  </si>
  <si>
    <t>Total Previous (Over)/Under-Recovery</t>
  </si>
  <si>
    <t>Post</t>
  </si>
  <si>
    <t>Review</t>
  </si>
  <si>
    <t>Less Adjustment for Order amounts remaining to be amortized at end of review period December 2019</t>
  </si>
  <si>
    <t>Amount Per Case</t>
  </si>
  <si>
    <t>Amortization of</t>
  </si>
  <si>
    <t>Order Remaining</t>
  </si>
  <si>
    <t>Previous</t>
  </si>
  <si>
    <t>to be Amortized at</t>
  </si>
  <si>
    <t>(Over)/Under</t>
  </si>
  <si>
    <t>Order Remaining to</t>
  </si>
  <si>
    <t>beginning of Review</t>
  </si>
  <si>
    <t>Recoveries During</t>
  </si>
  <si>
    <t>be Amortized at end</t>
  </si>
  <si>
    <t>Period</t>
  </si>
  <si>
    <t>Review Period</t>
  </si>
  <si>
    <t>of Review Period</t>
  </si>
  <si>
    <t>8a</t>
  </si>
  <si>
    <t>Case No. 2018-00306 Recovery</t>
  </si>
  <si>
    <t>8b</t>
  </si>
  <si>
    <t>Case No. 2019-00171 Recovery</t>
  </si>
  <si>
    <t>8c</t>
  </si>
  <si>
    <t>Case No. 2019-00380 Recovery</t>
  </si>
  <si>
    <t>8d</t>
  </si>
  <si>
    <t xml:space="preserve">Total Order amounts remaining - Over/(Under):      </t>
  </si>
  <si>
    <t>Cumulative six month (Over)/Under-Recovery [Cumulative net of remaining Case amortizations (Ln 7&amp;8d)]</t>
  </si>
  <si>
    <t>Reconciliation:</t>
  </si>
  <si>
    <t>Previous (Over)/Under-Recovery Remaining to be Amortized, beginning of Review Period</t>
  </si>
  <si>
    <t>Previous (Over)/Under-Recovery Remaining to be Amortized, ending of Review Period</t>
  </si>
  <si>
    <t>Total Amortization during Review Period</t>
  </si>
  <si>
    <t>(Over)/Under-Recovery from Column 5, Line 9</t>
  </si>
  <si>
    <t>Less:  Total Monthly (Over)/Under-Recovery for Review Period (Column 4, Lines 2 thru 7)</t>
  </si>
  <si>
    <t>Difference</t>
  </si>
  <si>
    <t>Amortization Detail, Column 3, Line 8:</t>
  </si>
  <si>
    <t>Case No.</t>
  </si>
  <si>
    <t>2018-00306</t>
  </si>
  <si>
    <t>2019-00171</t>
  </si>
  <si>
    <t>2019-00380</t>
  </si>
  <si>
    <t xml:space="preserve">Totals  </t>
  </si>
  <si>
    <t>Monthly recovery (per month for six months)</t>
  </si>
  <si>
    <t>Rate E</t>
  </si>
  <si>
    <t>Less Adjustment for Order amounts remaining to be amortized at end of review period June 2020</t>
  </si>
  <si>
    <t>Shelby - Calculation of (Over)/Under Recovery - Direct Surcharge Pass-Throughs</t>
  </si>
  <si>
    <t>Rate B</t>
  </si>
  <si>
    <t>(1)</t>
  </si>
  <si>
    <t>Cumulative 6-month (Over)/Under Recovery</t>
  </si>
  <si>
    <t>Monthly Recovery (per month for six months)</t>
  </si>
  <si>
    <t>From Tab "A - 11-30-19" (Over)/Under-Recovery</t>
  </si>
  <si>
    <t>Tab "A - 11-30-19" Recovery</t>
  </si>
  <si>
    <t>Tab</t>
  </si>
  <si>
    <t>"A - 11-30-19"</t>
  </si>
  <si>
    <t>Less Adjustment for Order amounts remaining to be amortized at end of review period December 2020</t>
  </si>
  <si>
    <t>From Tab "B - 05-31-20" (Over)/Under-Recovery</t>
  </si>
  <si>
    <t>Tab "B - 05-31-20" Recovery</t>
  </si>
  <si>
    <t>"B - 05-31-20"</t>
  </si>
  <si>
    <t>Less Adjustment for Order amounts remaining to be amortized at end of review period June 2021</t>
  </si>
  <si>
    <t>From Tab "C - 11-30-20" (Over)/Under-Recovery</t>
  </si>
  <si>
    <t>Tab "C - 11-30-20" Recovery</t>
  </si>
  <si>
    <t>"C - 11-30-20"</t>
  </si>
  <si>
    <t>1e</t>
  </si>
  <si>
    <t>Less Adjustment for Order amounts remaining to be amortized at end of review period December 2021</t>
  </si>
  <si>
    <t>8e</t>
  </si>
  <si>
    <t>Cumulative six month (Over)/Under-Recovery [Cumulative net of remaining Case amortizations (Ln 7&amp;8e)]</t>
  </si>
  <si>
    <t>From Tab "D - 05-31-21" (Over)/Under-Recovery</t>
  </si>
  <si>
    <t xml:space="preserve">Tab "B - 05-31-20" Recovery </t>
  </si>
  <si>
    <t xml:space="preserve">Tab "C - 11-30-20" Recovery </t>
  </si>
  <si>
    <t>Tab "D - 05-31-21" Recovery</t>
  </si>
  <si>
    <t>"D - 05-31-21"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</si>
</sst>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\-yy;@"/>
  </numFmts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4" fontId="4" fillId="0" borderId="0" applyFont="0" applyFill="0" applyBorder="0" applyAlignment="0" applyProtection="0"/>
  </cellStyleXfs>
  <cellXfs count="10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6" fontId="0" fillId="0" borderId="0" xfId="0" applyNumberFormat="1"/>
    <xf numFmtId="6" fontId="0" fillId="0" borderId="2" xfId="0" applyNumberFormat="1" applyBorder="1"/>
    <xf numFmtId="6" fontId="0" fillId="0" borderId="3" xfId="0" applyNumberFormat="1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5" fontId="0" fillId="0" borderId="12" xfId="0" applyNumberFormat="1" applyFill="1" applyBorder="1"/>
    <xf numFmtId="0" fontId="0" fillId="0" borderId="6" xfId="0" applyBorder="1"/>
    <xf numFmtId="5" fontId="0" fillId="0" borderId="9" xfId="0" applyNumberFormat="1" applyFill="1" applyBorder="1"/>
    <xf numFmtId="5" fontId="0" fillId="0" borderId="9" xfId="0" applyNumberFormat="1" applyBorder="1"/>
    <xf numFmtId="164" fontId="0" fillId="0" borderId="9" xfId="0" applyNumberFormat="1" applyBorder="1" applyAlignment="1">
      <alignment horizontal="right"/>
    </xf>
    <xf numFmtId="5" fontId="0" fillId="3" borderId="9" xfId="0" applyNumberFormat="1" applyFill="1" applyBorder="1"/>
    <xf numFmtId="5" fontId="0" fillId="0" borderId="4" xfId="0" applyNumberFormat="1" applyBorder="1"/>
    <xf numFmtId="164" fontId="0" fillId="0" borderId="10" xfId="0" applyNumberFormat="1" applyBorder="1" applyAlignment="1">
      <alignment horizontal="right"/>
    </xf>
    <xf numFmtId="5" fontId="0" fillId="3" borderId="10" xfId="0" applyNumberFormat="1" applyFill="1" applyBorder="1"/>
    <xf numFmtId="5" fontId="0" fillId="0" borderId="16" xfId="0" applyNumberFormat="1" applyBorder="1"/>
    <xf numFmtId="5" fontId="0" fillId="0" borderId="10" xfId="0" applyNumberFormat="1" applyBorder="1"/>
    <xf numFmtId="5" fontId="0" fillId="0" borderId="7" xfId="0" applyNumberFormat="1" applyBorder="1"/>
    <xf numFmtId="5" fontId="0" fillId="0" borderId="11" xfId="0" applyNumberFormat="1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11" xfId="0" applyNumberFormat="1" applyBorder="1" applyAlignment="1">
      <alignment horizontal="right"/>
    </xf>
    <xf numFmtId="0" fontId="0" fillId="2" borderId="11" xfId="0" applyFill="1" applyBorder="1" applyAlignment="1">
      <alignment horizontal="left"/>
    </xf>
    <xf numFmtId="0" fontId="0" fillId="2" borderId="2" xfId="0" applyFill="1" applyBorder="1"/>
    <xf numFmtId="5" fontId="0" fillId="2" borderId="8" xfId="0" applyNumberFormat="1" applyFill="1" applyBorder="1"/>
    <xf numFmtId="5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5" fontId="0" fillId="0" borderId="8" xfId="0" applyNumberFormat="1" applyBorder="1"/>
    <xf numFmtId="0" fontId="0" fillId="0" borderId="17" xfId="0" applyBorder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5" fontId="0" fillId="0" borderId="12" xfId="0" applyNumberFormat="1" applyBorder="1"/>
    <xf numFmtId="0" fontId="0" fillId="0" borderId="0" xfId="0" applyAlignment="1">
      <alignment horizontal="center"/>
    </xf>
    <xf numFmtId="5" fontId="0" fillId="0" borderId="0" xfId="0" applyNumberFormat="1"/>
    <xf numFmtId="0" fontId="0" fillId="0" borderId="13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5" xfId="0" applyBorder="1"/>
    <xf numFmtId="0" fontId="0" fillId="0" borderId="0" xfId="0" applyBorder="1"/>
    <xf numFmtId="5" fontId="0" fillId="0" borderId="17" xfId="0" applyNumberFormat="1" applyBorder="1"/>
    <xf numFmtId="5" fontId="0" fillId="0" borderId="18" xfId="0" applyNumberFormat="1" applyBorder="1"/>
    <xf numFmtId="0" fontId="0" fillId="0" borderId="11" xfId="0" applyBorder="1"/>
    <xf numFmtId="0" fontId="0" fillId="0" borderId="2" xfId="0" applyBorder="1"/>
    <xf numFmtId="0" fontId="0" fillId="0" borderId="8" xfId="0" applyBorder="1"/>
    <xf numFmtId="5" fontId="0" fillId="0" borderId="10" xfId="0" applyNumberFormat="1" applyFill="1" applyBorder="1"/>
    <xf numFmtId="5" fontId="0" fillId="0" borderId="11" xfId="0" applyNumberFormat="1" applyFill="1" applyBorder="1"/>
    <xf numFmtId="0" fontId="0" fillId="0" borderId="12" xfId="0" applyBorder="1" applyAlignment="1">
      <alignment horizontal="right"/>
    </xf>
    <xf numFmtId="5" fontId="0" fillId="0" borderId="4" xfId="0" applyNumberFormat="1" applyFill="1" applyBorder="1"/>
    <xf numFmtId="5" fontId="0" fillId="0" borderId="16" xfId="0" applyNumberFormat="1" applyFill="1" applyBorder="1"/>
    <xf numFmtId="5" fontId="0" fillId="0" borderId="7" xfId="0" applyNumberFormat="1" applyFill="1" applyBorder="1"/>
    <xf numFmtId="0" fontId="3" fillId="0" borderId="0" xfId="1"/>
    <xf numFmtId="0" fontId="1" fillId="0" borderId="0" xfId="1" applyFont="1"/>
    <xf numFmtId="0" fontId="2" fillId="0" borderId="9" xfId="1" applyFont="1" applyBorder="1"/>
    <xf numFmtId="0" fontId="2" fillId="0" borderId="9" xfId="1" applyFont="1" applyBorder="1" applyAlignment="1">
      <alignment horizontal="center"/>
    </xf>
    <xf numFmtId="0" fontId="2" fillId="0" borderId="10" xfId="1" applyFont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49" fontId="2" fillId="0" borderId="12" xfId="1" applyNumberFormat="1" applyFont="1" applyBorder="1" applyAlignment="1">
      <alignment horizontal="center"/>
    </xf>
    <xf numFmtId="17" fontId="5" fillId="0" borderId="9" xfId="2" applyNumberFormat="1" applyFont="1" applyFill="1" applyBorder="1"/>
    <xf numFmtId="5" fontId="2" fillId="0" borderId="10" xfId="3" applyNumberFormat="1" applyFont="1" applyFill="1" applyBorder="1" applyAlignment="1">
      <alignment horizontal="right"/>
    </xf>
    <xf numFmtId="5" fontId="2" fillId="0" borderId="0" xfId="3" applyNumberFormat="1" applyFont="1" applyFill="1" applyBorder="1" applyAlignment="1">
      <alignment horizontal="right"/>
    </xf>
    <xf numFmtId="5" fontId="2" fillId="0" borderId="9" xfId="1" applyNumberFormat="1" applyFont="1" applyBorder="1"/>
    <xf numFmtId="5" fontId="2" fillId="0" borderId="10" xfId="1" applyNumberFormat="1" applyFont="1" applyBorder="1"/>
    <xf numFmtId="17" fontId="5" fillId="0" borderId="10" xfId="2" applyNumberFormat="1" applyFont="1" applyFill="1" applyBorder="1"/>
    <xf numFmtId="17" fontId="5" fillId="0" borderId="11" xfId="2" applyNumberFormat="1" applyFont="1" applyFill="1" applyBorder="1"/>
    <xf numFmtId="5" fontId="2" fillId="0" borderId="11" xfId="1" applyNumberFormat="1" applyFont="1" applyBorder="1"/>
    <xf numFmtId="0" fontId="2" fillId="0" borderId="0" xfId="1" applyFont="1"/>
    <xf numFmtId="0" fontId="2" fillId="0" borderId="13" xfId="1" applyFont="1" applyBorder="1"/>
    <xf numFmtId="0" fontId="2" fillId="0" borderId="14" xfId="1" applyFont="1" applyBorder="1"/>
    <xf numFmtId="0" fontId="2" fillId="0" borderId="15" xfId="1" applyFont="1" applyBorder="1"/>
    <xf numFmtId="5" fontId="2" fillId="0" borderId="12" xfId="1" applyNumberFormat="1" applyFont="1" applyBorder="1"/>
    <xf numFmtId="5" fontId="2" fillId="0" borderId="0" xfId="1" applyNumberFormat="1" applyFont="1"/>
    <xf numFmtId="5" fontId="2" fillId="0" borderId="10" xfId="1" applyNumberFormat="1" applyFont="1" applyFill="1" applyBorder="1"/>
    <xf numFmtId="5" fontId="2" fillId="0" borderId="11" xfId="1" applyNumberFormat="1" applyFont="1" applyFill="1" applyBorder="1"/>
    <xf numFmtId="5" fontId="2" fillId="0" borderId="9" xfId="1" applyNumberFormat="1" applyFont="1" applyFill="1" applyBorder="1"/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1" fillId="0" borderId="4" xfId="1" applyFont="1" applyBorder="1" applyAlignment="1">
      <alignment horizontal="center" wrapText="1"/>
    </xf>
    <xf numFmtId="0" fontId="1" fillId="0" borderId="5" xfId="1" applyFont="1" applyBorder="1" applyAlignment="1">
      <alignment horizontal="center" wrapText="1"/>
    </xf>
    <xf numFmtId="0" fontId="1" fillId="0" borderId="6" xfId="1" applyFont="1" applyBorder="1" applyAlignment="1">
      <alignment horizontal="center" wrapText="1"/>
    </xf>
    <xf numFmtId="0" fontId="1" fillId="0" borderId="7" xfId="1" applyFont="1" applyBorder="1" applyAlignment="1">
      <alignment horizontal="center" wrapText="1"/>
    </xf>
    <xf numFmtId="0" fontId="1" fillId="0" borderId="2" xfId="1" applyFont="1" applyBorder="1" applyAlignment="1">
      <alignment horizontal="center" wrapText="1"/>
    </xf>
    <xf numFmtId="0" fontId="1" fillId="0" borderId="8" xfId="1" applyFont="1" applyBorder="1" applyAlignment="1">
      <alignment horizontal="center" wrapText="1"/>
    </xf>
  </cellXfs>
  <cellStyles count="4">
    <cellStyle name="Currency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A4" sqref="A4"/>
    </sheetView>
  </sheetViews>
  <sheetFormatPr defaultColWidth="15.625" defaultRowHeight="14.25" x14ac:dyDescent="0.2"/>
  <sheetData>
    <row r="1" spans="1:6" x14ac:dyDescent="0.2">
      <c r="A1" t="s">
        <v>12</v>
      </c>
    </row>
    <row r="3" spans="1:6" ht="15" x14ac:dyDescent="0.25">
      <c r="C3" s="88" t="s">
        <v>13</v>
      </c>
      <c r="D3" s="88"/>
      <c r="E3" s="88"/>
    </row>
    <row r="4" spans="1:6" ht="15" x14ac:dyDescent="0.25">
      <c r="B4" s="88" t="s">
        <v>0</v>
      </c>
      <c r="C4" s="88"/>
      <c r="D4" s="88"/>
      <c r="E4" s="88"/>
      <c r="F4" s="88"/>
    </row>
    <row r="6" spans="1:6" ht="15" thickBot="1" x14ac:dyDescent="0.25">
      <c r="E6" s="1" t="s">
        <v>2</v>
      </c>
    </row>
    <row r="7" spans="1:6" x14ac:dyDescent="0.2">
      <c r="B7" t="s">
        <v>1</v>
      </c>
    </row>
    <row r="8" spans="1:6" x14ac:dyDescent="0.2">
      <c r="B8" t="s">
        <v>3</v>
      </c>
      <c r="E8" s="3">
        <f>'A - 11-30-19'!G37</f>
        <v>49194.81</v>
      </c>
      <c r="F8" s="2" t="str">
        <f>IF(E8&gt;0,"Under-Recovery","Over-Recovery")</f>
        <v>Under-Recovery</v>
      </c>
    </row>
    <row r="9" spans="1:6" x14ac:dyDescent="0.2">
      <c r="B9" t="s">
        <v>5</v>
      </c>
      <c r="E9" s="3">
        <f>'B - 05-31-20'!G37</f>
        <v>-107824.50999999992</v>
      </c>
      <c r="F9" s="2" t="str">
        <f t="shared" ref="F9:F12" si="0">IF(E9&gt;0,"Under-Recovery","Over-Recovery")</f>
        <v>Over-Recovery</v>
      </c>
    </row>
    <row r="10" spans="1:6" x14ac:dyDescent="0.2">
      <c r="B10" t="s">
        <v>4</v>
      </c>
      <c r="E10" s="3">
        <f>'C - 11-30-20'!G37</f>
        <v>477944.62999999989</v>
      </c>
      <c r="F10" s="2" t="str">
        <f t="shared" si="0"/>
        <v>Under-Recovery</v>
      </c>
    </row>
    <row r="11" spans="1:6" x14ac:dyDescent="0.2">
      <c r="B11" t="s">
        <v>7</v>
      </c>
      <c r="E11" s="3">
        <f>'D - 05-31-21'!G37</f>
        <v>137414.79000000004</v>
      </c>
      <c r="F11" s="2" t="str">
        <f t="shared" si="0"/>
        <v>Under-Recovery</v>
      </c>
    </row>
    <row r="12" spans="1:6" x14ac:dyDescent="0.2">
      <c r="B12" t="s">
        <v>6</v>
      </c>
      <c r="E12" s="4">
        <f>'E - 11-30-21'!G39</f>
        <v>211462.24</v>
      </c>
      <c r="F12" s="2" t="str">
        <f t="shared" si="0"/>
        <v>Under-Recovery</v>
      </c>
    </row>
    <row r="13" spans="1:6" x14ac:dyDescent="0.2">
      <c r="E13" s="3"/>
    </row>
    <row r="14" spans="1:6" ht="15" thickBot="1" x14ac:dyDescent="0.25">
      <c r="B14" t="s">
        <v>8</v>
      </c>
      <c r="E14" s="5">
        <f>SUM(E8:E12)</f>
        <v>768191.96</v>
      </c>
      <c r="F14" s="2" t="str">
        <f>IF(E14&gt;0,"Under-Recovery","Over-Recovery")</f>
        <v>Under-Recovery</v>
      </c>
    </row>
    <row r="15" spans="1:6" ht="15" thickTop="1" x14ac:dyDescent="0.2"/>
    <row r="17" spans="2:6" x14ac:dyDescent="0.2">
      <c r="B17" t="s">
        <v>14</v>
      </c>
    </row>
    <row r="18" spans="2:6" x14ac:dyDescent="0.2">
      <c r="B18" t="s">
        <v>15</v>
      </c>
    </row>
    <row r="19" spans="2:6" x14ac:dyDescent="0.2">
      <c r="B19" t="s">
        <v>16</v>
      </c>
    </row>
    <row r="22" spans="2:6" ht="15" x14ac:dyDescent="0.25">
      <c r="B22" s="88" t="s">
        <v>9</v>
      </c>
      <c r="C22" s="88"/>
      <c r="D22" s="88"/>
      <c r="E22" s="88"/>
      <c r="F22" s="88"/>
    </row>
    <row r="24" spans="2:6" x14ac:dyDescent="0.2">
      <c r="B24" t="s">
        <v>10</v>
      </c>
      <c r="E24" s="3">
        <f>ROUND(E14/6,0)</f>
        <v>128032</v>
      </c>
    </row>
    <row r="25" spans="2:6" x14ac:dyDescent="0.2">
      <c r="E25" s="3"/>
    </row>
    <row r="26" spans="2:6" x14ac:dyDescent="0.2">
      <c r="B26" t="s">
        <v>11</v>
      </c>
      <c r="E26" s="3">
        <f>ROUND(E14/12,0)</f>
        <v>64016</v>
      </c>
    </row>
    <row r="27" spans="2:6" x14ac:dyDescent="0.2">
      <c r="E27" s="3"/>
    </row>
  </sheetData>
  <mergeCells count="3">
    <mergeCell ref="B4:F4"/>
    <mergeCell ref="C3:E3"/>
    <mergeCell ref="B22:F2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C40" sqref="C40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21.125" customWidth="1"/>
    <col min="7" max="7" width="17.625" customWidth="1"/>
  </cols>
  <sheetData>
    <row r="1" spans="1:7" x14ac:dyDescent="0.2">
      <c r="A1" t="str">
        <f>Summary!A1</f>
        <v>DR1 Response 2 - Shelby Surcharge Summary.xlsx</v>
      </c>
    </row>
    <row r="4" spans="1:7" x14ac:dyDescent="0.2">
      <c r="B4" s="89" t="s">
        <v>17</v>
      </c>
      <c r="C4" s="90"/>
      <c r="D4" s="90"/>
      <c r="E4" s="90"/>
      <c r="F4" s="90"/>
      <c r="G4" s="91"/>
    </row>
    <row r="5" spans="1:7" x14ac:dyDescent="0.2">
      <c r="B5" s="92"/>
      <c r="C5" s="93"/>
      <c r="D5" s="93"/>
      <c r="E5" s="93"/>
      <c r="F5" s="93"/>
      <c r="G5" s="94"/>
    </row>
    <row r="7" spans="1:7" x14ac:dyDescent="0.2">
      <c r="B7" s="6"/>
      <c r="C7" s="6"/>
      <c r="D7" s="6"/>
      <c r="E7" s="7" t="s">
        <v>18</v>
      </c>
      <c r="F7" s="6"/>
      <c r="G7" s="6"/>
    </row>
    <row r="8" spans="1:7" x14ac:dyDescent="0.2">
      <c r="B8" s="8"/>
      <c r="C8" s="8"/>
      <c r="D8" s="9" t="s">
        <v>19</v>
      </c>
      <c r="E8" s="9" t="s">
        <v>20</v>
      </c>
      <c r="F8" s="8"/>
      <c r="G8" s="8"/>
    </row>
    <row r="9" spans="1:7" x14ac:dyDescent="0.2">
      <c r="B9" s="8"/>
      <c r="C9" s="8"/>
      <c r="D9" s="9" t="s">
        <v>21</v>
      </c>
      <c r="E9" s="9" t="s">
        <v>22</v>
      </c>
      <c r="F9" s="9" t="s">
        <v>23</v>
      </c>
      <c r="G9" s="9" t="s">
        <v>24</v>
      </c>
    </row>
    <row r="10" spans="1:7" x14ac:dyDescent="0.2">
      <c r="B10" s="10"/>
      <c r="C10" s="10"/>
      <c r="D10" s="10" t="s">
        <v>25</v>
      </c>
      <c r="E10" s="10" t="s">
        <v>25</v>
      </c>
      <c r="F10" s="10" t="s">
        <v>26</v>
      </c>
      <c r="G10" s="10" t="s">
        <v>26</v>
      </c>
    </row>
    <row r="11" spans="1:7" x14ac:dyDescent="0.2">
      <c r="B11" s="11" t="s">
        <v>27</v>
      </c>
      <c r="C11" s="11" t="s">
        <v>28</v>
      </c>
      <c r="D11" s="12" t="s">
        <v>29</v>
      </c>
      <c r="E11" s="12" t="s">
        <v>30</v>
      </c>
      <c r="F11" s="12" t="s">
        <v>31</v>
      </c>
      <c r="G11" s="12" t="s">
        <v>32</v>
      </c>
    </row>
    <row r="12" spans="1:7" x14ac:dyDescent="0.2">
      <c r="B12" s="7">
        <v>1</v>
      </c>
      <c r="C12" s="95" t="s">
        <v>33</v>
      </c>
      <c r="D12" s="96"/>
      <c r="E12" s="96"/>
      <c r="F12" s="96"/>
      <c r="G12" s="97"/>
    </row>
    <row r="13" spans="1:7" x14ac:dyDescent="0.2">
      <c r="B13" s="7" t="s">
        <v>34</v>
      </c>
      <c r="C13" s="13" t="s">
        <v>35</v>
      </c>
      <c r="D13" s="13"/>
      <c r="E13" s="13"/>
      <c r="F13" s="14"/>
      <c r="G13" s="15">
        <v>-26223</v>
      </c>
    </row>
    <row r="14" spans="1:7" x14ac:dyDescent="0.2">
      <c r="B14" s="9" t="s">
        <v>36</v>
      </c>
      <c r="C14" s="13" t="s">
        <v>37</v>
      </c>
      <c r="D14" s="13"/>
      <c r="E14" s="13"/>
      <c r="F14" s="14"/>
      <c r="G14" s="15">
        <v>-44993</v>
      </c>
    </row>
    <row r="15" spans="1:7" x14ac:dyDescent="0.2">
      <c r="B15" s="9" t="s">
        <v>38</v>
      </c>
      <c r="C15" s="13" t="s">
        <v>39</v>
      </c>
      <c r="D15" s="13"/>
      <c r="E15" s="13"/>
      <c r="F15" s="16"/>
      <c r="G15" s="17">
        <v>-3282</v>
      </c>
    </row>
    <row r="16" spans="1:7" x14ac:dyDescent="0.2">
      <c r="B16" s="10" t="s">
        <v>40</v>
      </c>
      <c r="C16" s="13" t="s">
        <v>41</v>
      </c>
      <c r="D16" s="13"/>
      <c r="E16" s="13"/>
      <c r="F16" s="16"/>
      <c r="G16" s="18">
        <f>G13+G14+G15</f>
        <v>-74498</v>
      </c>
    </row>
    <row r="17" spans="2:7" x14ac:dyDescent="0.2">
      <c r="B17" s="9">
        <v>2</v>
      </c>
      <c r="C17" s="19">
        <v>43647</v>
      </c>
      <c r="D17" s="17">
        <f>467579-659</f>
        <v>466920</v>
      </c>
      <c r="E17" s="59">
        <v>439107.94</v>
      </c>
      <c r="F17" s="21">
        <f t="shared" ref="F17:F24" si="0">D17-E17</f>
        <v>27812.059999999998</v>
      </c>
      <c r="G17" s="18">
        <f t="shared" ref="G17:G24" si="1">G16+F17</f>
        <v>-46685.94</v>
      </c>
    </row>
    <row r="18" spans="2:7" x14ac:dyDescent="0.2">
      <c r="B18" s="9">
        <v>3</v>
      </c>
      <c r="C18" s="22">
        <v>43678</v>
      </c>
      <c r="D18" s="56">
        <f>444146-670</f>
        <v>443476</v>
      </c>
      <c r="E18" s="60">
        <v>431373.68</v>
      </c>
      <c r="F18" s="24">
        <f t="shared" si="0"/>
        <v>12102.320000000007</v>
      </c>
      <c r="G18" s="25">
        <f t="shared" si="1"/>
        <v>-34583.619999999995</v>
      </c>
    </row>
    <row r="19" spans="2:7" x14ac:dyDescent="0.2">
      <c r="B19" s="9">
        <v>4</v>
      </c>
      <c r="C19" s="22">
        <v>43709</v>
      </c>
      <c r="D19" s="56">
        <f>351679-546</f>
        <v>351133</v>
      </c>
      <c r="E19" s="60">
        <v>424362.53</v>
      </c>
      <c r="F19" s="24">
        <f t="shared" si="0"/>
        <v>-73229.530000000028</v>
      </c>
      <c r="G19" s="25">
        <f t="shared" si="1"/>
        <v>-107813.15000000002</v>
      </c>
    </row>
    <row r="20" spans="2:7" x14ac:dyDescent="0.2">
      <c r="B20" s="9">
        <v>5</v>
      </c>
      <c r="C20" s="22">
        <v>43739</v>
      </c>
      <c r="D20" s="56">
        <f>327450-570</f>
        <v>326880</v>
      </c>
      <c r="E20" s="60">
        <v>321362.43</v>
      </c>
      <c r="F20" s="24">
        <f t="shared" si="0"/>
        <v>5517.570000000007</v>
      </c>
      <c r="G20" s="25">
        <f t="shared" si="1"/>
        <v>-102295.58000000002</v>
      </c>
    </row>
    <row r="21" spans="2:7" x14ac:dyDescent="0.2">
      <c r="B21" s="9">
        <v>6</v>
      </c>
      <c r="C21" s="22">
        <v>43770</v>
      </c>
      <c r="D21" s="56">
        <f>409911-620</f>
        <v>409291</v>
      </c>
      <c r="E21" s="60">
        <v>372288.72</v>
      </c>
      <c r="F21" s="24">
        <f t="shared" si="0"/>
        <v>37002.280000000028</v>
      </c>
      <c r="G21" s="25">
        <f t="shared" si="1"/>
        <v>-65293.299999999988</v>
      </c>
    </row>
    <row r="22" spans="2:7" x14ac:dyDescent="0.2">
      <c r="B22" s="9">
        <v>7</v>
      </c>
      <c r="C22" s="22">
        <v>43800</v>
      </c>
      <c r="D22" s="56">
        <f>525293-689</f>
        <v>524604</v>
      </c>
      <c r="E22" s="60">
        <v>428394.89</v>
      </c>
      <c r="F22" s="26">
        <f t="shared" si="0"/>
        <v>96209.109999999986</v>
      </c>
      <c r="G22" s="27">
        <f t="shared" si="1"/>
        <v>30915.809999999998</v>
      </c>
    </row>
    <row r="23" spans="2:7" x14ac:dyDescent="0.2">
      <c r="B23" s="28" t="s">
        <v>42</v>
      </c>
      <c r="C23" s="19">
        <v>43831</v>
      </c>
      <c r="D23" s="17">
        <f>419233-576</f>
        <v>418657</v>
      </c>
      <c r="E23" s="59">
        <v>493655.38</v>
      </c>
      <c r="F23" s="21">
        <f t="shared" si="0"/>
        <v>-74998.38</v>
      </c>
      <c r="G23" s="18">
        <f t="shared" si="1"/>
        <v>-44082.570000000007</v>
      </c>
    </row>
    <row r="24" spans="2:7" x14ac:dyDescent="0.2">
      <c r="B24" s="29" t="s">
        <v>43</v>
      </c>
      <c r="C24" s="30">
        <v>43862</v>
      </c>
      <c r="D24" s="57">
        <f>329420-496</f>
        <v>328924</v>
      </c>
      <c r="E24" s="61">
        <v>438952.7</v>
      </c>
      <c r="F24" s="26">
        <f t="shared" si="0"/>
        <v>-110028.70000000001</v>
      </c>
      <c r="G24" s="27">
        <f t="shared" si="1"/>
        <v>-154111.27000000002</v>
      </c>
    </row>
    <row r="25" spans="2:7" x14ac:dyDescent="0.2">
      <c r="B25" s="10"/>
      <c r="C25" s="31" t="s">
        <v>44</v>
      </c>
      <c r="D25" s="32"/>
      <c r="E25" s="32"/>
      <c r="F25" s="32"/>
      <c r="G25" s="33"/>
    </row>
    <row r="26" spans="2:7" x14ac:dyDescent="0.2">
      <c r="B26" s="7"/>
      <c r="C26" s="6"/>
      <c r="D26" s="6"/>
      <c r="E26" s="6"/>
      <c r="F26" s="6"/>
      <c r="G26" s="18"/>
    </row>
    <row r="27" spans="2:7" x14ac:dyDescent="0.2">
      <c r="B27" s="9"/>
      <c r="C27" s="8"/>
      <c r="D27" s="9" t="s">
        <v>45</v>
      </c>
      <c r="E27" s="9" t="s">
        <v>46</v>
      </c>
      <c r="F27" s="8"/>
      <c r="G27" s="25"/>
    </row>
    <row r="28" spans="2:7" x14ac:dyDescent="0.2">
      <c r="B28" s="9">
        <v>8</v>
      </c>
      <c r="C28" s="8"/>
      <c r="D28" s="9" t="s">
        <v>47</v>
      </c>
      <c r="E28" s="9" t="s">
        <v>48</v>
      </c>
      <c r="F28" s="8"/>
      <c r="G28" s="34" t="s">
        <v>45</v>
      </c>
    </row>
    <row r="29" spans="2:7" x14ac:dyDescent="0.2">
      <c r="B29" s="9"/>
      <c r="C29" s="8"/>
      <c r="D29" s="9" t="s">
        <v>49</v>
      </c>
      <c r="E29" s="9" t="s">
        <v>50</v>
      </c>
      <c r="F29" s="8"/>
      <c r="G29" s="34" t="s">
        <v>51</v>
      </c>
    </row>
    <row r="30" spans="2:7" x14ac:dyDescent="0.2">
      <c r="B30" s="9"/>
      <c r="C30" s="8"/>
      <c r="D30" s="9" t="s">
        <v>52</v>
      </c>
      <c r="E30" s="9" t="s">
        <v>53</v>
      </c>
      <c r="F30" s="8"/>
      <c r="G30" s="34" t="s">
        <v>54</v>
      </c>
    </row>
    <row r="31" spans="2:7" x14ac:dyDescent="0.2">
      <c r="B31" s="10"/>
      <c r="C31" s="8"/>
      <c r="D31" s="9" t="s">
        <v>55</v>
      </c>
      <c r="E31" s="9" t="s">
        <v>56</v>
      </c>
      <c r="F31" s="8"/>
      <c r="G31" s="34" t="s">
        <v>57</v>
      </c>
    </row>
    <row r="32" spans="2:7" x14ac:dyDescent="0.2">
      <c r="B32" s="28" t="s">
        <v>58</v>
      </c>
      <c r="C32" s="6" t="s">
        <v>59</v>
      </c>
      <c r="D32" s="18">
        <f>-G13</f>
        <v>26223</v>
      </c>
      <c r="E32" s="18">
        <f>D64</f>
        <v>-26223</v>
      </c>
      <c r="F32" s="6"/>
      <c r="G32" s="18">
        <f>D32+E32</f>
        <v>0</v>
      </c>
    </row>
    <row r="33" spans="2:7" x14ac:dyDescent="0.2">
      <c r="B33" s="35" t="s">
        <v>60</v>
      </c>
      <c r="C33" s="8" t="s">
        <v>61</v>
      </c>
      <c r="D33" s="25">
        <f>-G14</f>
        <v>44993</v>
      </c>
      <c r="E33" s="25">
        <f>E64</f>
        <v>-29996</v>
      </c>
      <c r="F33" s="8"/>
      <c r="G33" s="25">
        <f>D33+E33</f>
        <v>14997</v>
      </c>
    </row>
    <row r="34" spans="2:7" x14ac:dyDescent="0.2">
      <c r="B34" s="35" t="s">
        <v>62</v>
      </c>
      <c r="C34" s="36" t="s">
        <v>63</v>
      </c>
      <c r="D34" s="27">
        <f>-G15</f>
        <v>3282</v>
      </c>
      <c r="E34" s="37">
        <f>F64</f>
        <v>0</v>
      </c>
      <c r="F34" s="38"/>
      <c r="G34" s="25">
        <f>D34+E34</f>
        <v>3282</v>
      </c>
    </row>
    <row r="35" spans="2:7" x14ac:dyDescent="0.2">
      <c r="B35" s="10" t="s">
        <v>64</v>
      </c>
      <c r="C35" s="39"/>
      <c r="D35" s="40"/>
      <c r="E35" s="40"/>
      <c r="F35" s="41" t="s">
        <v>65</v>
      </c>
      <c r="G35" s="42">
        <f>G32+G33+G34</f>
        <v>18279</v>
      </c>
    </row>
    <row r="36" spans="2:7" x14ac:dyDescent="0.2">
      <c r="B36" s="43"/>
      <c r="G36" s="44"/>
    </row>
    <row r="37" spans="2:7" x14ac:dyDescent="0.2">
      <c r="B37" s="11">
        <v>9</v>
      </c>
      <c r="C37" s="45" t="s">
        <v>66</v>
      </c>
      <c r="D37" s="13"/>
      <c r="E37" s="13"/>
      <c r="F37" s="14"/>
      <c r="G37" s="42">
        <f>G22+G35</f>
        <v>49194.81</v>
      </c>
    </row>
    <row r="38" spans="2:7" x14ac:dyDescent="0.2">
      <c r="B38" s="43"/>
      <c r="G38" s="44"/>
    </row>
    <row r="39" spans="2:7" x14ac:dyDescent="0.2">
      <c r="B39" s="11">
        <v>10</v>
      </c>
      <c r="C39" s="45" t="s">
        <v>80</v>
      </c>
      <c r="D39" s="13"/>
      <c r="E39" s="13"/>
      <c r="F39" s="14"/>
      <c r="G39" s="42">
        <f>G37/6</f>
        <v>8199.1350000000002</v>
      </c>
    </row>
    <row r="41" spans="2:7" x14ac:dyDescent="0.2">
      <c r="B41" s="6"/>
      <c r="C41" s="46" t="s">
        <v>67</v>
      </c>
      <c r="D41" s="47"/>
      <c r="E41" s="47"/>
      <c r="F41" s="47"/>
      <c r="G41" s="48"/>
    </row>
    <row r="42" spans="2:7" x14ac:dyDescent="0.2">
      <c r="B42" s="6"/>
      <c r="C42" s="49"/>
      <c r="D42" s="49"/>
      <c r="E42" s="49"/>
      <c r="F42" s="49"/>
      <c r="G42" s="16"/>
    </row>
    <row r="43" spans="2:7" x14ac:dyDescent="0.2">
      <c r="B43" s="9">
        <v>11</v>
      </c>
      <c r="C43" s="50" t="s">
        <v>68</v>
      </c>
      <c r="D43" s="50"/>
      <c r="E43" s="50"/>
      <c r="F43" s="50"/>
      <c r="G43" s="51">
        <f>G16</f>
        <v>-74498</v>
      </c>
    </row>
    <row r="44" spans="2:7" x14ac:dyDescent="0.2">
      <c r="B44" s="9">
        <v>12</v>
      </c>
      <c r="C44" s="50" t="s">
        <v>69</v>
      </c>
      <c r="D44" s="50"/>
      <c r="E44" s="50"/>
      <c r="F44" s="50"/>
      <c r="G44" s="37">
        <f>G35</f>
        <v>18279</v>
      </c>
    </row>
    <row r="45" spans="2:7" x14ac:dyDescent="0.2">
      <c r="B45" s="9"/>
      <c r="C45" s="50"/>
      <c r="D45" s="50"/>
      <c r="E45" s="50"/>
      <c r="F45" s="50"/>
      <c r="G45" s="51"/>
    </row>
    <row r="46" spans="2:7" ht="15" thickBot="1" x14ac:dyDescent="0.25">
      <c r="B46" s="9">
        <v>13</v>
      </c>
      <c r="C46" s="50" t="s">
        <v>70</v>
      </c>
      <c r="D46" s="50"/>
      <c r="E46" s="50"/>
      <c r="F46" s="50"/>
      <c r="G46" s="52">
        <f>G43+G44</f>
        <v>-56219</v>
      </c>
    </row>
    <row r="47" spans="2:7" ht="15" thickTop="1" x14ac:dyDescent="0.2">
      <c r="B47" s="9"/>
      <c r="C47" s="50"/>
      <c r="D47" s="50"/>
      <c r="E47" s="50"/>
      <c r="F47" s="50"/>
      <c r="G47" s="51"/>
    </row>
    <row r="48" spans="2:7" x14ac:dyDescent="0.2">
      <c r="B48" s="9">
        <v>14</v>
      </c>
      <c r="C48" s="50" t="s">
        <v>71</v>
      </c>
      <c r="D48" s="50"/>
      <c r="E48" s="50"/>
      <c r="F48" s="50"/>
      <c r="G48" s="51">
        <f>G37</f>
        <v>49194.81</v>
      </c>
    </row>
    <row r="49" spans="2:7" x14ac:dyDescent="0.2">
      <c r="B49" s="9"/>
      <c r="C49" s="50"/>
      <c r="D49" s="50"/>
      <c r="E49" s="50"/>
      <c r="F49" s="50"/>
      <c r="G49" s="51"/>
    </row>
    <row r="50" spans="2:7" x14ac:dyDescent="0.2">
      <c r="B50" s="9">
        <v>15</v>
      </c>
      <c r="C50" s="50" t="s">
        <v>72</v>
      </c>
      <c r="D50" s="50"/>
      <c r="E50" s="50"/>
      <c r="F50" s="50"/>
      <c r="G50" s="37">
        <f>SUM(F17:F22)</f>
        <v>105413.81</v>
      </c>
    </row>
    <row r="51" spans="2:7" x14ac:dyDescent="0.2">
      <c r="B51" s="9"/>
      <c r="C51" s="50"/>
      <c r="D51" s="50"/>
      <c r="E51" s="50"/>
      <c r="F51" s="50"/>
      <c r="G51" s="51"/>
    </row>
    <row r="52" spans="2:7" ht="15" thickBot="1" x14ac:dyDescent="0.25">
      <c r="B52" s="9">
        <v>16</v>
      </c>
      <c r="C52" s="50" t="s">
        <v>73</v>
      </c>
      <c r="D52" s="50"/>
      <c r="E52" s="50"/>
      <c r="F52" s="50"/>
      <c r="G52" s="52">
        <f>G48-G50</f>
        <v>-56219</v>
      </c>
    </row>
    <row r="53" spans="2:7" ht="15" thickTop="1" x14ac:dyDescent="0.2">
      <c r="B53" s="53"/>
      <c r="C53" s="54"/>
      <c r="D53" s="54"/>
      <c r="E53" s="54"/>
      <c r="F53" s="54"/>
      <c r="G53" s="55"/>
    </row>
    <row r="55" spans="2:7" x14ac:dyDescent="0.2">
      <c r="B55" t="s">
        <v>74</v>
      </c>
    </row>
    <row r="56" spans="2:7" x14ac:dyDescent="0.2">
      <c r="B56" s="43"/>
      <c r="C56" s="6"/>
      <c r="D56" s="7" t="s">
        <v>75</v>
      </c>
      <c r="E56" s="7" t="s">
        <v>75</v>
      </c>
      <c r="F56" s="7" t="s">
        <v>75</v>
      </c>
    </row>
    <row r="57" spans="2:7" x14ac:dyDescent="0.2">
      <c r="B57" s="43"/>
      <c r="C57" s="10" t="s">
        <v>28</v>
      </c>
      <c r="D57" s="10" t="s">
        <v>76</v>
      </c>
      <c r="E57" s="10" t="s">
        <v>77</v>
      </c>
      <c r="F57" s="10" t="s">
        <v>78</v>
      </c>
    </row>
    <row r="58" spans="2:7" x14ac:dyDescent="0.2">
      <c r="C58" s="19">
        <v>43647</v>
      </c>
      <c r="D58" s="17">
        <v>-26223</v>
      </c>
      <c r="E58" s="17">
        <v>0</v>
      </c>
      <c r="F58" s="17">
        <v>0</v>
      </c>
    </row>
    <row r="59" spans="2:7" x14ac:dyDescent="0.2">
      <c r="C59" s="22">
        <v>43678</v>
      </c>
      <c r="D59" s="56">
        <v>0</v>
      </c>
      <c r="E59" s="56">
        <v>0</v>
      </c>
      <c r="F59" s="56">
        <v>0</v>
      </c>
    </row>
    <row r="60" spans="2:7" x14ac:dyDescent="0.2">
      <c r="C60" s="22">
        <v>43709</v>
      </c>
      <c r="D60" s="56">
        <v>0</v>
      </c>
      <c r="E60" s="56">
        <v>-7499</v>
      </c>
      <c r="F60" s="56">
        <v>0</v>
      </c>
    </row>
    <row r="61" spans="2:7" x14ac:dyDescent="0.2">
      <c r="C61" s="22">
        <v>43739</v>
      </c>
      <c r="D61" s="56">
        <v>0</v>
      </c>
      <c r="E61" s="56">
        <v>-7499</v>
      </c>
      <c r="F61" s="56">
        <v>0</v>
      </c>
    </row>
    <row r="62" spans="2:7" x14ac:dyDescent="0.2">
      <c r="C62" s="22">
        <v>43770</v>
      </c>
      <c r="D62" s="56">
        <v>0</v>
      </c>
      <c r="E62" s="56">
        <v>-7499</v>
      </c>
      <c r="F62" s="56">
        <v>0</v>
      </c>
    </row>
    <row r="63" spans="2:7" x14ac:dyDescent="0.2">
      <c r="C63" s="30">
        <v>43800</v>
      </c>
      <c r="D63" s="57">
        <v>0</v>
      </c>
      <c r="E63" s="57">
        <v>-7499</v>
      </c>
      <c r="F63" s="57">
        <v>0</v>
      </c>
    </row>
    <row r="64" spans="2:7" x14ac:dyDescent="0.2">
      <c r="C64" s="58" t="s">
        <v>79</v>
      </c>
      <c r="D64" s="42">
        <f>SUM(D58:D63)</f>
        <v>-26223</v>
      </c>
      <c r="E64" s="42">
        <f>SUM(E58:E63)</f>
        <v>-29996</v>
      </c>
      <c r="F64" s="42">
        <f>SUM(F58:F63)</f>
        <v>0</v>
      </c>
    </row>
  </sheetData>
  <mergeCells count="2">
    <mergeCell ref="B4:G5"/>
    <mergeCell ref="C12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K22" sqref="K22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21.125" customWidth="1"/>
    <col min="7" max="7" width="17.75" customWidth="1"/>
    <col min="9" max="13" width="17.625" customWidth="1"/>
  </cols>
  <sheetData>
    <row r="1" spans="1:13" x14ac:dyDescent="0.2">
      <c r="A1" t="str">
        <f>Summary!A1</f>
        <v>DR1 Response 2 - Shelby Surcharge Summary.xlsx</v>
      </c>
    </row>
    <row r="4" spans="1:13" x14ac:dyDescent="0.2">
      <c r="B4" s="89" t="s">
        <v>17</v>
      </c>
      <c r="C4" s="90"/>
      <c r="D4" s="90"/>
      <c r="E4" s="90"/>
      <c r="F4" s="90"/>
      <c r="G4" s="91"/>
      <c r="I4" s="98" t="s">
        <v>83</v>
      </c>
      <c r="J4" s="99"/>
      <c r="K4" s="99"/>
      <c r="L4" s="99"/>
      <c r="M4" s="100"/>
    </row>
    <row r="5" spans="1:13" x14ac:dyDescent="0.2">
      <c r="B5" s="92"/>
      <c r="C5" s="93"/>
      <c r="D5" s="93"/>
      <c r="E5" s="93"/>
      <c r="F5" s="93"/>
      <c r="G5" s="94"/>
      <c r="I5" s="101"/>
      <c r="J5" s="102"/>
      <c r="K5" s="102"/>
      <c r="L5" s="102"/>
      <c r="M5" s="103"/>
    </row>
    <row r="6" spans="1:13" ht="15" x14ac:dyDescent="0.2">
      <c r="D6" s="43" t="s">
        <v>81</v>
      </c>
      <c r="I6" s="62"/>
      <c r="J6" s="62"/>
      <c r="K6" s="62"/>
      <c r="L6" s="62"/>
      <c r="M6" s="62"/>
    </row>
    <row r="7" spans="1:13" ht="15.75" x14ac:dyDescent="0.25">
      <c r="B7" s="6"/>
      <c r="C7" s="6"/>
      <c r="D7" s="6"/>
      <c r="E7" s="7" t="s">
        <v>18</v>
      </c>
      <c r="F7" s="6"/>
      <c r="G7" s="6"/>
      <c r="I7" s="63" t="s">
        <v>84</v>
      </c>
      <c r="J7" s="62"/>
      <c r="K7" s="62"/>
      <c r="L7" s="62"/>
      <c r="M7" s="62"/>
    </row>
    <row r="8" spans="1:13" ht="15" x14ac:dyDescent="0.2">
      <c r="B8" s="8"/>
      <c r="C8" s="8"/>
      <c r="D8" s="9" t="s">
        <v>19</v>
      </c>
      <c r="E8" s="9" t="s">
        <v>20</v>
      </c>
      <c r="F8" s="8"/>
      <c r="G8" s="8"/>
      <c r="I8" s="62"/>
      <c r="J8" s="62"/>
      <c r="K8" s="62"/>
      <c r="L8" s="62"/>
      <c r="M8" s="62"/>
    </row>
    <row r="9" spans="1:13" x14ac:dyDescent="0.2">
      <c r="B9" s="8"/>
      <c r="C9" s="8"/>
      <c r="D9" s="9" t="s">
        <v>21</v>
      </c>
      <c r="E9" s="9" t="s">
        <v>22</v>
      </c>
      <c r="F9" s="9" t="s">
        <v>23</v>
      </c>
      <c r="G9" s="9" t="s">
        <v>24</v>
      </c>
      <c r="I9" s="64"/>
      <c r="J9" s="64"/>
      <c r="K9" s="65" t="s">
        <v>18</v>
      </c>
      <c r="L9" s="64"/>
      <c r="M9" s="64"/>
    </row>
    <row r="10" spans="1:13" x14ac:dyDescent="0.2">
      <c r="B10" s="10"/>
      <c r="C10" s="10"/>
      <c r="D10" s="10" t="s">
        <v>25</v>
      </c>
      <c r="E10" s="10" t="s">
        <v>25</v>
      </c>
      <c r="F10" s="10" t="s">
        <v>26</v>
      </c>
      <c r="G10" s="10" t="s">
        <v>26</v>
      </c>
      <c r="I10" s="66"/>
      <c r="J10" s="67" t="s">
        <v>19</v>
      </c>
      <c r="K10" s="67" t="s">
        <v>20</v>
      </c>
      <c r="L10" s="66"/>
      <c r="M10" s="66"/>
    </row>
    <row r="11" spans="1:13" x14ac:dyDescent="0.2">
      <c r="B11" s="11" t="s">
        <v>27</v>
      </c>
      <c r="C11" s="11" t="s">
        <v>28</v>
      </c>
      <c r="D11" s="12" t="s">
        <v>29</v>
      </c>
      <c r="E11" s="12" t="s">
        <v>30</v>
      </c>
      <c r="F11" s="12" t="s">
        <v>31</v>
      </c>
      <c r="G11" s="12" t="s">
        <v>32</v>
      </c>
      <c r="I11" s="66"/>
      <c r="J11" s="67" t="s">
        <v>21</v>
      </c>
      <c r="K11" s="67" t="s">
        <v>22</v>
      </c>
      <c r="L11" s="67" t="s">
        <v>23</v>
      </c>
      <c r="M11" s="67" t="s">
        <v>24</v>
      </c>
    </row>
    <row r="12" spans="1:13" x14ac:dyDescent="0.2">
      <c r="B12" s="7">
        <v>1</v>
      </c>
      <c r="C12" s="95" t="s">
        <v>33</v>
      </c>
      <c r="D12" s="96"/>
      <c r="E12" s="96"/>
      <c r="F12" s="96"/>
      <c r="G12" s="97"/>
      <c r="I12" s="68"/>
      <c r="J12" s="68" t="s">
        <v>25</v>
      </c>
      <c r="K12" s="68" t="s">
        <v>25</v>
      </c>
      <c r="L12" s="68" t="s">
        <v>26</v>
      </c>
      <c r="M12" s="68" t="s">
        <v>26</v>
      </c>
    </row>
    <row r="13" spans="1:13" x14ac:dyDescent="0.2">
      <c r="B13" s="7" t="s">
        <v>34</v>
      </c>
      <c r="C13" s="13" t="s">
        <v>37</v>
      </c>
      <c r="D13" s="13"/>
      <c r="E13" s="13"/>
      <c r="F13" s="14"/>
      <c r="G13" s="15">
        <v>-14997</v>
      </c>
      <c r="I13" s="69" t="s">
        <v>28</v>
      </c>
      <c r="J13" s="70" t="s">
        <v>85</v>
      </c>
      <c r="K13" s="70" t="s">
        <v>29</v>
      </c>
      <c r="L13" s="70" t="s">
        <v>30</v>
      </c>
      <c r="M13" s="70" t="s">
        <v>31</v>
      </c>
    </row>
    <row r="14" spans="1:13" x14ac:dyDescent="0.2">
      <c r="B14" s="9" t="s">
        <v>36</v>
      </c>
      <c r="C14" s="13" t="s">
        <v>39</v>
      </c>
      <c r="D14" s="13"/>
      <c r="E14" s="13"/>
      <c r="F14" s="14"/>
      <c r="G14" s="15">
        <v>-3282</v>
      </c>
      <c r="I14" s="71">
        <v>43831</v>
      </c>
      <c r="J14" s="72">
        <v>0</v>
      </c>
      <c r="K14" s="73">
        <v>0</v>
      </c>
      <c r="L14" s="74">
        <f t="shared" ref="L14:L21" si="0">J14-K14</f>
        <v>0</v>
      </c>
      <c r="M14" s="75">
        <f>L14</f>
        <v>0</v>
      </c>
    </row>
    <row r="15" spans="1:13" x14ac:dyDescent="0.2">
      <c r="B15" s="9" t="s">
        <v>38</v>
      </c>
      <c r="C15" s="13" t="s">
        <v>88</v>
      </c>
      <c r="D15" s="13"/>
      <c r="E15" s="13"/>
      <c r="F15" s="16"/>
      <c r="G15" s="17">
        <f>'A - 11-30-19'!G37</f>
        <v>49194.81</v>
      </c>
      <c r="I15" s="76">
        <v>43862</v>
      </c>
      <c r="J15" s="72">
        <v>0</v>
      </c>
      <c r="K15" s="73">
        <v>0</v>
      </c>
      <c r="L15" s="75">
        <f t="shared" si="0"/>
        <v>0</v>
      </c>
      <c r="M15" s="75">
        <f>M14+L15</f>
        <v>0</v>
      </c>
    </row>
    <row r="16" spans="1:13" x14ac:dyDescent="0.2">
      <c r="B16" s="10" t="s">
        <v>40</v>
      </c>
      <c r="C16" s="13" t="s">
        <v>41</v>
      </c>
      <c r="D16" s="13"/>
      <c r="E16" s="13"/>
      <c r="F16" s="16"/>
      <c r="G16" s="18">
        <f>G13+G14+G15</f>
        <v>30915.809999999998</v>
      </c>
      <c r="I16" s="76">
        <v>43891</v>
      </c>
      <c r="J16" s="72">
        <v>0</v>
      </c>
      <c r="K16" s="72">
        <v>0</v>
      </c>
      <c r="L16" s="75">
        <f t="shared" si="0"/>
        <v>0</v>
      </c>
      <c r="M16" s="75">
        <f t="shared" ref="M16:M19" si="1">M15+L16</f>
        <v>0</v>
      </c>
    </row>
    <row r="17" spans="2:13" x14ac:dyDescent="0.2">
      <c r="B17" s="9">
        <v>2</v>
      </c>
      <c r="C17" s="19">
        <v>43831</v>
      </c>
      <c r="D17" s="17">
        <f>419233-576</f>
        <v>418657</v>
      </c>
      <c r="E17" s="59">
        <v>493655.38</v>
      </c>
      <c r="F17" s="21">
        <f t="shared" ref="F17:F24" si="2">D17-E17</f>
        <v>-74998.38</v>
      </c>
      <c r="G17" s="18">
        <f t="shared" ref="G17:G24" si="3">G16+F17</f>
        <v>-44082.570000000007</v>
      </c>
      <c r="I17" s="76">
        <v>43922</v>
      </c>
      <c r="J17" s="72">
        <v>85506</v>
      </c>
      <c r="K17" s="72">
        <f>70525.55+14980</f>
        <v>85505.55</v>
      </c>
      <c r="L17" s="75">
        <f t="shared" si="0"/>
        <v>0.44999999999708962</v>
      </c>
      <c r="M17" s="75">
        <f t="shared" si="1"/>
        <v>0.44999999999708962</v>
      </c>
    </row>
    <row r="18" spans="2:13" x14ac:dyDescent="0.2">
      <c r="B18" s="9">
        <v>3</v>
      </c>
      <c r="C18" s="22">
        <v>43862</v>
      </c>
      <c r="D18" s="56">
        <f>329420-496</f>
        <v>328924</v>
      </c>
      <c r="E18" s="60">
        <v>438952.7</v>
      </c>
      <c r="F18" s="24">
        <f t="shared" si="2"/>
        <v>-110028.70000000001</v>
      </c>
      <c r="G18" s="25">
        <f t="shared" si="3"/>
        <v>-154111.27000000002</v>
      </c>
      <c r="I18" s="76">
        <v>43952</v>
      </c>
      <c r="J18" s="72">
        <v>105071</v>
      </c>
      <c r="K18" s="85">
        <f>76324.2+28747</f>
        <v>105071.2</v>
      </c>
      <c r="L18" s="75">
        <f t="shared" si="0"/>
        <v>-0.19999999999708962</v>
      </c>
      <c r="M18" s="75">
        <f t="shared" si="1"/>
        <v>0.25</v>
      </c>
    </row>
    <row r="19" spans="2:13" x14ac:dyDescent="0.2">
      <c r="B19" s="9">
        <v>4</v>
      </c>
      <c r="C19" s="22">
        <v>43891</v>
      </c>
      <c r="D19" s="56">
        <f>291847-523</f>
        <v>291324</v>
      </c>
      <c r="E19" s="60">
        <v>301225.84999999998</v>
      </c>
      <c r="F19" s="24">
        <f t="shared" si="2"/>
        <v>-9901.8499999999767</v>
      </c>
      <c r="G19" s="25">
        <f t="shared" si="3"/>
        <v>-164013.12</v>
      </c>
      <c r="I19" s="77">
        <v>43983</v>
      </c>
      <c r="J19" s="85">
        <v>137145</v>
      </c>
      <c r="K19" s="86">
        <f>92910.47+44235</f>
        <v>137145.47</v>
      </c>
      <c r="L19" s="78">
        <f t="shared" si="0"/>
        <v>-0.47000000000116415</v>
      </c>
      <c r="M19" s="78">
        <f t="shared" si="1"/>
        <v>-0.22000000000116415</v>
      </c>
    </row>
    <row r="20" spans="2:13" x14ac:dyDescent="0.2">
      <c r="B20" s="9">
        <v>5</v>
      </c>
      <c r="C20" s="22">
        <v>43922</v>
      </c>
      <c r="D20" s="56">
        <f>192901-582</f>
        <v>192319</v>
      </c>
      <c r="E20" s="60">
        <f>209697.15-14980</f>
        <v>194717.15</v>
      </c>
      <c r="F20" s="24">
        <f t="shared" si="2"/>
        <v>-2398.1499999999942</v>
      </c>
      <c r="G20" s="25">
        <f t="shared" si="3"/>
        <v>-166411.26999999999</v>
      </c>
      <c r="I20" s="76">
        <v>44013</v>
      </c>
      <c r="J20" s="87">
        <v>152160</v>
      </c>
      <c r="K20" s="87">
        <f>85434.15+66726</f>
        <v>152160.15</v>
      </c>
      <c r="L20" s="75">
        <f t="shared" si="0"/>
        <v>-0.14999999999417923</v>
      </c>
      <c r="M20" s="75">
        <f>M19+L20</f>
        <v>-0.36999999999534339</v>
      </c>
    </row>
    <row r="21" spans="2:13" x14ac:dyDescent="0.2">
      <c r="B21" s="9">
        <v>6</v>
      </c>
      <c r="C21" s="22">
        <v>43952</v>
      </c>
      <c r="D21" s="56">
        <f>229221-684</f>
        <v>228537</v>
      </c>
      <c r="E21" s="60">
        <f>298279.17-76324.2-28747</f>
        <v>193207.96999999997</v>
      </c>
      <c r="F21" s="24">
        <f t="shared" si="2"/>
        <v>35329.030000000028</v>
      </c>
      <c r="G21" s="25">
        <f t="shared" si="3"/>
        <v>-131082.23999999996</v>
      </c>
      <c r="I21" s="77">
        <v>44044</v>
      </c>
      <c r="J21" s="86">
        <v>149098</v>
      </c>
      <c r="K21" s="86">
        <f>90113.67+58984</f>
        <v>149097.66999999998</v>
      </c>
      <c r="L21" s="78">
        <f t="shared" si="0"/>
        <v>0.33000000001629815</v>
      </c>
      <c r="M21" s="78">
        <f>M20+L21</f>
        <v>-3.9999999979045242E-2</v>
      </c>
    </row>
    <row r="22" spans="2:13" x14ac:dyDescent="0.2">
      <c r="B22" s="9">
        <v>7</v>
      </c>
      <c r="C22" s="22">
        <v>43983</v>
      </c>
      <c r="D22" s="56">
        <f>321028-604</f>
        <v>320424</v>
      </c>
      <c r="E22" s="60">
        <f>387304.93-92910.47-44235</f>
        <v>250159.45999999996</v>
      </c>
      <c r="F22" s="26">
        <f t="shared" si="2"/>
        <v>70264.540000000037</v>
      </c>
      <c r="G22" s="27">
        <f t="shared" si="3"/>
        <v>-60817.699999999924</v>
      </c>
      <c r="I22" s="79"/>
      <c r="J22" s="79"/>
      <c r="K22" s="79"/>
      <c r="L22" s="79"/>
      <c r="M22" s="79"/>
    </row>
    <row r="23" spans="2:13" x14ac:dyDescent="0.2">
      <c r="B23" s="28" t="s">
        <v>42</v>
      </c>
      <c r="C23" s="19">
        <v>44013</v>
      </c>
      <c r="D23" s="17">
        <f>404716-626</f>
        <v>404090</v>
      </c>
      <c r="E23" s="59">
        <f>421121.14-85434.15-66726</f>
        <v>268960.99</v>
      </c>
      <c r="F23" s="21">
        <f t="shared" si="2"/>
        <v>135129.01</v>
      </c>
      <c r="G23" s="18">
        <f t="shared" si="3"/>
        <v>74311.310000000085</v>
      </c>
      <c r="I23" s="80" t="s">
        <v>86</v>
      </c>
      <c r="J23" s="81"/>
      <c r="K23" s="81"/>
      <c r="L23" s="82"/>
      <c r="M23" s="83">
        <f>M19</f>
        <v>-0.22000000000116415</v>
      </c>
    </row>
    <row r="24" spans="2:13" x14ac:dyDescent="0.2">
      <c r="B24" s="29" t="s">
        <v>43</v>
      </c>
      <c r="C24" s="30">
        <v>44044</v>
      </c>
      <c r="D24" s="57">
        <f>355166-0</f>
        <v>355166</v>
      </c>
      <c r="E24" s="61">
        <f>441391.63-90113.67-58984</f>
        <v>292293.96000000002</v>
      </c>
      <c r="F24" s="26">
        <f t="shared" si="2"/>
        <v>62872.039999999979</v>
      </c>
      <c r="G24" s="27">
        <f t="shared" si="3"/>
        <v>137183.35000000006</v>
      </c>
      <c r="I24" s="79"/>
      <c r="J24" s="79"/>
      <c r="K24" s="79"/>
      <c r="L24" s="79"/>
      <c r="M24" s="84"/>
    </row>
    <row r="25" spans="2:13" x14ac:dyDescent="0.2">
      <c r="B25" s="10"/>
      <c r="C25" s="31" t="s">
        <v>82</v>
      </c>
      <c r="D25" s="32"/>
      <c r="E25" s="32"/>
      <c r="F25" s="32"/>
      <c r="G25" s="33"/>
      <c r="I25" s="80" t="s">
        <v>87</v>
      </c>
      <c r="J25" s="81"/>
      <c r="K25" s="81"/>
      <c r="L25" s="82"/>
      <c r="M25" s="83">
        <f>M23/6</f>
        <v>-3.6666666666860692E-2</v>
      </c>
    </row>
    <row r="26" spans="2:13" x14ac:dyDescent="0.2">
      <c r="B26" s="7"/>
      <c r="C26" s="6"/>
      <c r="D26" s="6"/>
      <c r="E26" s="6"/>
      <c r="F26" s="6"/>
      <c r="G26" s="18"/>
    </row>
    <row r="27" spans="2:13" x14ac:dyDescent="0.2">
      <c r="B27" s="9"/>
      <c r="C27" s="8"/>
      <c r="D27" s="9" t="s">
        <v>45</v>
      </c>
      <c r="E27" s="9" t="s">
        <v>46</v>
      </c>
      <c r="F27" s="8"/>
      <c r="G27" s="25"/>
    </row>
    <row r="28" spans="2:13" x14ac:dyDescent="0.2">
      <c r="B28" s="9">
        <v>8</v>
      </c>
      <c r="C28" s="8"/>
      <c r="D28" s="9" t="s">
        <v>47</v>
      </c>
      <c r="E28" s="9" t="s">
        <v>48</v>
      </c>
      <c r="F28" s="8"/>
      <c r="G28" s="34" t="s">
        <v>45</v>
      </c>
    </row>
    <row r="29" spans="2:13" x14ac:dyDescent="0.2">
      <c r="B29" s="9"/>
      <c r="C29" s="8"/>
      <c r="D29" s="9" t="s">
        <v>49</v>
      </c>
      <c r="E29" s="9" t="s">
        <v>50</v>
      </c>
      <c r="F29" s="8"/>
      <c r="G29" s="34" t="s">
        <v>51</v>
      </c>
    </row>
    <row r="30" spans="2:13" x14ac:dyDescent="0.2">
      <c r="B30" s="9"/>
      <c r="C30" s="8"/>
      <c r="D30" s="9" t="s">
        <v>52</v>
      </c>
      <c r="E30" s="9" t="s">
        <v>53</v>
      </c>
      <c r="F30" s="8"/>
      <c r="G30" s="34" t="s">
        <v>54</v>
      </c>
    </row>
    <row r="31" spans="2:13" x14ac:dyDescent="0.2">
      <c r="B31" s="10"/>
      <c r="C31" s="8"/>
      <c r="D31" s="9" t="s">
        <v>55</v>
      </c>
      <c r="E31" s="9" t="s">
        <v>56</v>
      </c>
      <c r="F31" s="8"/>
      <c r="G31" s="34" t="s">
        <v>57</v>
      </c>
    </row>
    <row r="32" spans="2:13" x14ac:dyDescent="0.2">
      <c r="B32" s="28" t="s">
        <v>58</v>
      </c>
      <c r="C32" s="6" t="s">
        <v>61</v>
      </c>
      <c r="D32" s="18">
        <f>-G13</f>
        <v>14997</v>
      </c>
      <c r="E32" s="18">
        <f>D64</f>
        <v>-14997</v>
      </c>
      <c r="F32" s="6"/>
      <c r="G32" s="18">
        <f>D32+E32</f>
        <v>0</v>
      </c>
    </row>
    <row r="33" spans="2:7" x14ac:dyDescent="0.2">
      <c r="B33" s="35" t="s">
        <v>60</v>
      </c>
      <c r="C33" s="8" t="s">
        <v>63</v>
      </c>
      <c r="D33" s="25">
        <f>-G14</f>
        <v>3282</v>
      </c>
      <c r="E33" s="25">
        <f>E64</f>
        <v>-1094</v>
      </c>
      <c r="F33" s="8"/>
      <c r="G33" s="25">
        <f>D33+E33</f>
        <v>2188</v>
      </c>
    </row>
    <row r="34" spans="2:7" x14ac:dyDescent="0.2">
      <c r="B34" s="35" t="s">
        <v>62</v>
      </c>
      <c r="C34" s="36" t="s">
        <v>89</v>
      </c>
      <c r="D34" s="27">
        <f>-G15</f>
        <v>-49194.81</v>
      </c>
      <c r="E34" s="37">
        <f>F64</f>
        <v>0</v>
      </c>
      <c r="F34" s="38"/>
      <c r="G34" s="25">
        <f>D34+E34</f>
        <v>-49194.81</v>
      </c>
    </row>
    <row r="35" spans="2:7" x14ac:dyDescent="0.2">
      <c r="B35" s="10" t="s">
        <v>64</v>
      </c>
      <c r="C35" s="39"/>
      <c r="D35" s="40"/>
      <c r="E35" s="40"/>
      <c r="F35" s="41" t="s">
        <v>65</v>
      </c>
      <c r="G35" s="42">
        <f>G32+G33+G34</f>
        <v>-47006.81</v>
      </c>
    </row>
    <row r="36" spans="2:7" x14ac:dyDescent="0.2">
      <c r="B36" s="43"/>
      <c r="G36" s="44"/>
    </row>
    <row r="37" spans="2:7" x14ac:dyDescent="0.2">
      <c r="B37" s="11">
        <v>9</v>
      </c>
      <c r="C37" s="45" t="s">
        <v>66</v>
      </c>
      <c r="D37" s="13"/>
      <c r="E37" s="13"/>
      <c r="F37" s="14"/>
      <c r="G37" s="42">
        <f>G22+G35</f>
        <v>-107824.50999999992</v>
      </c>
    </row>
    <row r="38" spans="2:7" x14ac:dyDescent="0.2">
      <c r="B38" s="43"/>
      <c r="G38" s="44"/>
    </row>
    <row r="39" spans="2:7" x14ac:dyDescent="0.2">
      <c r="B39" s="11">
        <v>10</v>
      </c>
      <c r="C39" s="45" t="s">
        <v>80</v>
      </c>
      <c r="D39" s="13"/>
      <c r="E39" s="13"/>
      <c r="F39" s="14"/>
      <c r="G39" s="42">
        <f>G37/6</f>
        <v>-17970.751666666652</v>
      </c>
    </row>
    <row r="41" spans="2:7" x14ac:dyDescent="0.2">
      <c r="B41" s="6"/>
      <c r="C41" s="46" t="s">
        <v>67</v>
      </c>
      <c r="D41" s="47"/>
      <c r="E41" s="47"/>
      <c r="F41" s="47"/>
      <c r="G41" s="48"/>
    </row>
    <row r="42" spans="2:7" x14ac:dyDescent="0.2">
      <c r="B42" s="6"/>
      <c r="C42" s="49"/>
      <c r="D42" s="49"/>
      <c r="E42" s="49"/>
      <c r="F42" s="49"/>
      <c r="G42" s="16"/>
    </row>
    <row r="43" spans="2:7" x14ac:dyDescent="0.2">
      <c r="B43" s="9">
        <v>11</v>
      </c>
      <c r="C43" s="50" t="s">
        <v>68</v>
      </c>
      <c r="D43" s="50"/>
      <c r="E43" s="50"/>
      <c r="F43" s="50"/>
      <c r="G43" s="51">
        <f>G16</f>
        <v>30915.809999999998</v>
      </c>
    </row>
    <row r="44" spans="2:7" x14ac:dyDescent="0.2">
      <c r="B44" s="9">
        <v>12</v>
      </c>
      <c r="C44" s="50" t="s">
        <v>69</v>
      </c>
      <c r="D44" s="50"/>
      <c r="E44" s="50"/>
      <c r="F44" s="50"/>
      <c r="G44" s="37">
        <f>G35</f>
        <v>-47006.81</v>
      </c>
    </row>
    <row r="45" spans="2:7" x14ac:dyDescent="0.2">
      <c r="B45" s="9"/>
      <c r="C45" s="50"/>
      <c r="D45" s="50"/>
      <c r="E45" s="50"/>
      <c r="F45" s="50"/>
      <c r="G45" s="51"/>
    </row>
    <row r="46" spans="2:7" ht="15" thickBot="1" x14ac:dyDescent="0.25">
      <c r="B46" s="9">
        <v>13</v>
      </c>
      <c r="C46" s="50" t="s">
        <v>70</v>
      </c>
      <c r="D46" s="50"/>
      <c r="E46" s="50"/>
      <c r="F46" s="50"/>
      <c r="G46" s="52">
        <f>G43+G44</f>
        <v>-16091</v>
      </c>
    </row>
    <row r="47" spans="2:7" ht="15" thickTop="1" x14ac:dyDescent="0.2">
      <c r="B47" s="9"/>
      <c r="C47" s="50"/>
      <c r="D47" s="50"/>
      <c r="E47" s="50"/>
      <c r="F47" s="50"/>
      <c r="G47" s="51"/>
    </row>
    <row r="48" spans="2:7" x14ac:dyDescent="0.2">
      <c r="B48" s="9">
        <v>14</v>
      </c>
      <c r="C48" s="50" t="s">
        <v>71</v>
      </c>
      <c r="D48" s="50"/>
      <c r="E48" s="50"/>
      <c r="F48" s="50"/>
      <c r="G48" s="51">
        <f>G37</f>
        <v>-107824.50999999992</v>
      </c>
    </row>
    <row r="49" spans="2:7" x14ac:dyDescent="0.2">
      <c r="B49" s="9"/>
      <c r="C49" s="50"/>
      <c r="D49" s="50"/>
      <c r="E49" s="50"/>
      <c r="F49" s="50"/>
      <c r="G49" s="51"/>
    </row>
    <row r="50" spans="2:7" x14ac:dyDescent="0.2">
      <c r="B50" s="9">
        <v>15</v>
      </c>
      <c r="C50" s="50" t="s">
        <v>72</v>
      </c>
      <c r="D50" s="50"/>
      <c r="E50" s="50"/>
      <c r="F50" s="50"/>
      <c r="G50" s="37">
        <f>SUM(F17:F22)</f>
        <v>-91733.509999999922</v>
      </c>
    </row>
    <row r="51" spans="2:7" x14ac:dyDescent="0.2">
      <c r="B51" s="9"/>
      <c r="C51" s="50"/>
      <c r="D51" s="50"/>
      <c r="E51" s="50"/>
      <c r="F51" s="50"/>
      <c r="G51" s="51"/>
    </row>
    <row r="52" spans="2:7" ht="15" thickBot="1" x14ac:dyDescent="0.25">
      <c r="B52" s="9">
        <v>16</v>
      </c>
      <c r="C52" s="50" t="s">
        <v>73</v>
      </c>
      <c r="D52" s="50"/>
      <c r="E52" s="50"/>
      <c r="F52" s="50"/>
      <c r="G52" s="52">
        <f>G48-G50</f>
        <v>-16091</v>
      </c>
    </row>
    <row r="53" spans="2:7" ht="15" thickTop="1" x14ac:dyDescent="0.2">
      <c r="B53" s="53"/>
      <c r="C53" s="54"/>
      <c r="D53" s="54"/>
      <c r="E53" s="54"/>
      <c r="F53" s="54"/>
      <c r="G53" s="55"/>
    </row>
    <row r="55" spans="2:7" x14ac:dyDescent="0.2">
      <c r="B55" t="s">
        <v>74</v>
      </c>
    </row>
    <row r="56" spans="2:7" x14ac:dyDescent="0.2">
      <c r="B56" s="43"/>
      <c r="C56" s="6"/>
      <c r="D56" s="7" t="s">
        <v>75</v>
      </c>
      <c r="E56" s="7" t="s">
        <v>75</v>
      </c>
      <c r="F56" s="7" t="s">
        <v>90</v>
      </c>
    </row>
    <row r="57" spans="2:7" x14ac:dyDescent="0.2">
      <c r="B57" s="43"/>
      <c r="C57" s="10" t="s">
        <v>28</v>
      </c>
      <c r="D57" s="10" t="s">
        <v>77</v>
      </c>
      <c r="E57" s="10" t="s">
        <v>78</v>
      </c>
      <c r="F57" s="10" t="s">
        <v>91</v>
      </c>
    </row>
    <row r="58" spans="2:7" x14ac:dyDescent="0.2">
      <c r="C58" s="19">
        <v>43831</v>
      </c>
      <c r="D58" s="17">
        <v>-7499</v>
      </c>
      <c r="E58" s="17">
        <v>0</v>
      </c>
      <c r="F58" s="17">
        <v>0</v>
      </c>
    </row>
    <row r="59" spans="2:7" x14ac:dyDescent="0.2">
      <c r="C59" s="22">
        <v>43862</v>
      </c>
      <c r="D59" s="56">
        <v>-7498</v>
      </c>
      <c r="E59" s="56">
        <v>0</v>
      </c>
      <c r="F59" s="56">
        <v>0</v>
      </c>
    </row>
    <row r="60" spans="2:7" x14ac:dyDescent="0.2">
      <c r="C60" s="22">
        <v>43891</v>
      </c>
      <c r="D60" s="56">
        <v>0</v>
      </c>
      <c r="E60" s="56">
        <v>0</v>
      </c>
      <c r="F60" s="56">
        <v>0</v>
      </c>
    </row>
    <row r="61" spans="2:7" x14ac:dyDescent="0.2">
      <c r="C61" s="22">
        <v>43922</v>
      </c>
      <c r="D61" s="56">
        <v>0</v>
      </c>
      <c r="E61" s="56">
        <v>0</v>
      </c>
      <c r="F61" s="56">
        <v>0</v>
      </c>
    </row>
    <row r="62" spans="2:7" x14ac:dyDescent="0.2">
      <c r="C62" s="22">
        <v>43952</v>
      </c>
      <c r="D62" s="56">
        <v>0</v>
      </c>
      <c r="E62" s="56">
        <v>-547</v>
      </c>
      <c r="F62" s="56">
        <v>0</v>
      </c>
    </row>
    <row r="63" spans="2:7" x14ac:dyDescent="0.2">
      <c r="C63" s="22">
        <v>43983</v>
      </c>
      <c r="D63" s="57">
        <v>0</v>
      </c>
      <c r="E63" s="57">
        <v>-547</v>
      </c>
      <c r="F63" s="57">
        <v>0</v>
      </c>
    </row>
    <row r="64" spans="2:7" x14ac:dyDescent="0.2">
      <c r="C64" s="58" t="s">
        <v>79</v>
      </c>
      <c r="D64" s="42">
        <f>SUM(D58:D63)</f>
        <v>-14997</v>
      </c>
      <c r="E64" s="42">
        <f>SUM(E58:E63)</f>
        <v>-1094</v>
      </c>
      <c r="F64" s="42">
        <f>SUM(F58:F63)</f>
        <v>0</v>
      </c>
    </row>
  </sheetData>
  <mergeCells count="3">
    <mergeCell ref="B4:G5"/>
    <mergeCell ref="C12:G12"/>
    <mergeCell ref="I4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A26" sqref="A26"/>
    </sheetView>
  </sheetViews>
  <sheetFormatPr defaultColWidth="12.625" defaultRowHeight="14.25" x14ac:dyDescent="0.2"/>
  <cols>
    <col min="2" max="2" width="8.75" customWidth="1"/>
    <col min="3" max="3" width="30.625" customWidth="1"/>
    <col min="4" max="5" width="17.625" customWidth="1"/>
    <col min="6" max="6" width="21.125" customWidth="1"/>
    <col min="7" max="7" width="17.625" customWidth="1"/>
    <col min="9" max="13" width="17.625" customWidth="1"/>
  </cols>
  <sheetData>
    <row r="1" spans="1:13" x14ac:dyDescent="0.2">
      <c r="A1" t="str">
        <f>Summary!A1</f>
        <v>DR1 Response 2 - Shelby Surcharge Summary.xlsx</v>
      </c>
    </row>
    <row r="4" spans="1:13" ht="14.25" customHeight="1" x14ac:dyDescent="0.2">
      <c r="B4" s="89" t="s">
        <v>17</v>
      </c>
      <c r="C4" s="90"/>
      <c r="D4" s="90"/>
      <c r="E4" s="90"/>
      <c r="F4" s="90"/>
      <c r="G4" s="91"/>
      <c r="I4" s="98" t="s">
        <v>83</v>
      </c>
      <c r="J4" s="99"/>
      <c r="K4" s="99"/>
      <c r="L4" s="99"/>
      <c r="M4" s="100"/>
    </row>
    <row r="5" spans="1:13" ht="14.25" customHeight="1" x14ac:dyDescent="0.2">
      <c r="B5" s="92"/>
      <c r="C5" s="93"/>
      <c r="D5" s="93"/>
      <c r="E5" s="93"/>
      <c r="F5" s="93"/>
      <c r="G5" s="94"/>
      <c r="I5" s="101"/>
      <c r="J5" s="102"/>
      <c r="K5" s="102"/>
      <c r="L5" s="102"/>
      <c r="M5" s="103"/>
    </row>
    <row r="6" spans="1:13" ht="15" x14ac:dyDescent="0.2">
      <c r="D6" s="43" t="s">
        <v>81</v>
      </c>
      <c r="I6" s="62"/>
      <c r="J6" s="62"/>
      <c r="K6" s="62"/>
      <c r="L6" s="62"/>
      <c r="M6" s="62"/>
    </row>
    <row r="7" spans="1:13" ht="15.75" x14ac:dyDescent="0.25">
      <c r="B7" s="6"/>
      <c r="C7" s="6"/>
      <c r="D7" s="6"/>
      <c r="E7" s="7" t="s">
        <v>18</v>
      </c>
      <c r="F7" s="6"/>
      <c r="G7" s="6"/>
      <c r="I7" s="63" t="s">
        <v>84</v>
      </c>
      <c r="J7" s="62"/>
      <c r="K7" s="62"/>
      <c r="L7" s="62"/>
      <c r="M7" s="62"/>
    </row>
    <row r="8" spans="1:13" ht="15" x14ac:dyDescent="0.2">
      <c r="B8" s="8"/>
      <c r="C8" s="8"/>
      <c r="D8" s="9" t="s">
        <v>19</v>
      </c>
      <c r="E8" s="9" t="s">
        <v>20</v>
      </c>
      <c r="F8" s="8"/>
      <c r="G8" s="8"/>
      <c r="I8" s="62"/>
      <c r="J8" s="62"/>
      <c r="K8" s="62"/>
      <c r="L8" s="62"/>
      <c r="M8" s="62"/>
    </row>
    <row r="9" spans="1:13" x14ac:dyDescent="0.2">
      <c r="B9" s="8"/>
      <c r="C9" s="8"/>
      <c r="D9" s="9" t="s">
        <v>21</v>
      </c>
      <c r="E9" s="9" t="s">
        <v>22</v>
      </c>
      <c r="F9" s="9" t="s">
        <v>23</v>
      </c>
      <c r="G9" s="9" t="s">
        <v>24</v>
      </c>
      <c r="I9" s="64"/>
      <c r="J9" s="64"/>
      <c r="K9" s="65" t="s">
        <v>18</v>
      </c>
      <c r="L9" s="64"/>
      <c r="M9" s="64"/>
    </row>
    <row r="10" spans="1:13" x14ac:dyDescent="0.2">
      <c r="B10" s="10"/>
      <c r="C10" s="10"/>
      <c r="D10" s="10" t="s">
        <v>25</v>
      </c>
      <c r="E10" s="10" t="s">
        <v>25</v>
      </c>
      <c r="F10" s="10" t="s">
        <v>26</v>
      </c>
      <c r="G10" s="10" t="s">
        <v>26</v>
      </c>
      <c r="I10" s="66"/>
      <c r="J10" s="67" t="s">
        <v>19</v>
      </c>
      <c r="K10" s="67" t="s">
        <v>20</v>
      </c>
      <c r="L10" s="66"/>
      <c r="M10" s="66"/>
    </row>
    <row r="11" spans="1:13" x14ac:dyDescent="0.2">
      <c r="B11" s="11" t="s">
        <v>27</v>
      </c>
      <c r="C11" s="11" t="s">
        <v>28</v>
      </c>
      <c r="D11" s="12" t="s">
        <v>29</v>
      </c>
      <c r="E11" s="12" t="s">
        <v>30</v>
      </c>
      <c r="F11" s="12" t="s">
        <v>31</v>
      </c>
      <c r="G11" s="12" t="s">
        <v>32</v>
      </c>
      <c r="I11" s="66"/>
      <c r="J11" s="67" t="s">
        <v>21</v>
      </c>
      <c r="K11" s="67" t="s">
        <v>22</v>
      </c>
      <c r="L11" s="67" t="s">
        <v>23</v>
      </c>
      <c r="M11" s="67" t="s">
        <v>24</v>
      </c>
    </row>
    <row r="12" spans="1:13" x14ac:dyDescent="0.2">
      <c r="B12" s="7">
        <v>1</v>
      </c>
      <c r="C12" s="95" t="s">
        <v>33</v>
      </c>
      <c r="D12" s="96"/>
      <c r="E12" s="96"/>
      <c r="F12" s="96"/>
      <c r="G12" s="97"/>
      <c r="I12" s="68"/>
      <c r="J12" s="68" t="s">
        <v>25</v>
      </c>
      <c r="K12" s="68" t="s">
        <v>25</v>
      </c>
      <c r="L12" s="68" t="s">
        <v>26</v>
      </c>
      <c r="M12" s="68" t="s">
        <v>26</v>
      </c>
    </row>
    <row r="13" spans="1:13" x14ac:dyDescent="0.2">
      <c r="B13" s="7" t="s">
        <v>34</v>
      </c>
      <c r="C13" s="13" t="s">
        <v>39</v>
      </c>
      <c r="D13" s="13"/>
      <c r="E13" s="13"/>
      <c r="F13" s="14"/>
      <c r="G13" s="15">
        <v>-2188</v>
      </c>
      <c r="I13" s="69" t="s">
        <v>28</v>
      </c>
      <c r="J13" s="70" t="s">
        <v>85</v>
      </c>
      <c r="K13" s="70" t="s">
        <v>29</v>
      </c>
      <c r="L13" s="70" t="s">
        <v>30</v>
      </c>
      <c r="M13" s="70" t="s">
        <v>31</v>
      </c>
    </row>
    <row r="14" spans="1:13" x14ac:dyDescent="0.2">
      <c r="B14" s="9" t="s">
        <v>36</v>
      </c>
      <c r="C14" s="13" t="s">
        <v>88</v>
      </c>
      <c r="D14" s="13"/>
      <c r="E14" s="13"/>
      <c r="F14" s="14"/>
      <c r="G14" s="15">
        <f>'A - 11-30-19'!G37</f>
        <v>49194.81</v>
      </c>
      <c r="I14" s="71">
        <v>44013</v>
      </c>
      <c r="J14" s="72">
        <v>152160</v>
      </c>
      <c r="K14" s="73">
        <f>85434.15+66726</f>
        <v>152160.15</v>
      </c>
      <c r="L14" s="74">
        <f t="shared" ref="L14:L21" si="0">J14-K14</f>
        <v>-0.14999999999417923</v>
      </c>
      <c r="M14" s="75">
        <f>L14</f>
        <v>-0.14999999999417923</v>
      </c>
    </row>
    <row r="15" spans="1:13" x14ac:dyDescent="0.2">
      <c r="B15" s="9" t="s">
        <v>38</v>
      </c>
      <c r="C15" s="13" t="s">
        <v>93</v>
      </c>
      <c r="D15" s="13"/>
      <c r="E15" s="13"/>
      <c r="F15" s="16"/>
      <c r="G15" s="17">
        <f>'B - 05-31-20'!G37</f>
        <v>-107824.50999999992</v>
      </c>
      <c r="I15" s="76">
        <v>44044</v>
      </c>
      <c r="J15" s="72">
        <v>149098</v>
      </c>
      <c r="K15" s="73">
        <f>90113.67+58984</f>
        <v>149097.66999999998</v>
      </c>
      <c r="L15" s="75">
        <f t="shared" si="0"/>
        <v>0.33000000001629815</v>
      </c>
      <c r="M15" s="75">
        <f>M14+L15</f>
        <v>0.18000000002211891</v>
      </c>
    </row>
    <row r="16" spans="1:13" x14ac:dyDescent="0.2">
      <c r="B16" s="10" t="s">
        <v>40</v>
      </c>
      <c r="C16" s="13" t="s">
        <v>41</v>
      </c>
      <c r="D16" s="13"/>
      <c r="E16" s="13"/>
      <c r="F16" s="16"/>
      <c r="G16" s="18">
        <f>G13+G14+G15</f>
        <v>-60817.699999999924</v>
      </c>
      <c r="I16" s="76">
        <v>44075</v>
      </c>
      <c r="J16" s="72">
        <v>99529</v>
      </c>
      <c r="K16" s="72">
        <f>81619.15+17910</f>
        <v>99529.15</v>
      </c>
      <c r="L16" s="75">
        <f t="shared" si="0"/>
        <v>-0.14999999999417923</v>
      </c>
      <c r="M16" s="75">
        <f t="shared" ref="M16:M19" si="1">M15+L16</f>
        <v>3.0000000027939677E-2</v>
      </c>
    </row>
    <row r="17" spans="2:13" x14ac:dyDescent="0.2">
      <c r="B17" s="9">
        <v>2</v>
      </c>
      <c r="C17" s="19">
        <v>44013</v>
      </c>
      <c r="D17" s="17">
        <f>404716-626</f>
        <v>404090</v>
      </c>
      <c r="E17" s="59">
        <f>421121.14-85434.15-66726</f>
        <v>268960.99</v>
      </c>
      <c r="F17" s="21">
        <f t="shared" ref="F17:F24" si="2">D17-E17</f>
        <v>135129.01</v>
      </c>
      <c r="G17" s="18">
        <f t="shared" ref="G17:G24" si="3">G16+F17</f>
        <v>74311.310000000085</v>
      </c>
      <c r="I17" s="76">
        <v>44105</v>
      </c>
      <c r="J17" s="72">
        <v>100054</v>
      </c>
      <c r="K17" s="72">
        <f>47590.81+52463</f>
        <v>100053.81</v>
      </c>
      <c r="L17" s="75">
        <f t="shared" si="0"/>
        <v>0.19000000000232831</v>
      </c>
      <c r="M17" s="75">
        <f t="shared" si="1"/>
        <v>0.22000000003026798</v>
      </c>
    </row>
    <row r="18" spans="2:13" x14ac:dyDescent="0.2">
      <c r="B18" s="9">
        <v>3</v>
      </c>
      <c r="C18" s="22">
        <v>44044</v>
      </c>
      <c r="D18" s="56">
        <f>355166-0</f>
        <v>355166</v>
      </c>
      <c r="E18" s="60">
        <f>441391.63-90113.67-58984</f>
        <v>292293.96000000002</v>
      </c>
      <c r="F18" s="24">
        <f t="shared" si="2"/>
        <v>62872.039999999979</v>
      </c>
      <c r="G18" s="25">
        <f t="shared" si="3"/>
        <v>137183.35000000006</v>
      </c>
      <c r="I18" s="76">
        <v>44136</v>
      </c>
      <c r="J18" s="72">
        <v>120568</v>
      </c>
      <c r="K18" s="85">
        <f>63052.61+57515</f>
        <v>120567.61</v>
      </c>
      <c r="L18" s="75">
        <f t="shared" si="0"/>
        <v>0.38999999999941792</v>
      </c>
      <c r="M18" s="75">
        <f>M17+L18-1</f>
        <v>-0.38999999997031409</v>
      </c>
    </row>
    <row r="19" spans="2:13" x14ac:dyDescent="0.2">
      <c r="B19" s="9">
        <v>4</v>
      </c>
      <c r="C19" s="22">
        <v>44075</v>
      </c>
      <c r="D19" s="56">
        <f>212453-430</f>
        <v>212023</v>
      </c>
      <c r="E19" s="60">
        <f>364679.56-81619.15-17910</f>
        <v>265150.41000000003</v>
      </c>
      <c r="F19" s="24">
        <f t="shared" si="2"/>
        <v>-53127.410000000033</v>
      </c>
      <c r="G19" s="25">
        <f t="shared" si="3"/>
        <v>84055.940000000031</v>
      </c>
      <c r="I19" s="77">
        <v>44166</v>
      </c>
      <c r="J19" s="85">
        <v>130981</v>
      </c>
      <c r="K19" s="86">
        <f>75646.8+55334</f>
        <v>130980.8</v>
      </c>
      <c r="L19" s="78">
        <f t="shared" si="0"/>
        <v>0.19999999999708962</v>
      </c>
      <c r="M19" s="78">
        <f t="shared" si="1"/>
        <v>-0.18999999997322448</v>
      </c>
    </row>
    <row r="20" spans="2:13" x14ac:dyDescent="0.2">
      <c r="B20" s="9">
        <v>5</v>
      </c>
      <c r="C20" s="22">
        <v>44105</v>
      </c>
      <c r="D20" s="56">
        <f>195295-469</f>
        <v>194826</v>
      </c>
      <c r="E20" s="60">
        <f>181775.5-47590.81-52463</f>
        <v>81721.69</v>
      </c>
      <c r="F20" s="24">
        <f t="shared" si="2"/>
        <v>113104.31</v>
      </c>
      <c r="G20" s="25">
        <f t="shared" si="3"/>
        <v>197160.25000000003</v>
      </c>
      <c r="I20" s="76">
        <v>44197</v>
      </c>
      <c r="J20" s="87">
        <v>118230</v>
      </c>
      <c r="K20" s="87">
        <f>90082.13+28148</f>
        <v>118230.13</v>
      </c>
      <c r="L20" s="75">
        <f t="shared" si="0"/>
        <v>-0.13000000000465661</v>
      </c>
      <c r="M20" s="75">
        <f>M19+L20</f>
        <v>-0.31999999997788109</v>
      </c>
    </row>
    <row r="21" spans="2:13" x14ac:dyDescent="0.2">
      <c r="B21" s="9">
        <v>6</v>
      </c>
      <c r="C21" s="22">
        <v>44136</v>
      </c>
      <c r="D21" s="56">
        <f>290196-558</f>
        <v>289638</v>
      </c>
      <c r="E21" s="60">
        <f>320179.74-63052.61-57515</f>
        <v>199612.13</v>
      </c>
      <c r="F21" s="24">
        <f t="shared" si="2"/>
        <v>90025.87</v>
      </c>
      <c r="G21" s="25">
        <f t="shared" si="3"/>
        <v>287186.12</v>
      </c>
      <c r="I21" s="77">
        <v>44228</v>
      </c>
      <c r="J21" s="86">
        <v>70361</v>
      </c>
      <c r="K21" s="86">
        <f>73385.61-3025</f>
        <v>70360.61</v>
      </c>
      <c r="L21" s="78">
        <f t="shared" si="0"/>
        <v>0.38999999999941792</v>
      </c>
      <c r="M21" s="78">
        <f>M20+L21</f>
        <v>7.0000000021536835E-2</v>
      </c>
    </row>
    <row r="22" spans="2:13" x14ac:dyDescent="0.2">
      <c r="B22" s="9">
        <v>7</v>
      </c>
      <c r="C22" s="22">
        <v>44166</v>
      </c>
      <c r="D22" s="56">
        <f>453429-631</f>
        <v>452798</v>
      </c>
      <c r="E22" s="60">
        <f>451649.99-75646.8-55334</f>
        <v>320669.19</v>
      </c>
      <c r="F22" s="26">
        <f t="shared" si="2"/>
        <v>132128.81</v>
      </c>
      <c r="G22" s="27">
        <f t="shared" si="3"/>
        <v>419314.93</v>
      </c>
      <c r="I22" s="79"/>
      <c r="J22" s="79"/>
      <c r="K22" s="79"/>
      <c r="L22" s="79"/>
      <c r="M22" s="79"/>
    </row>
    <row r="23" spans="2:13" x14ac:dyDescent="0.2">
      <c r="B23" s="28" t="s">
        <v>42</v>
      </c>
      <c r="C23" s="19">
        <v>44197</v>
      </c>
      <c r="D23" s="17">
        <f>425038-560</f>
        <v>424478</v>
      </c>
      <c r="E23" s="59">
        <f>551282.33-90082.13-28148</f>
        <v>433052.19999999995</v>
      </c>
      <c r="F23" s="21">
        <f t="shared" si="2"/>
        <v>-8574.1999999999534</v>
      </c>
      <c r="G23" s="18">
        <f t="shared" si="3"/>
        <v>410740.73000000004</v>
      </c>
      <c r="I23" s="80" t="s">
        <v>86</v>
      </c>
      <c r="J23" s="81"/>
      <c r="K23" s="81"/>
      <c r="L23" s="82"/>
      <c r="M23" s="83">
        <f>M19</f>
        <v>-0.18999999997322448</v>
      </c>
    </row>
    <row r="24" spans="2:13" x14ac:dyDescent="0.2">
      <c r="B24" s="29" t="s">
        <v>43</v>
      </c>
      <c r="C24" s="30">
        <v>44228</v>
      </c>
      <c r="D24" s="57">
        <f>280276-376</f>
        <v>279900</v>
      </c>
      <c r="E24" s="61">
        <f>467163.46-73385.61+3025</f>
        <v>396802.85000000003</v>
      </c>
      <c r="F24" s="26">
        <f t="shared" si="2"/>
        <v>-116902.85000000003</v>
      </c>
      <c r="G24" s="27">
        <f t="shared" si="3"/>
        <v>293837.88</v>
      </c>
      <c r="I24" s="79"/>
      <c r="J24" s="79"/>
      <c r="K24" s="79"/>
      <c r="L24" s="79"/>
      <c r="M24" s="84"/>
    </row>
    <row r="25" spans="2:13" x14ac:dyDescent="0.2">
      <c r="B25" s="10"/>
      <c r="C25" s="31" t="s">
        <v>92</v>
      </c>
      <c r="D25" s="32"/>
      <c r="E25" s="32"/>
      <c r="F25" s="32"/>
      <c r="G25" s="33"/>
      <c r="I25" s="80" t="s">
        <v>87</v>
      </c>
      <c r="J25" s="81"/>
      <c r="K25" s="81"/>
      <c r="L25" s="82"/>
      <c r="M25" s="83">
        <f>M23/6</f>
        <v>-3.1666666662204079E-2</v>
      </c>
    </row>
    <row r="26" spans="2:13" x14ac:dyDescent="0.2">
      <c r="B26" s="7"/>
      <c r="C26" s="6"/>
      <c r="D26" s="6"/>
      <c r="E26" s="6"/>
      <c r="F26" s="6"/>
      <c r="G26" s="18"/>
    </row>
    <row r="27" spans="2:13" x14ac:dyDescent="0.2">
      <c r="B27" s="9"/>
      <c r="C27" s="8"/>
      <c r="D27" s="9" t="s">
        <v>45</v>
      </c>
      <c r="E27" s="9" t="s">
        <v>46</v>
      </c>
      <c r="F27" s="8"/>
      <c r="G27" s="25"/>
    </row>
    <row r="28" spans="2:13" x14ac:dyDescent="0.2">
      <c r="B28" s="9">
        <v>8</v>
      </c>
      <c r="C28" s="8"/>
      <c r="D28" s="9" t="s">
        <v>47</v>
      </c>
      <c r="E28" s="9" t="s">
        <v>48</v>
      </c>
      <c r="F28" s="8"/>
      <c r="G28" s="34" t="s">
        <v>45</v>
      </c>
    </row>
    <row r="29" spans="2:13" x14ac:dyDescent="0.2">
      <c r="B29" s="9"/>
      <c r="C29" s="8"/>
      <c r="D29" s="9" t="s">
        <v>49</v>
      </c>
      <c r="E29" s="9" t="s">
        <v>50</v>
      </c>
      <c r="F29" s="8"/>
      <c r="G29" s="34" t="s">
        <v>51</v>
      </c>
    </row>
    <row r="30" spans="2:13" x14ac:dyDescent="0.2">
      <c r="B30" s="9"/>
      <c r="C30" s="8"/>
      <c r="D30" s="9" t="s">
        <v>52</v>
      </c>
      <c r="E30" s="9" t="s">
        <v>53</v>
      </c>
      <c r="F30" s="8"/>
      <c r="G30" s="34" t="s">
        <v>54</v>
      </c>
    </row>
    <row r="31" spans="2:13" x14ac:dyDescent="0.2">
      <c r="B31" s="10"/>
      <c r="C31" s="8"/>
      <c r="D31" s="9" t="s">
        <v>55</v>
      </c>
      <c r="E31" s="9" t="s">
        <v>56</v>
      </c>
      <c r="F31" s="8"/>
      <c r="G31" s="34" t="s">
        <v>57</v>
      </c>
    </row>
    <row r="32" spans="2:13" x14ac:dyDescent="0.2">
      <c r="B32" s="28" t="s">
        <v>58</v>
      </c>
      <c r="C32" s="6" t="s">
        <v>63</v>
      </c>
      <c r="D32" s="18">
        <f>-G13</f>
        <v>2188</v>
      </c>
      <c r="E32" s="18">
        <f>D64</f>
        <v>-2188</v>
      </c>
      <c r="F32" s="6"/>
      <c r="G32" s="18">
        <f>D32+E32</f>
        <v>0</v>
      </c>
    </row>
    <row r="33" spans="2:7" x14ac:dyDescent="0.2">
      <c r="B33" s="35" t="s">
        <v>60</v>
      </c>
      <c r="C33" s="8" t="s">
        <v>89</v>
      </c>
      <c r="D33" s="25">
        <f>-G14</f>
        <v>-49194.81</v>
      </c>
      <c r="E33" s="25">
        <f>E64</f>
        <v>0</v>
      </c>
      <c r="F33" s="8"/>
      <c r="G33" s="25">
        <f>D33+E33</f>
        <v>-49194.81</v>
      </c>
    </row>
    <row r="34" spans="2:7" x14ac:dyDescent="0.2">
      <c r="B34" s="35" t="s">
        <v>62</v>
      </c>
      <c r="C34" s="36" t="s">
        <v>94</v>
      </c>
      <c r="D34" s="27">
        <f>-G15</f>
        <v>107824.50999999992</v>
      </c>
      <c r="E34" s="37">
        <f>F64</f>
        <v>0</v>
      </c>
      <c r="F34" s="38"/>
      <c r="G34" s="25">
        <f>D34+E34</f>
        <v>107824.50999999992</v>
      </c>
    </row>
    <row r="35" spans="2:7" x14ac:dyDescent="0.2">
      <c r="B35" s="10" t="s">
        <v>64</v>
      </c>
      <c r="C35" s="39"/>
      <c r="D35" s="40"/>
      <c r="E35" s="40"/>
      <c r="F35" s="41" t="s">
        <v>65</v>
      </c>
      <c r="G35" s="42">
        <f>G32+G33+G34</f>
        <v>58629.699999999924</v>
      </c>
    </row>
    <row r="36" spans="2:7" x14ac:dyDescent="0.2">
      <c r="B36" s="43"/>
      <c r="G36" s="44"/>
    </row>
    <row r="37" spans="2:7" x14ac:dyDescent="0.2">
      <c r="B37" s="11">
        <v>9</v>
      </c>
      <c r="C37" s="45" t="s">
        <v>66</v>
      </c>
      <c r="D37" s="13"/>
      <c r="E37" s="13"/>
      <c r="F37" s="14"/>
      <c r="G37" s="42">
        <f>G22+G35</f>
        <v>477944.62999999989</v>
      </c>
    </row>
    <row r="38" spans="2:7" x14ac:dyDescent="0.2">
      <c r="B38" s="43"/>
      <c r="G38" s="44"/>
    </row>
    <row r="39" spans="2:7" x14ac:dyDescent="0.2">
      <c r="B39" s="11">
        <v>10</v>
      </c>
      <c r="C39" s="45" t="s">
        <v>80</v>
      </c>
      <c r="D39" s="13"/>
      <c r="E39" s="13"/>
      <c r="F39" s="14"/>
      <c r="G39" s="42">
        <f>G37/6</f>
        <v>79657.43833333331</v>
      </c>
    </row>
    <row r="41" spans="2:7" x14ac:dyDescent="0.2">
      <c r="B41" s="6"/>
      <c r="C41" s="46" t="s">
        <v>67</v>
      </c>
      <c r="D41" s="47"/>
      <c r="E41" s="47"/>
      <c r="F41" s="47"/>
      <c r="G41" s="48"/>
    </row>
    <row r="42" spans="2:7" x14ac:dyDescent="0.2">
      <c r="B42" s="6"/>
      <c r="C42" s="49"/>
      <c r="D42" s="49"/>
      <c r="E42" s="49"/>
      <c r="F42" s="49"/>
      <c r="G42" s="16"/>
    </row>
    <row r="43" spans="2:7" x14ac:dyDescent="0.2">
      <c r="B43" s="9">
        <v>11</v>
      </c>
      <c r="C43" s="50" t="s">
        <v>68</v>
      </c>
      <c r="D43" s="50"/>
      <c r="E43" s="50"/>
      <c r="F43" s="50"/>
      <c r="G43" s="51">
        <f>G16</f>
        <v>-60817.699999999924</v>
      </c>
    </row>
    <row r="44" spans="2:7" x14ac:dyDescent="0.2">
      <c r="B44" s="9">
        <v>12</v>
      </c>
      <c r="C44" s="50" t="s">
        <v>69</v>
      </c>
      <c r="D44" s="50"/>
      <c r="E44" s="50"/>
      <c r="F44" s="50"/>
      <c r="G44" s="37">
        <f>G35</f>
        <v>58629.699999999924</v>
      </c>
    </row>
    <row r="45" spans="2:7" x14ac:dyDescent="0.2">
      <c r="B45" s="9"/>
      <c r="C45" s="50"/>
      <c r="D45" s="50"/>
      <c r="E45" s="50"/>
      <c r="F45" s="50"/>
      <c r="G45" s="51"/>
    </row>
    <row r="46" spans="2:7" ht="15" thickBot="1" x14ac:dyDescent="0.25">
      <c r="B46" s="9">
        <v>13</v>
      </c>
      <c r="C46" s="50" t="s">
        <v>70</v>
      </c>
      <c r="D46" s="50"/>
      <c r="E46" s="50"/>
      <c r="F46" s="50"/>
      <c r="G46" s="52">
        <f>G43+G44</f>
        <v>-2188</v>
      </c>
    </row>
    <row r="47" spans="2:7" ht="15" thickTop="1" x14ac:dyDescent="0.2">
      <c r="B47" s="9"/>
      <c r="C47" s="50"/>
      <c r="D47" s="50"/>
      <c r="E47" s="50"/>
      <c r="F47" s="50"/>
      <c r="G47" s="51"/>
    </row>
    <row r="48" spans="2:7" x14ac:dyDescent="0.2">
      <c r="B48" s="9">
        <v>14</v>
      </c>
      <c r="C48" s="50" t="s">
        <v>71</v>
      </c>
      <c r="D48" s="50"/>
      <c r="E48" s="50"/>
      <c r="F48" s="50"/>
      <c r="G48" s="51">
        <f>G37</f>
        <v>477944.62999999989</v>
      </c>
    </row>
    <row r="49" spans="2:7" x14ac:dyDescent="0.2">
      <c r="B49" s="9"/>
      <c r="C49" s="50"/>
      <c r="D49" s="50"/>
      <c r="E49" s="50"/>
      <c r="F49" s="50"/>
      <c r="G49" s="51"/>
    </row>
    <row r="50" spans="2:7" x14ac:dyDescent="0.2">
      <c r="B50" s="9">
        <v>15</v>
      </c>
      <c r="C50" s="50" t="s">
        <v>72</v>
      </c>
      <c r="D50" s="50"/>
      <c r="E50" s="50"/>
      <c r="F50" s="50"/>
      <c r="G50" s="37">
        <f>SUM(F17:F22)</f>
        <v>480132.62999999995</v>
      </c>
    </row>
    <row r="51" spans="2:7" x14ac:dyDescent="0.2">
      <c r="B51" s="9"/>
      <c r="C51" s="50"/>
      <c r="D51" s="50"/>
      <c r="E51" s="50"/>
      <c r="F51" s="50"/>
      <c r="G51" s="51"/>
    </row>
    <row r="52" spans="2:7" ht="15" thickBot="1" x14ac:dyDescent="0.25">
      <c r="B52" s="9">
        <v>16</v>
      </c>
      <c r="C52" s="50" t="s">
        <v>73</v>
      </c>
      <c r="D52" s="50"/>
      <c r="E52" s="50"/>
      <c r="F52" s="50"/>
      <c r="G52" s="52">
        <f>G48-G50</f>
        <v>-2188.0000000000582</v>
      </c>
    </row>
    <row r="53" spans="2:7" ht="15" thickTop="1" x14ac:dyDescent="0.2">
      <c r="B53" s="53"/>
      <c r="C53" s="54"/>
      <c r="D53" s="54"/>
      <c r="E53" s="54"/>
      <c r="F53" s="54"/>
      <c r="G53" s="55"/>
    </row>
    <row r="55" spans="2:7" x14ac:dyDescent="0.2">
      <c r="B55" t="s">
        <v>74</v>
      </c>
    </row>
    <row r="56" spans="2:7" x14ac:dyDescent="0.2">
      <c r="B56" s="43"/>
      <c r="C56" s="6"/>
      <c r="D56" s="7" t="s">
        <v>75</v>
      </c>
      <c r="E56" s="7" t="s">
        <v>90</v>
      </c>
      <c r="F56" s="7" t="s">
        <v>90</v>
      </c>
    </row>
    <row r="57" spans="2:7" x14ac:dyDescent="0.2">
      <c r="B57" s="43"/>
      <c r="C57" s="10" t="s">
        <v>28</v>
      </c>
      <c r="D57" s="10" t="s">
        <v>78</v>
      </c>
      <c r="E57" s="10" t="s">
        <v>91</v>
      </c>
      <c r="F57" s="10" t="s">
        <v>95</v>
      </c>
    </row>
    <row r="58" spans="2:7" x14ac:dyDescent="0.2">
      <c r="C58" s="19">
        <v>44013</v>
      </c>
      <c r="D58" s="20">
        <v>-547</v>
      </c>
      <c r="E58" s="17">
        <v>0</v>
      </c>
      <c r="F58" s="17">
        <v>0</v>
      </c>
    </row>
    <row r="59" spans="2:7" x14ac:dyDescent="0.2">
      <c r="C59" s="22">
        <v>44044</v>
      </c>
      <c r="D59" s="23">
        <v>-547</v>
      </c>
      <c r="E59" s="56">
        <v>0</v>
      </c>
      <c r="F59" s="56">
        <v>0</v>
      </c>
    </row>
    <row r="60" spans="2:7" x14ac:dyDescent="0.2">
      <c r="C60" s="22">
        <v>44075</v>
      </c>
      <c r="D60" s="23">
        <v>-547</v>
      </c>
      <c r="E60" s="56">
        <v>0</v>
      </c>
      <c r="F60" s="56">
        <v>0</v>
      </c>
    </row>
    <row r="61" spans="2:7" x14ac:dyDescent="0.2">
      <c r="C61" s="22">
        <v>44105</v>
      </c>
      <c r="D61" s="23">
        <v>-547</v>
      </c>
      <c r="E61" s="56">
        <v>0</v>
      </c>
      <c r="F61" s="56">
        <v>0</v>
      </c>
    </row>
    <row r="62" spans="2:7" x14ac:dyDescent="0.2">
      <c r="C62" s="22">
        <v>44136</v>
      </c>
      <c r="D62" s="56">
        <v>0</v>
      </c>
      <c r="E62" s="56">
        <v>0</v>
      </c>
      <c r="F62" s="56">
        <v>0</v>
      </c>
    </row>
    <row r="63" spans="2:7" x14ac:dyDescent="0.2">
      <c r="C63" s="22">
        <v>44166</v>
      </c>
      <c r="D63" s="57">
        <v>0</v>
      </c>
      <c r="E63" s="57">
        <v>0</v>
      </c>
      <c r="F63" s="57">
        <v>0</v>
      </c>
    </row>
    <row r="64" spans="2:7" x14ac:dyDescent="0.2">
      <c r="C64" s="58" t="s">
        <v>79</v>
      </c>
      <c r="D64" s="42">
        <f>SUM(D58:D63)</f>
        <v>-2188</v>
      </c>
      <c r="E64" s="42">
        <f>SUM(E58:E63)</f>
        <v>0</v>
      </c>
      <c r="F64" s="42">
        <f>SUM(F58:F63)</f>
        <v>0</v>
      </c>
    </row>
  </sheetData>
  <mergeCells count="3">
    <mergeCell ref="B4:G5"/>
    <mergeCell ref="C12:G12"/>
    <mergeCell ref="I4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A25" sqref="A25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21.125" customWidth="1"/>
    <col min="7" max="7" width="17.625" customWidth="1"/>
    <col min="9" max="13" width="17.625" customWidth="1"/>
  </cols>
  <sheetData>
    <row r="1" spans="1:13" x14ac:dyDescent="0.2">
      <c r="A1" t="str">
        <f>Summary!A1</f>
        <v>DR1 Response 2 - Shelby Surcharge Summary.xlsx</v>
      </c>
    </row>
    <row r="4" spans="1:13" ht="14.25" customHeight="1" x14ac:dyDescent="0.2">
      <c r="B4" s="89" t="s">
        <v>17</v>
      </c>
      <c r="C4" s="90"/>
      <c r="D4" s="90"/>
      <c r="E4" s="90"/>
      <c r="F4" s="90"/>
      <c r="G4" s="91"/>
      <c r="I4" s="98" t="s">
        <v>83</v>
      </c>
      <c r="J4" s="99"/>
      <c r="K4" s="99"/>
      <c r="L4" s="99"/>
      <c r="M4" s="100"/>
    </row>
    <row r="5" spans="1:13" ht="14.25" customHeight="1" x14ac:dyDescent="0.2">
      <c r="B5" s="92"/>
      <c r="C5" s="93"/>
      <c r="D5" s="93"/>
      <c r="E5" s="93"/>
      <c r="F5" s="93"/>
      <c r="G5" s="94"/>
      <c r="I5" s="101"/>
      <c r="J5" s="102"/>
      <c r="K5" s="102"/>
      <c r="L5" s="102"/>
      <c r="M5" s="103"/>
    </row>
    <row r="6" spans="1:13" ht="15" x14ac:dyDescent="0.2">
      <c r="D6" s="43" t="s">
        <v>81</v>
      </c>
      <c r="I6" s="62"/>
      <c r="J6" s="62"/>
      <c r="K6" s="62"/>
      <c r="L6" s="62"/>
      <c r="M6" s="62"/>
    </row>
    <row r="7" spans="1:13" ht="15.75" x14ac:dyDescent="0.25">
      <c r="B7" s="6"/>
      <c r="C7" s="6"/>
      <c r="D7" s="6"/>
      <c r="E7" s="7" t="s">
        <v>18</v>
      </c>
      <c r="F7" s="6"/>
      <c r="G7" s="6"/>
      <c r="I7" s="63" t="s">
        <v>84</v>
      </c>
      <c r="J7" s="62"/>
      <c r="K7" s="62"/>
      <c r="L7" s="62"/>
      <c r="M7" s="62"/>
    </row>
    <row r="8" spans="1:13" ht="15" x14ac:dyDescent="0.2">
      <c r="B8" s="8"/>
      <c r="C8" s="8"/>
      <c r="D8" s="9" t="s">
        <v>19</v>
      </c>
      <c r="E8" s="9" t="s">
        <v>20</v>
      </c>
      <c r="F8" s="8"/>
      <c r="G8" s="8"/>
      <c r="I8" s="62"/>
      <c r="J8" s="62"/>
      <c r="K8" s="62"/>
      <c r="L8" s="62"/>
      <c r="M8" s="62"/>
    </row>
    <row r="9" spans="1:13" x14ac:dyDescent="0.2">
      <c r="B9" s="8"/>
      <c r="C9" s="8"/>
      <c r="D9" s="9" t="s">
        <v>21</v>
      </c>
      <c r="E9" s="9" t="s">
        <v>22</v>
      </c>
      <c r="F9" s="9" t="s">
        <v>23</v>
      </c>
      <c r="G9" s="9" t="s">
        <v>24</v>
      </c>
      <c r="I9" s="64"/>
      <c r="J9" s="64"/>
      <c r="K9" s="65" t="s">
        <v>18</v>
      </c>
      <c r="L9" s="64"/>
      <c r="M9" s="64"/>
    </row>
    <row r="10" spans="1:13" x14ac:dyDescent="0.2">
      <c r="B10" s="10"/>
      <c r="C10" s="10"/>
      <c r="D10" s="10" t="s">
        <v>25</v>
      </c>
      <c r="E10" s="10" t="s">
        <v>25</v>
      </c>
      <c r="F10" s="10" t="s">
        <v>26</v>
      </c>
      <c r="G10" s="10" t="s">
        <v>26</v>
      </c>
      <c r="I10" s="66"/>
      <c r="J10" s="67" t="s">
        <v>19</v>
      </c>
      <c r="K10" s="67" t="s">
        <v>20</v>
      </c>
      <c r="L10" s="66"/>
      <c r="M10" s="66"/>
    </row>
    <row r="11" spans="1:13" x14ac:dyDescent="0.2">
      <c r="B11" s="11" t="s">
        <v>27</v>
      </c>
      <c r="C11" s="11" t="s">
        <v>28</v>
      </c>
      <c r="D11" s="12" t="s">
        <v>29</v>
      </c>
      <c r="E11" s="12" t="s">
        <v>30</v>
      </c>
      <c r="F11" s="12" t="s">
        <v>31</v>
      </c>
      <c r="G11" s="12" t="s">
        <v>32</v>
      </c>
      <c r="I11" s="66"/>
      <c r="J11" s="67" t="s">
        <v>21</v>
      </c>
      <c r="K11" s="67" t="s">
        <v>22</v>
      </c>
      <c r="L11" s="67" t="s">
        <v>23</v>
      </c>
      <c r="M11" s="67" t="s">
        <v>24</v>
      </c>
    </row>
    <row r="12" spans="1:13" x14ac:dyDescent="0.2">
      <c r="B12" s="7">
        <v>1</v>
      </c>
      <c r="C12" s="95" t="s">
        <v>33</v>
      </c>
      <c r="D12" s="96"/>
      <c r="E12" s="96"/>
      <c r="F12" s="96"/>
      <c r="G12" s="97"/>
      <c r="I12" s="68"/>
      <c r="J12" s="68" t="s">
        <v>25</v>
      </c>
      <c r="K12" s="68" t="s">
        <v>25</v>
      </c>
      <c r="L12" s="68" t="s">
        <v>26</v>
      </c>
      <c r="M12" s="68" t="s">
        <v>26</v>
      </c>
    </row>
    <row r="13" spans="1:13" x14ac:dyDescent="0.2">
      <c r="B13" s="7" t="s">
        <v>34</v>
      </c>
      <c r="C13" s="13" t="s">
        <v>88</v>
      </c>
      <c r="D13" s="13"/>
      <c r="E13" s="13"/>
      <c r="F13" s="14"/>
      <c r="G13" s="15">
        <f>'A - 11-30-19'!G37</f>
        <v>49194.81</v>
      </c>
      <c r="I13" s="69" t="s">
        <v>28</v>
      </c>
      <c r="J13" s="70" t="s">
        <v>85</v>
      </c>
      <c r="K13" s="70" t="s">
        <v>29</v>
      </c>
      <c r="L13" s="70" t="s">
        <v>30</v>
      </c>
      <c r="M13" s="70" t="s">
        <v>31</v>
      </c>
    </row>
    <row r="14" spans="1:13" x14ac:dyDescent="0.2">
      <c r="B14" s="9" t="s">
        <v>36</v>
      </c>
      <c r="C14" s="13" t="s">
        <v>93</v>
      </c>
      <c r="D14" s="13"/>
      <c r="E14" s="13"/>
      <c r="F14" s="14"/>
      <c r="G14" s="15">
        <f>'B - 05-31-20'!G37</f>
        <v>-107824.50999999992</v>
      </c>
      <c r="I14" s="71">
        <v>44197</v>
      </c>
      <c r="J14" s="72">
        <v>118230</v>
      </c>
      <c r="K14" s="73">
        <f>90082+28148</f>
        <v>118230</v>
      </c>
      <c r="L14" s="74">
        <f t="shared" ref="L14:L21" si="0">J14-K14</f>
        <v>0</v>
      </c>
      <c r="M14" s="75">
        <f>L14</f>
        <v>0</v>
      </c>
    </row>
    <row r="15" spans="1:13" x14ac:dyDescent="0.2">
      <c r="B15" s="9" t="s">
        <v>38</v>
      </c>
      <c r="C15" s="13" t="s">
        <v>97</v>
      </c>
      <c r="D15" s="13"/>
      <c r="E15" s="13"/>
      <c r="F15" s="16"/>
      <c r="G15" s="17">
        <f>'C - 11-30-20'!G37</f>
        <v>477944.62999999989</v>
      </c>
      <c r="I15" s="76">
        <v>44228</v>
      </c>
      <c r="J15" s="72">
        <v>70361</v>
      </c>
      <c r="K15" s="73">
        <f>73385.61-3025</f>
        <v>70360.61</v>
      </c>
      <c r="L15" s="75">
        <f t="shared" si="0"/>
        <v>0.38999999999941792</v>
      </c>
      <c r="M15" s="75">
        <f>M14+L15</f>
        <v>0.38999999999941792</v>
      </c>
    </row>
    <row r="16" spans="1:13" x14ac:dyDescent="0.2">
      <c r="B16" s="10" t="s">
        <v>40</v>
      </c>
      <c r="C16" s="13" t="s">
        <v>41</v>
      </c>
      <c r="D16" s="13"/>
      <c r="E16" s="13"/>
      <c r="F16" s="16"/>
      <c r="G16" s="18">
        <f>G13+G14+G15</f>
        <v>419314.92999999993</v>
      </c>
      <c r="I16" s="76">
        <v>44256</v>
      </c>
      <c r="J16" s="72">
        <v>80807</v>
      </c>
      <c r="K16" s="72">
        <f>44453+36354</f>
        <v>80807</v>
      </c>
      <c r="L16" s="75">
        <f t="shared" si="0"/>
        <v>0</v>
      </c>
      <c r="M16" s="75">
        <f t="shared" ref="M16:M19" si="1">M15+L16</f>
        <v>0.38999999999941792</v>
      </c>
    </row>
    <row r="17" spans="2:13" x14ac:dyDescent="0.2">
      <c r="B17" s="9">
        <v>2</v>
      </c>
      <c r="C17" s="19">
        <v>44197</v>
      </c>
      <c r="D17" s="17">
        <f>425038-560</f>
        <v>424478</v>
      </c>
      <c r="E17" s="59">
        <f>551282.33-90082.13-28148</f>
        <v>433052.19999999995</v>
      </c>
      <c r="F17" s="21">
        <f t="shared" ref="F17:F24" si="2">D17-E17</f>
        <v>-8574.1999999999534</v>
      </c>
      <c r="G17" s="18">
        <f t="shared" ref="G17:G24" si="3">G16+F17</f>
        <v>410740.73</v>
      </c>
      <c r="I17" s="76">
        <v>44287</v>
      </c>
      <c r="J17" s="72">
        <v>83717</v>
      </c>
      <c r="K17" s="72">
        <v>83717</v>
      </c>
      <c r="L17" s="75">
        <f t="shared" si="0"/>
        <v>0</v>
      </c>
      <c r="M17" s="75">
        <f t="shared" si="1"/>
        <v>0.38999999999941792</v>
      </c>
    </row>
    <row r="18" spans="2:13" x14ac:dyDescent="0.2">
      <c r="B18" s="9">
        <v>3</v>
      </c>
      <c r="C18" s="22">
        <v>44228</v>
      </c>
      <c r="D18" s="56">
        <f>280276-376</f>
        <v>279900</v>
      </c>
      <c r="E18" s="60">
        <f>467163.46-73385.61+3025</f>
        <v>396802.85000000003</v>
      </c>
      <c r="F18" s="24">
        <f t="shared" si="2"/>
        <v>-116902.85000000003</v>
      </c>
      <c r="G18" s="25">
        <f t="shared" si="3"/>
        <v>293837.87999999995</v>
      </c>
      <c r="I18" s="76">
        <v>44317</v>
      </c>
      <c r="J18" s="72">
        <v>91014</v>
      </c>
      <c r="K18" s="85">
        <v>91014</v>
      </c>
      <c r="L18" s="75">
        <f t="shared" si="0"/>
        <v>0</v>
      </c>
      <c r="M18" s="75">
        <f>M17+L18</f>
        <v>0.38999999999941792</v>
      </c>
    </row>
    <row r="19" spans="2:13" x14ac:dyDescent="0.2">
      <c r="B19" s="9">
        <v>4</v>
      </c>
      <c r="C19" s="22">
        <v>44256</v>
      </c>
      <c r="D19" s="56">
        <f>217180-355</f>
        <v>216825</v>
      </c>
      <c r="E19" s="60">
        <f>194559.9-44453.21-36354</f>
        <v>113752.69</v>
      </c>
      <c r="F19" s="24">
        <f t="shared" si="2"/>
        <v>103072.31</v>
      </c>
      <c r="G19" s="25">
        <f t="shared" si="3"/>
        <v>396910.18999999994</v>
      </c>
      <c r="I19" s="77">
        <v>44348</v>
      </c>
      <c r="J19" s="85">
        <v>139741</v>
      </c>
      <c r="K19" s="86">
        <v>139741</v>
      </c>
      <c r="L19" s="78">
        <f t="shared" si="0"/>
        <v>0</v>
      </c>
      <c r="M19" s="78">
        <f t="shared" si="1"/>
        <v>0.38999999999941792</v>
      </c>
    </row>
    <row r="20" spans="2:13" x14ac:dyDescent="0.2">
      <c r="B20" s="9">
        <v>5</v>
      </c>
      <c r="C20" s="22">
        <v>44287</v>
      </c>
      <c r="D20" s="56">
        <f>220323-440</f>
        <v>219883</v>
      </c>
      <c r="E20" s="60">
        <f>283237.6-83717</f>
        <v>199520.59999999998</v>
      </c>
      <c r="F20" s="24">
        <f t="shared" si="2"/>
        <v>20362.400000000023</v>
      </c>
      <c r="G20" s="25">
        <f t="shared" si="3"/>
        <v>417272.58999999997</v>
      </c>
      <c r="I20" s="76">
        <v>44378</v>
      </c>
      <c r="J20" s="87">
        <v>134323</v>
      </c>
      <c r="K20" s="87">
        <v>134323</v>
      </c>
      <c r="L20" s="75">
        <f t="shared" si="0"/>
        <v>0</v>
      </c>
      <c r="M20" s="75">
        <f>M19+L20</f>
        <v>0.38999999999941792</v>
      </c>
    </row>
    <row r="21" spans="2:13" x14ac:dyDescent="0.2">
      <c r="B21" s="9">
        <v>6</v>
      </c>
      <c r="C21" s="22">
        <v>44317</v>
      </c>
      <c r="D21" s="56">
        <f>228563-485</f>
        <v>228078</v>
      </c>
      <c r="E21" s="60">
        <f>318876.42-91014</f>
        <v>227862.41999999998</v>
      </c>
      <c r="F21" s="24">
        <f t="shared" si="2"/>
        <v>215.5800000000163</v>
      </c>
      <c r="G21" s="25">
        <f t="shared" si="3"/>
        <v>417488.17</v>
      </c>
      <c r="I21" s="77">
        <v>44409</v>
      </c>
      <c r="J21" s="86">
        <v>127648</v>
      </c>
      <c r="K21" s="86">
        <v>127648</v>
      </c>
      <c r="L21" s="78">
        <f t="shared" si="0"/>
        <v>0</v>
      </c>
      <c r="M21" s="78">
        <f>M20+L21</f>
        <v>0.38999999999941792</v>
      </c>
    </row>
    <row r="22" spans="2:13" x14ac:dyDescent="0.2">
      <c r="B22" s="9">
        <v>7</v>
      </c>
      <c r="C22" s="22">
        <v>44348</v>
      </c>
      <c r="D22" s="56">
        <f>414959-699</f>
        <v>414260</v>
      </c>
      <c r="E22" s="60">
        <f>414759.45-139741</f>
        <v>275018.45</v>
      </c>
      <c r="F22" s="26">
        <f t="shared" si="2"/>
        <v>139241.54999999999</v>
      </c>
      <c r="G22" s="27">
        <f t="shared" si="3"/>
        <v>556729.72</v>
      </c>
      <c r="I22" s="79"/>
      <c r="J22" s="79"/>
      <c r="K22" s="79"/>
      <c r="L22" s="79"/>
      <c r="M22" s="79"/>
    </row>
    <row r="23" spans="2:13" x14ac:dyDescent="0.2">
      <c r="B23" s="28" t="s">
        <v>42</v>
      </c>
      <c r="C23" s="19">
        <v>44378</v>
      </c>
      <c r="D23" s="17">
        <f>396536-0</f>
        <v>396536</v>
      </c>
      <c r="E23" s="59">
        <f>591070.22-134323</f>
        <v>456747.22</v>
      </c>
      <c r="F23" s="21">
        <f t="shared" si="2"/>
        <v>-60211.219999999972</v>
      </c>
      <c r="G23" s="18">
        <f t="shared" si="3"/>
        <v>496518.5</v>
      </c>
      <c r="I23" s="80" t="s">
        <v>86</v>
      </c>
      <c r="J23" s="81"/>
      <c r="K23" s="81"/>
      <c r="L23" s="82"/>
      <c r="M23" s="83">
        <f>M19</f>
        <v>0.38999999999941792</v>
      </c>
    </row>
    <row r="24" spans="2:13" x14ac:dyDescent="0.2">
      <c r="B24" s="29" t="s">
        <v>43</v>
      </c>
      <c r="C24" s="30">
        <v>44409</v>
      </c>
      <c r="D24" s="57">
        <f>377963-573</f>
        <v>377390</v>
      </c>
      <c r="E24" s="61">
        <f>513516.7-127648</f>
        <v>385868.7</v>
      </c>
      <c r="F24" s="26">
        <f t="shared" si="2"/>
        <v>-8478.7000000000116</v>
      </c>
      <c r="G24" s="27">
        <f t="shared" si="3"/>
        <v>488039.8</v>
      </c>
      <c r="I24" s="79"/>
      <c r="J24" s="79"/>
      <c r="K24" s="79"/>
      <c r="L24" s="79"/>
      <c r="M24" s="84"/>
    </row>
    <row r="25" spans="2:13" x14ac:dyDescent="0.2">
      <c r="B25" s="10"/>
      <c r="C25" s="31" t="s">
        <v>96</v>
      </c>
      <c r="D25" s="32"/>
      <c r="E25" s="32"/>
      <c r="F25" s="32"/>
      <c r="G25" s="33"/>
      <c r="I25" s="80" t="s">
        <v>87</v>
      </c>
      <c r="J25" s="81"/>
      <c r="K25" s="81"/>
      <c r="L25" s="82"/>
      <c r="M25" s="83">
        <f>M23/6</f>
        <v>6.4999999999902983E-2</v>
      </c>
    </row>
    <row r="26" spans="2:13" x14ac:dyDescent="0.2">
      <c r="B26" s="7"/>
      <c r="C26" s="6"/>
      <c r="D26" s="6"/>
      <c r="E26" s="6"/>
      <c r="F26" s="6"/>
      <c r="G26" s="18"/>
    </row>
    <row r="27" spans="2:13" x14ac:dyDescent="0.2">
      <c r="B27" s="9"/>
      <c r="C27" s="8"/>
      <c r="D27" s="9" t="s">
        <v>45</v>
      </c>
      <c r="E27" s="9" t="s">
        <v>46</v>
      </c>
      <c r="F27" s="8"/>
      <c r="G27" s="25"/>
    </row>
    <row r="28" spans="2:13" x14ac:dyDescent="0.2">
      <c r="B28" s="9">
        <v>8</v>
      </c>
      <c r="C28" s="8"/>
      <c r="D28" s="9" t="s">
        <v>47</v>
      </c>
      <c r="E28" s="9" t="s">
        <v>48</v>
      </c>
      <c r="F28" s="8"/>
      <c r="G28" s="34" t="s">
        <v>45</v>
      </c>
    </row>
    <row r="29" spans="2:13" x14ac:dyDescent="0.2">
      <c r="B29" s="9"/>
      <c r="C29" s="8"/>
      <c r="D29" s="9" t="s">
        <v>49</v>
      </c>
      <c r="E29" s="9" t="s">
        <v>50</v>
      </c>
      <c r="F29" s="8"/>
      <c r="G29" s="34" t="s">
        <v>51</v>
      </c>
    </row>
    <row r="30" spans="2:13" x14ac:dyDescent="0.2">
      <c r="B30" s="9"/>
      <c r="C30" s="8"/>
      <c r="D30" s="9" t="s">
        <v>52</v>
      </c>
      <c r="E30" s="9" t="s">
        <v>53</v>
      </c>
      <c r="F30" s="8"/>
      <c r="G30" s="34" t="s">
        <v>54</v>
      </c>
    </row>
    <row r="31" spans="2:13" x14ac:dyDescent="0.2">
      <c r="B31" s="10"/>
      <c r="C31" s="8"/>
      <c r="D31" s="9" t="s">
        <v>55</v>
      </c>
      <c r="E31" s="9" t="s">
        <v>56</v>
      </c>
      <c r="F31" s="8"/>
      <c r="G31" s="34" t="s">
        <v>57</v>
      </c>
    </row>
    <row r="32" spans="2:13" x14ac:dyDescent="0.2">
      <c r="B32" s="28" t="s">
        <v>58</v>
      </c>
      <c r="C32" s="6" t="s">
        <v>89</v>
      </c>
      <c r="D32" s="18">
        <f>-G13</f>
        <v>-49194.81</v>
      </c>
      <c r="E32" s="18">
        <f>D64</f>
        <v>0</v>
      </c>
      <c r="F32" s="6"/>
      <c r="G32" s="18">
        <f>D32+E32</f>
        <v>-49194.81</v>
      </c>
    </row>
    <row r="33" spans="2:7" x14ac:dyDescent="0.2">
      <c r="B33" s="35" t="s">
        <v>60</v>
      </c>
      <c r="C33" s="8" t="s">
        <v>94</v>
      </c>
      <c r="D33" s="25">
        <f>-G14</f>
        <v>107824.50999999992</v>
      </c>
      <c r="E33" s="25">
        <f>E64</f>
        <v>0</v>
      </c>
      <c r="F33" s="8"/>
      <c r="G33" s="25">
        <f>D33+E33</f>
        <v>107824.50999999992</v>
      </c>
    </row>
    <row r="34" spans="2:7" x14ac:dyDescent="0.2">
      <c r="B34" s="35" t="s">
        <v>62</v>
      </c>
      <c r="C34" s="36" t="s">
        <v>98</v>
      </c>
      <c r="D34" s="27">
        <f>-G15</f>
        <v>-477944.62999999989</v>
      </c>
      <c r="E34" s="37">
        <f>F64</f>
        <v>0</v>
      </c>
      <c r="F34" s="38"/>
      <c r="G34" s="25">
        <f>D34+E34</f>
        <v>-477944.62999999989</v>
      </c>
    </row>
    <row r="35" spans="2:7" x14ac:dyDescent="0.2">
      <c r="B35" s="10" t="s">
        <v>64</v>
      </c>
      <c r="C35" s="39"/>
      <c r="D35" s="40"/>
      <c r="E35" s="40"/>
      <c r="F35" s="41" t="s">
        <v>65</v>
      </c>
      <c r="G35" s="42">
        <f>G32+G33+G34</f>
        <v>-419314.92999999993</v>
      </c>
    </row>
    <row r="36" spans="2:7" x14ac:dyDescent="0.2">
      <c r="B36" s="43"/>
      <c r="G36" s="44"/>
    </row>
    <row r="37" spans="2:7" x14ac:dyDescent="0.2">
      <c r="B37" s="11">
        <v>9</v>
      </c>
      <c r="C37" s="45" t="s">
        <v>66</v>
      </c>
      <c r="D37" s="13"/>
      <c r="E37" s="13"/>
      <c r="F37" s="14"/>
      <c r="G37" s="42">
        <f>G22+G35</f>
        <v>137414.79000000004</v>
      </c>
    </row>
    <row r="38" spans="2:7" x14ac:dyDescent="0.2">
      <c r="B38" s="43"/>
      <c r="G38" s="44"/>
    </row>
    <row r="39" spans="2:7" x14ac:dyDescent="0.2">
      <c r="B39" s="11">
        <v>10</v>
      </c>
      <c r="C39" s="45" t="s">
        <v>80</v>
      </c>
      <c r="D39" s="13"/>
      <c r="E39" s="13"/>
      <c r="F39" s="14"/>
      <c r="G39" s="42">
        <f>G37/6</f>
        <v>22902.465000000007</v>
      </c>
    </row>
    <row r="41" spans="2:7" x14ac:dyDescent="0.2">
      <c r="B41" s="6"/>
      <c r="C41" s="46" t="s">
        <v>67</v>
      </c>
      <c r="D41" s="47"/>
      <c r="E41" s="47"/>
      <c r="F41" s="47"/>
      <c r="G41" s="48"/>
    </row>
    <row r="42" spans="2:7" x14ac:dyDescent="0.2">
      <c r="B42" s="6"/>
      <c r="C42" s="49"/>
      <c r="D42" s="49"/>
      <c r="E42" s="49"/>
      <c r="F42" s="49"/>
      <c r="G42" s="16"/>
    </row>
    <row r="43" spans="2:7" x14ac:dyDescent="0.2">
      <c r="B43" s="9">
        <v>11</v>
      </c>
      <c r="C43" s="50" t="s">
        <v>68</v>
      </c>
      <c r="D43" s="50"/>
      <c r="E43" s="50"/>
      <c r="F43" s="50"/>
      <c r="G43" s="51">
        <f>G16</f>
        <v>419314.92999999993</v>
      </c>
    </row>
    <row r="44" spans="2:7" x14ac:dyDescent="0.2">
      <c r="B44" s="9">
        <v>12</v>
      </c>
      <c r="C44" s="50" t="s">
        <v>69</v>
      </c>
      <c r="D44" s="50"/>
      <c r="E44" s="50"/>
      <c r="F44" s="50"/>
      <c r="G44" s="37">
        <f>G35</f>
        <v>-419314.92999999993</v>
      </c>
    </row>
    <row r="45" spans="2:7" x14ac:dyDescent="0.2">
      <c r="B45" s="9"/>
      <c r="C45" s="50"/>
      <c r="D45" s="50"/>
      <c r="E45" s="50"/>
      <c r="F45" s="50"/>
      <c r="G45" s="51"/>
    </row>
    <row r="46" spans="2:7" ht="15" thickBot="1" x14ac:dyDescent="0.25">
      <c r="B46" s="9">
        <v>13</v>
      </c>
      <c r="C46" s="50" t="s">
        <v>70</v>
      </c>
      <c r="D46" s="50"/>
      <c r="E46" s="50"/>
      <c r="F46" s="50"/>
      <c r="G46" s="52">
        <f>G43+G44</f>
        <v>0</v>
      </c>
    </row>
    <row r="47" spans="2:7" ht="15" thickTop="1" x14ac:dyDescent="0.2">
      <c r="B47" s="9"/>
      <c r="C47" s="50"/>
      <c r="D47" s="50"/>
      <c r="E47" s="50"/>
      <c r="F47" s="50"/>
      <c r="G47" s="51"/>
    </row>
    <row r="48" spans="2:7" x14ac:dyDescent="0.2">
      <c r="B48" s="9">
        <v>14</v>
      </c>
      <c r="C48" s="50" t="s">
        <v>71</v>
      </c>
      <c r="D48" s="50"/>
      <c r="E48" s="50"/>
      <c r="F48" s="50"/>
      <c r="G48" s="51">
        <f>G37</f>
        <v>137414.79000000004</v>
      </c>
    </row>
    <row r="49" spans="2:7" x14ac:dyDescent="0.2">
      <c r="B49" s="9"/>
      <c r="C49" s="50"/>
      <c r="D49" s="50"/>
      <c r="E49" s="50"/>
      <c r="F49" s="50"/>
      <c r="G49" s="51"/>
    </row>
    <row r="50" spans="2:7" x14ac:dyDescent="0.2">
      <c r="B50" s="9">
        <v>15</v>
      </c>
      <c r="C50" s="50" t="s">
        <v>72</v>
      </c>
      <c r="D50" s="50"/>
      <c r="E50" s="50"/>
      <c r="F50" s="50"/>
      <c r="G50" s="37">
        <f>SUM(F17:F22)</f>
        <v>137414.79000000004</v>
      </c>
    </row>
    <row r="51" spans="2:7" x14ac:dyDescent="0.2">
      <c r="B51" s="9"/>
      <c r="C51" s="50"/>
      <c r="D51" s="50"/>
      <c r="E51" s="50"/>
      <c r="F51" s="50"/>
      <c r="G51" s="51"/>
    </row>
    <row r="52" spans="2:7" ht="15" thickBot="1" x14ac:dyDescent="0.25">
      <c r="B52" s="9">
        <v>16</v>
      </c>
      <c r="C52" s="50" t="s">
        <v>73</v>
      </c>
      <c r="D52" s="50"/>
      <c r="E52" s="50"/>
      <c r="F52" s="50"/>
      <c r="G52" s="52">
        <f>G48-G50</f>
        <v>0</v>
      </c>
    </row>
    <row r="53" spans="2:7" ht="15" thickTop="1" x14ac:dyDescent="0.2">
      <c r="B53" s="53"/>
      <c r="C53" s="54"/>
      <c r="D53" s="54"/>
      <c r="E53" s="54"/>
      <c r="F53" s="54"/>
      <c r="G53" s="55"/>
    </row>
    <row r="55" spans="2:7" x14ac:dyDescent="0.2">
      <c r="B55" t="s">
        <v>74</v>
      </c>
    </row>
    <row r="56" spans="2:7" x14ac:dyDescent="0.2">
      <c r="B56" s="43"/>
      <c r="C56" s="6"/>
      <c r="D56" s="7" t="s">
        <v>90</v>
      </c>
      <c r="E56" s="7" t="s">
        <v>90</v>
      </c>
      <c r="F56" s="7" t="s">
        <v>90</v>
      </c>
    </row>
    <row r="57" spans="2:7" x14ac:dyDescent="0.2">
      <c r="B57" s="43"/>
      <c r="C57" s="10" t="s">
        <v>28</v>
      </c>
      <c r="D57" s="10" t="s">
        <v>91</v>
      </c>
      <c r="E57" s="10" t="s">
        <v>95</v>
      </c>
      <c r="F57" s="10" t="s">
        <v>99</v>
      </c>
    </row>
    <row r="58" spans="2:7" x14ac:dyDescent="0.2">
      <c r="C58" s="19">
        <v>44197</v>
      </c>
      <c r="D58" s="17">
        <v>0</v>
      </c>
      <c r="E58" s="17">
        <v>0</v>
      </c>
      <c r="F58" s="17">
        <v>0</v>
      </c>
    </row>
    <row r="59" spans="2:7" x14ac:dyDescent="0.2">
      <c r="C59" s="22">
        <v>44228</v>
      </c>
      <c r="D59" s="56">
        <v>0</v>
      </c>
      <c r="E59" s="56">
        <v>0</v>
      </c>
      <c r="F59" s="56">
        <v>0</v>
      </c>
    </row>
    <row r="60" spans="2:7" x14ac:dyDescent="0.2">
      <c r="C60" s="22">
        <v>44256</v>
      </c>
      <c r="D60" s="56">
        <v>0</v>
      </c>
      <c r="E60" s="56">
        <v>0</v>
      </c>
      <c r="F60" s="56">
        <v>0</v>
      </c>
    </row>
    <row r="61" spans="2:7" x14ac:dyDescent="0.2">
      <c r="C61" s="22">
        <v>44287</v>
      </c>
      <c r="D61" s="56">
        <v>0</v>
      </c>
      <c r="E61" s="56">
        <v>0</v>
      </c>
      <c r="F61" s="56">
        <v>0</v>
      </c>
    </row>
    <row r="62" spans="2:7" x14ac:dyDescent="0.2">
      <c r="C62" s="22">
        <v>44317</v>
      </c>
      <c r="D62" s="56">
        <v>0</v>
      </c>
      <c r="E62" s="56">
        <v>0</v>
      </c>
      <c r="F62" s="56">
        <v>0</v>
      </c>
    </row>
    <row r="63" spans="2:7" x14ac:dyDescent="0.2">
      <c r="C63" s="22">
        <v>44348</v>
      </c>
      <c r="D63" s="57">
        <v>0</v>
      </c>
      <c r="E63" s="57">
        <v>0</v>
      </c>
      <c r="F63" s="57">
        <v>0</v>
      </c>
    </row>
    <row r="64" spans="2:7" x14ac:dyDescent="0.2">
      <c r="C64" s="58" t="s">
        <v>79</v>
      </c>
      <c r="D64" s="42">
        <f>SUM(D58:D63)</f>
        <v>0</v>
      </c>
      <c r="E64" s="42">
        <f>SUM(E58:E63)</f>
        <v>0</v>
      </c>
      <c r="F64" s="42">
        <f>SUM(F58:F63)</f>
        <v>0</v>
      </c>
    </row>
  </sheetData>
  <mergeCells count="3">
    <mergeCell ref="B4:G5"/>
    <mergeCell ref="C12:G12"/>
    <mergeCell ref="I4:M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A32" sqref="A32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21.25" customWidth="1"/>
    <col min="7" max="7" width="17.625" customWidth="1"/>
    <col min="9" max="13" width="17.625" customWidth="1"/>
  </cols>
  <sheetData>
    <row r="1" spans="1:13" x14ac:dyDescent="0.2">
      <c r="A1" t="str">
        <f>Summary!A1</f>
        <v>DR1 Response 2 - Shelby Surcharge Summary.xlsx</v>
      </c>
    </row>
    <row r="4" spans="1:13" x14ac:dyDescent="0.2">
      <c r="B4" s="89" t="s">
        <v>17</v>
      </c>
      <c r="C4" s="90"/>
      <c r="D4" s="90"/>
      <c r="E4" s="90"/>
      <c r="F4" s="90"/>
      <c r="G4" s="91"/>
      <c r="I4" s="98" t="s">
        <v>83</v>
      </c>
      <c r="J4" s="99"/>
      <c r="K4" s="99"/>
      <c r="L4" s="99"/>
      <c r="M4" s="100"/>
    </row>
    <row r="5" spans="1:13" x14ac:dyDescent="0.2">
      <c r="B5" s="92"/>
      <c r="C5" s="93"/>
      <c r="D5" s="93"/>
      <c r="E5" s="93"/>
      <c r="F5" s="93"/>
      <c r="G5" s="94"/>
      <c r="I5" s="101"/>
      <c r="J5" s="102"/>
      <c r="K5" s="102"/>
      <c r="L5" s="102"/>
      <c r="M5" s="103"/>
    </row>
    <row r="6" spans="1:13" ht="15" x14ac:dyDescent="0.2">
      <c r="D6" s="43" t="s">
        <v>81</v>
      </c>
      <c r="I6" s="62"/>
      <c r="J6" s="62"/>
      <c r="K6" s="62"/>
      <c r="L6" s="62"/>
      <c r="M6" s="62"/>
    </row>
    <row r="7" spans="1:13" ht="15.75" x14ac:dyDescent="0.25">
      <c r="B7" s="6"/>
      <c r="C7" s="6"/>
      <c r="D7" s="6"/>
      <c r="E7" s="7" t="s">
        <v>18</v>
      </c>
      <c r="F7" s="6"/>
      <c r="G7" s="6"/>
      <c r="I7" s="63" t="s">
        <v>84</v>
      </c>
      <c r="J7" s="62"/>
      <c r="K7" s="62"/>
      <c r="L7" s="62"/>
      <c r="M7" s="62"/>
    </row>
    <row r="8" spans="1:13" ht="15" x14ac:dyDescent="0.2">
      <c r="B8" s="8"/>
      <c r="C8" s="8"/>
      <c r="D8" s="9" t="s">
        <v>19</v>
      </c>
      <c r="E8" s="9" t="s">
        <v>20</v>
      </c>
      <c r="F8" s="8"/>
      <c r="G8" s="8"/>
      <c r="I8" s="62"/>
      <c r="J8" s="62"/>
      <c r="K8" s="62"/>
      <c r="L8" s="62"/>
      <c r="M8" s="62"/>
    </row>
    <row r="9" spans="1:13" x14ac:dyDescent="0.2">
      <c r="B9" s="8"/>
      <c r="C9" s="8"/>
      <c r="D9" s="9" t="s">
        <v>21</v>
      </c>
      <c r="E9" s="9" t="s">
        <v>22</v>
      </c>
      <c r="F9" s="9" t="s">
        <v>23</v>
      </c>
      <c r="G9" s="9" t="s">
        <v>24</v>
      </c>
      <c r="I9" s="64"/>
      <c r="J9" s="64"/>
      <c r="K9" s="65" t="s">
        <v>18</v>
      </c>
      <c r="L9" s="64"/>
      <c r="M9" s="64"/>
    </row>
    <row r="10" spans="1:13" x14ac:dyDescent="0.2">
      <c r="B10" s="10"/>
      <c r="C10" s="10"/>
      <c r="D10" s="10" t="s">
        <v>25</v>
      </c>
      <c r="E10" s="10" t="s">
        <v>25</v>
      </c>
      <c r="F10" s="10" t="s">
        <v>26</v>
      </c>
      <c r="G10" s="10" t="s">
        <v>26</v>
      </c>
      <c r="I10" s="66"/>
      <c r="J10" s="67" t="s">
        <v>19</v>
      </c>
      <c r="K10" s="67" t="s">
        <v>20</v>
      </c>
      <c r="L10" s="66"/>
      <c r="M10" s="66"/>
    </row>
    <row r="11" spans="1:13" x14ac:dyDescent="0.2">
      <c r="B11" s="11" t="s">
        <v>27</v>
      </c>
      <c r="C11" s="11" t="s">
        <v>28</v>
      </c>
      <c r="D11" s="12" t="s">
        <v>29</v>
      </c>
      <c r="E11" s="12" t="s">
        <v>30</v>
      </c>
      <c r="F11" s="12" t="s">
        <v>31</v>
      </c>
      <c r="G11" s="12" t="s">
        <v>32</v>
      </c>
      <c r="I11" s="66"/>
      <c r="J11" s="67" t="s">
        <v>21</v>
      </c>
      <c r="K11" s="67" t="s">
        <v>22</v>
      </c>
      <c r="L11" s="67" t="s">
        <v>23</v>
      </c>
      <c r="M11" s="67" t="s">
        <v>24</v>
      </c>
    </row>
    <row r="12" spans="1:13" x14ac:dyDescent="0.2">
      <c r="B12" s="7">
        <v>1</v>
      </c>
      <c r="C12" s="95" t="s">
        <v>33</v>
      </c>
      <c r="D12" s="96"/>
      <c r="E12" s="96"/>
      <c r="F12" s="96"/>
      <c r="G12" s="97"/>
      <c r="I12" s="68"/>
      <c r="J12" s="68" t="s">
        <v>25</v>
      </c>
      <c r="K12" s="68" t="s">
        <v>25</v>
      </c>
      <c r="L12" s="68" t="s">
        <v>26</v>
      </c>
      <c r="M12" s="68" t="s">
        <v>26</v>
      </c>
    </row>
    <row r="13" spans="1:13" x14ac:dyDescent="0.2">
      <c r="B13" s="7" t="s">
        <v>34</v>
      </c>
      <c r="C13" s="13" t="s">
        <v>88</v>
      </c>
      <c r="D13" s="13"/>
      <c r="E13" s="13"/>
      <c r="F13" s="14"/>
      <c r="G13" s="15">
        <f>'A - 11-30-19'!G37</f>
        <v>49194.81</v>
      </c>
      <c r="I13" s="69" t="s">
        <v>28</v>
      </c>
      <c r="J13" s="70" t="s">
        <v>85</v>
      </c>
      <c r="K13" s="70" t="s">
        <v>29</v>
      </c>
      <c r="L13" s="70" t="s">
        <v>30</v>
      </c>
      <c r="M13" s="70" t="s">
        <v>31</v>
      </c>
    </row>
    <row r="14" spans="1:13" x14ac:dyDescent="0.2">
      <c r="B14" s="9" t="s">
        <v>36</v>
      </c>
      <c r="C14" s="13" t="s">
        <v>93</v>
      </c>
      <c r="D14" s="13"/>
      <c r="E14" s="13"/>
      <c r="F14" s="14"/>
      <c r="G14" s="15">
        <f>'B - 05-31-20'!G37</f>
        <v>-107824.50999999992</v>
      </c>
      <c r="I14" s="71">
        <v>44378</v>
      </c>
      <c r="J14" s="72">
        <v>134323</v>
      </c>
      <c r="K14" s="73">
        <v>134323</v>
      </c>
      <c r="L14" s="74">
        <f t="shared" ref="L14:L21" si="0">J14-K14</f>
        <v>0</v>
      </c>
      <c r="M14" s="75">
        <f>L14</f>
        <v>0</v>
      </c>
    </row>
    <row r="15" spans="1:13" x14ac:dyDescent="0.2">
      <c r="B15" s="9" t="s">
        <v>38</v>
      </c>
      <c r="C15" s="13" t="s">
        <v>97</v>
      </c>
      <c r="D15" s="13"/>
      <c r="E15" s="13"/>
      <c r="F15" s="16"/>
      <c r="G15" s="17">
        <f>'C - 11-30-20'!G37</f>
        <v>477944.62999999989</v>
      </c>
      <c r="I15" s="76">
        <v>44409</v>
      </c>
      <c r="J15" s="72">
        <v>127648</v>
      </c>
      <c r="K15" s="73">
        <v>127648</v>
      </c>
      <c r="L15" s="75">
        <f t="shared" si="0"/>
        <v>0</v>
      </c>
      <c r="M15" s="75">
        <f>M14+L15</f>
        <v>0</v>
      </c>
    </row>
    <row r="16" spans="1:13" x14ac:dyDescent="0.2">
      <c r="B16" s="9" t="s">
        <v>40</v>
      </c>
      <c r="C16" s="13" t="s">
        <v>104</v>
      </c>
      <c r="D16" s="13"/>
      <c r="E16" s="13"/>
      <c r="F16" s="16"/>
      <c r="G16" s="17">
        <f>'D - 05-31-21'!G37</f>
        <v>137414.79000000004</v>
      </c>
      <c r="I16" s="76">
        <v>44440</v>
      </c>
      <c r="J16" s="72">
        <v>112094</v>
      </c>
      <c r="K16" s="72">
        <v>112094</v>
      </c>
      <c r="L16" s="75">
        <f t="shared" si="0"/>
        <v>0</v>
      </c>
      <c r="M16" s="75">
        <f t="shared" ref="M16:M19" si="1">M15+L16</f>
        <v>0</v>
      </c>
    </row>
    <row r="17" spans="2:13" x14ac:dyDescent="0.2">
      <c r="B17" s="10" t="s">
        <v>100</v>
      </c>
      <c r="C17" s="13" t="s">
        <v>41</v>
      </c>
      <c r="D17" s="13"/>
      <c r="E17" s="13"/>
      <c r="F17" s="16"/>
      <c r="G17" s="18">
        <f>G13+G14+G15+G16</f>
        <v>556729.72</v>
      </c>
      <c r="I17" s="76">
        <v>44470</v>
      </c>
      <c r="J17" s="72">
        <v>110210</v>
      </c>
      <c r="K17" s="72">
        <v>110210</v>
      </c>
      <c r="L17" s="75">
        <f t="shared" si="0"/>
        <v>0</v>
      </c>
      <c r="M17" s="75">
        <f t="shared" si="1"/>
        <v>0</v>
      </c>
    </row>
    <row r="18" spans="2:13" x14ac:dyDescent="0.2">
      <c r="B18" s="9">
        <v>2</v>
      </c>
      <c r="C18" s="19">
        <v>44378</v>
      </c>
      <c r="D18" s="17">
        <f>396536-0</f>
        <v>396536</v>
      </c>
      <c r="E18" s="59">
        <f>591070.22-134323</f>
        <v>456747.22</v>
      </c>
      <c r="F18" s="21">
        <f t="shared" ref="F18:F25" si="2">D18-E18</f>
        <v>-60211.219999999972</v>
      </c>
      <c r="G18" s="18">
        <f t="shared" ref="G18:G25" si="3">G17+F18</f>
        <v>496518.5</v>
      </c>
      <c r="I18" s="76">
        <v>44501</v>
      </c>
      <c r="J18" s="72">
        <v>149958</v>
      </c>
      <c r="K18" s="85">
        <v>149958</v>
      </c>
      <c r="L18" s="75">
        <f t="shared" si="0"/>
        <v>0</v>
      </c>
      <c r="M18" s="75">
        <f>M17+L18</f>
        <v>0</v>
      </c>
    </row>
    <row r="19" spans="2:13" x14ac:dyDescent="0.2">
      <c r="B19" s="9">
        <v>3</v>
      </c>
      <c r="C19" s="22">
        <v>44409</v>
      </c>
      <c r="D19" s="56">
        <f>377963-573</f>
        <v>377390</v>
      </c>
      <c r="E19" s="60">
        <f>513516.7-127648</f>
        <v>385868.7</v>
      </c>
      <c r="F19" s="24">
        <f t="shared" si="2"/>
        <v>-8478.7000000000116</v>
      </c>
      <c r="G19" s="25">
        <f t="shared" si="3"/>
        <v>488039.8</v>
      </c>
      <c r="I19" s="77">
        <v>44531</v>
      </c>
      <c r="J19" s="85">
        <v>162839</v>
      </c>
      <c r="K19" s="86">
        <v>162839</v>
      </c>
      <c r="L19" s="78">
        <f t="shared" si="0"/>
        <v>0</v>
      </c>
      <c r="M19" s="78">
        <f t="shared" si="1"/>
        <v>0</v>
      </c>
    </row>
    <row r="20" spans="2:13" x14ac:dyDescent="0.2">
      <c r="B20" s="9">
        <v>4</v>
      </c>
      <c r="C20" s="22">
        <v>44440</v>
      </c>
      <c r="D20" s="56">
        <f>277362-516</f>
        <v>276846</v>
      </c>
      <c r="E20" s="60">
        <f>399109.9-112094</f>
        <v>287015.90000000002</v>
      </c>
      <c r="F20" s="24">
        <f t="shared" si="2"/>
        <v>-10169.900000000023</v>
      </c>
      <c r="G20" s="25">
        <f t="shared" si="3"/>
        <v>477869.89999999997</v>
      </c>
      <c r="I20" s="76">
        <v>44562</v>
      </c>
      <c r="J20" s="87">
        <v>97809</v>
      </c>
      <c r="K20" s="87">
        <v>97809</v>
      </c>
      <c r="L20" s="75">
        <f t="shared" si="0"/>
        <v>0</v>
      </c>
      <c r="M20" s="75">
        <f>M19+L20</f>
        <v>0</v>
      </c>
    </row>
    <row r="21" spans="2:13" x14ac:dyDescent="0.2">
      <c r="B21" s="9">
        <v>5</v>
      </c>
      <c r="C21" s="22">
        <v>44470</v>
      </c>
      <c r="D21" s="56">
        <f>254387-35</f>
        <v>254352</v>
      </c>
      <c r="E21" s="60">
        <f>346314.21-110210</f>
        <v>236104.21000000002</v>
      </c>
      <c r="F21" s="24">
        <f t="shared" si="2"/>
        <v>18247.789999999979</v>
      </c>
      <c r="G21" s="25">
        <f t="shared" si="3"/>
        <v>496117.68999999994</v>
      </c>
      <c r="I21" s="77">
        <v>44593</v>
      </c>
      <c r="J21" s="86">
        <v>89753</v>
      </c>
      <c r="K21" s="86">
        <v>89753</v>
      </c>
      <c r="L21" s="78">
        <f t="shared" si="0"/>
        <v>0</v>
      </c>
      <c r="M21" s="78">
        <f>M20+L21</f>
        <v>0</v>
      </c>
    </row>
    <row r="22" spans="2:13" x14ac:dyDescent="0.2">
      <c r="B22" s="9">
        <v>6</v>
      </c>
      <c r="C22" s="22">
        <v>44501</v>
      </c>
      <c r="D22" s="56">
        <f>466981-576</f>
        <v>466405</v>
      </c>
      <c r="E22" s="60">
        <f>431545.24-149958</f>
        <v>281587.24</v>
      </c>
      <c r="F22" s="24">
        <f t="shared" si="2"/>
        <v>184817.76</v>
      </c>
      <c r="G22" s="25">
        <f t="shared" si="3"/>
        <v>680935.45</v>
      </c>
      <c r="I22" s="79"/>
      <c r="J22" s="79"/>
      <c r="K22" s="79"/>
      <c r="L22" s="79"/>
      <c r="M22" s="79"/>
    </row>
    <row r="23" spans="2:13" x14ac:dyDescent="0.2">
      <c r="B23" s="9">
        <v>7</v>
      </c>
      <c r="C23" s="22">
        <v>44531</v>
      </c>
      <c r="D23" s="56">
        <f>483678-554</f>
        <v>483124</v>
      </c>
      <c r="E23" s="60">
        <f>558706.49-162839</f>
        <v>395867.49</v>
      </c>
      <c r="F23" s="26">
        <f t="shared" si="2"/>
        <v>87256.510000000009</v>
      </c>
      <c r="G23" s="27">
        <f t="shared" si="3"/>
        <v>768191.96</v>
      </c>
      <c r="I23" s="80" t="s">
        <v>86</v>
      </c>
      <c r="J23" s="81"/>
      <c r="K23" s="81"/>
      <c r="L23" s="82"/>
      <c r="M23" s="83">
        <f>M19</f>
        <v>0</v>
      </c>
    </row>
    <row r="24" spans="2:13" x14ac:dyDescent="0.2">
      <c r="B24" s="28" t="s">
        <v>42</v>
      </c>
      <c r="C24" s="19">
        <v>44562</v>
      </c>
      <c r="D24" s="17">
        <f>395754-379</f>
        <v>395375</v>
      </c>
      <c r="E24" s="59">
        <f>577518.04-97809</f>
        <v>479709.04000000004</v>
      </c>
      <c r="F24" s="21">
        <f t="shared" si="2"/>
        <v>-84334.040000000037</v>
      </c>
      <c r="G24" s="18">
        <f t="shared" si="3"/>
        <v>683857.91999999993</v>
      </c>
      <c r="I24" s="79"/>
      <c r="J24" s="79"/>
      <c r="K24" s="79"/>
      <c r="L24" s="79"/>
      <c r="M24" s="84"/>
    </row>
    <row r="25" spans="2:13" x14ac:dyDescent="0.2">
      <c r="B25" s="29" t="s">
        <v>43</v>
      </c>
      <c r="C25" s="30">
        <v>44593</v>
      </c>
      <c r="D25" s="57">
        <f>331884-198</f>
        <v>331686</v>
      </c>
      <c r="E25" s="61">
        <f>329028.46-89753</f>
        <v>239275.46000000002</v>
      </c>
      <c r="F25" s="26">
        <f t="shared" si="2"/>
        <v>92410.539999999979</v>
      </c>
      <c r="G25" s="27">
        <f t="shared" si="3"/>
        <v>776268.46</v>
      </c>
      <c r="I25" s="80" t="s">
        <v>87</v>
      </c>
      <c r="J25" s="81"/>
      <c r="K25" s="81"/>
      <c r="L25" s="82"/>
      <c r="M25" s="83">
        <f>M23/6</f>
        <v>0</v>
      </c>
    </row>
    <row r="26" spans="2:13" x14ac:dyDescent="0.2">
      <c r="B26" s="10"/>
      <c r="C26" s="31" t="s">
        <v>101</v>
      </c>
      <c r="D26" s="32"/>
      <c r="E26" s="32"/>
      <c r="F26" s="32"/>
      <c r="G26" s="33"/>
    </row>
    <row r="27" spans="2:13" x14ac:dyDescent="0.2">
      <c r="B27" s="7"/>
      <c r="C27" s="6"/>
      <c r="D27" s="6"/>
      <c r="E27" s="6"/>
      <c r="F27" s="6"/>
      <c r="G27" s="18"/>
    </row>
    <row r="28" spans="2:13" x14ac:dyDescent="0.2">
      <c r="B28" s="9"/>
      <c r="C28" s="8"/>
      <c r="D28" s="9" t="s">
        <v>45</v>
      </c>
      <c r="E28" s="9" t="s">
        <v>46</v>
      </c>
      <c r="F28" s="8"/>
      <c r="G28" s="25"/>
    </row>
    <row r="29" spans="2:13" x14ac:dyDescent="0.2">
      <c r="B29" s="9">
        <v>8</v>
      </c>
      <c r="C29" s="8"/>
      <c r="D29" s="9" t="s">
        <v>47</v>
      </c>
      <c r="E29" s="9" t="s">
        <v>48</v>
      </c>
      <c r="F29" s="8"/>
      <c r="G29" s="34" t="s">
        <v>45</v>
      </c>
    </row>
    <row r="30" spans="2:13" x14ac:dyDescent="0.2">
      <c r="B30" s="9"/>
      <c r="C30" s="8"/>
      <c r="D30" s="9" t="s">
        <v>49</v>
      </c>
      <c r="E30" s="9" t="s">
        <v>50</v>
      </c>
      <c r="F30" s="8"/>
      <c r="G30" s="34" t="s">
        <v>51</v>
      </c>
    </row>
    <row r="31" spans="2:13" x14ac:dyDescent="0.2">
      <c r="B31" s="9"/>
      <c r="C31" s="8"/>
      <c r="D31" s="9" t="s">
        <v>52</v>
      </c>
      <c r="E31" s="9" t="s">
        <v>53</v>
      </c>
      <c r="F31" s="8"/>
      <c r="G31" s="34" t="s">
        <v>54</v>
      </c>
    </row>
    <row r="32" spans="2:13" x14ac:dyDescent="0.2">
      <c r="B32" s="10"/>
      <c r="C32" s="8"/>
      <c r="D32" s="9" t="s">
        <v>55</v>
      </c>
      <c r="E32" s="9" t="s">
        <v>56</v>
      </c>
      <c r="F32" s="8"/>
      <c r="G32" s="34" t="s">
        <v>57</v>
      </c>
    </row>
    <row r="33" spans="2:7" x14ac:dyDescent="0.2">
      <c r="B33" s="28" t="s">
        <v>58</v>
      </c>
      <c r="C33" s="6" t="s">
        <v>89</v>
      </c>
      <c r="D33" s="18">
        <f>-G13</f>
        <v>-49194.81</v>
      </c>
      <c r="E33" s="18">
        <f>D66</f>
        <v>0</v>
      </c>
      <c r="F33" s="6"/>
      <c r="G33" s="18">
        <f>D33+E33</f>
        <v>-49194.81</v>
      </c>
    </row>
    <row r="34" spans="2:7" x14ac:dyDescent="0.2">
      <c r="B34" s="35" t="s">
        <v>60</v>
      </c>
      <c r="C34" s="8" t="s">
        <v>105</v>
      </c>
      <c r="D34" s="25">
        <f>-G14</f>
        <v>107824.50999999992</v>
      </c>
      <c r="E34" s="25">
        <f>E66</f>
        <v>0</v>
      </c>
      <c r="F34" s="8"/>
      <c r="G34" s="25">
        <f>D34+E34</f>
        <v>107824.50999999992</v>
      </c>
    </row>
    <row r="35" spans="2:7" x14ac:dyDescent="0.2">
      <c r="B35" s="35" t="s">
        <v>62</v>
      </c>
      <c r="C35" s="8" t="s">
        <v>106</v>
      </c>
      <c r="D35" s="25">
        <f>-G15</f>
        <v>-477944.62999999989</v>
      </c>
      <c r="E35" s="25">
        <f>F66</f>
        <v>0</v>
      </c>
      <c r="F35" s="8"/>
      <c r="G35" s="25">
        <f>D35+E35</f>
        <v>-477944.62999999989</v>
      </c>
    </row>
    <row r="36" spans="2:7" x14ac:dyDescent="0.2">
      <c r="B36" s="35" t="s">
        <v>64</v>
      </c>
      <c r="C36" s="36" t="s">
        <v>107</v>
      </c>
      <c r="D36" s="27">
        <f>-G16</f>
        <v>-137414.79000000004</v>
      </c>
      <c r="E36" s="37">
        <f>G66</f>
        <v>0</v>
      </c>
      <c r="F36" s="38"/>
      <c r="G36" s="25">
        <f>D36+E36</f>
        <v>-137414.79000000004</v>
      </c>
    </row>
    <row r="37" spans="2:7" x14ac:dyDescent="0.2">
      <c r="B37" s="10" t="s">
        <v>102</v>
      </c>
      <c r="C37" s="39"/>
      <c r="D37" s="40"/>
      <c r="E37" s="40"/>
      <c r="F37" s="41" t="s">
        <v>65</v>
      </c>
      <c r="G37" s="42">
        <f>G33+G34+G35+G36</f>
        <v>-556729.72</v>
      </c>
    </row>
    <row r="38" spans="2:7" x14ac:dyDescent="0.2">
      <c r="B38" s="43"/>
      <c r="G38" s="44"/>
    </row>
    <row r="39" spans="2:7" x14ac:dyDescent="0.2">
      <c r="B39" s="11">
        <v>9</v>
      </c>
      <c r="C39" s="45" t="s">
        <v>103</v>
      </c>
      <c r="D39" s="13"/>
      <c r="E39" s="13"/>
      <c r="F39" s="14"/>
      <c r="G39" s="42">
        <f>G23+G37</f>
        <v>211462.24</v>
      </c>
    </row>
    <row r="40" spans="2:7" x14ac:dyDescent="0.2">
      <c r="B40" s="43"/>
      <c r="G40" s="44"/>
    </row>
    <row r="41" spans="2:7" x14ac:dyDescent="0.2">
      <c r="B41" s="11">
        <v>10</v>
      </c>
      <c r="C41" s="45" t="s">
        <v>80</v>
      </c>
      <c r="D41" s="13"/>
      <c r="E41" s="13"/>
      <c r="F41" s="14"/>
      <c r="G41" s="42">
        <f>G39/6</f>
        <v>35243.706666666665</v>
      </c>
    </row>
    <row r="43" spans="2:7" x14ac:dyDescent="0.2">
      <c r="B43" s="6"/>
      <c r="C43" s="46" t="s">
        <v>67</v>
      </c>
      <c r="D43" s="47"/>
      <c r="E43" s="47"/>
      <c r="F43" s="47"/>
      <c r="G43" s="48"/>
    </row>
    <row r="44" spans="2:7" x14ac:dyDescent="0.2">
      <c r="B44" s="6"/>
      <c r="C44" s="49"/>
      <c r="D44" s="49"/>
      <c r="E44" s="49"/>
      <c r="F44" s="49"/>
      <c r="G44" s="16"/>
    </row>
    <row r="45" spans="2:7" x14ac:dyDescent="0.2">
      <c r="B45" s="9">
        <v>11</v>
      </c>
      <c r="C45" s="50" t="s">
        <v>68</v>
      </c>
      <c r="D45" s="50"/>
      <c r="E45" s="50"/>
      <c r="F45" s="50"/>
      <c r="G45" s="51">
        <f>G17</f>
        <v>556729.72</v>
      </c>
    </row>
    <row r="46" spans="2:7" x14ac:dyDescent="0.2">
      <c r="B46" s="9">
        <v>12</v>
      </c>
      <c r="C46" s="50" t="s">
        <v>69</v>
      </c>
      <c r="D46" s="50"/>
      <c r="E46" s="50"/>
      <c r="F46" s="50"/>
      <c r="G46" s="37">
        <f>G37</f>
        <v>-556729.72</v>
      </c>
    </row>
    <row r="47" spans="2:7" x14ac:dyDescent="0.2">
      <c r="B47" s="9"/>
      <c r="C47" s="50"/>
      <c r="D47" s="50"/>
      <c r="E47" s="50"/>
      <c r="F47" s="50"/>
      <c r="G47" s="51"/>
    </row>
    <row r="48" spans="2:7" ht="15" thickBot="1" x14ac:dyDescent="0.25">
      <c r="B48" s="9">
        <v>13</v>
      </c>
      <c r="C48" s="50" t="s">
        <v>70</v>
      </c>
      <c r="D48" s="50"/>
      <c r="E48" s="50"/>
      <c r="F48" s="50"/>
      <c r="G48" s="52">
        <f>G45+G46</f>
        <v>0</v>
      </c>
    </row>
    <row r="49" spans="2:7" ht="15" thickTop="1" x14ac:dyDescent="0.2">
      <c r="B49" s="9"/>
      <c r="C49" s="50"/>
      <c r="D49" s="50"/>
      <c r="E49" s="50"/>
      <c r="F49" s="50"/>
      <c r="G49" s="51"/>
    </row>
    <row r="50" spans="2:7" x14ac:dyDescent="0.2">
      <c r="B50" s="9">
        <v>14</v>
      </c>
      <c r="C50" s="50" t="s">
        <v>71</v>
      </c>
      <c r="D50" s="50"/>
      <c r="E50" s="50"/>
      <c r="F50" s="50"/>
      <c r="G50" s="51">
        <f>G39</f>
        <v>211462.24</v>
      </c>
    </row>
    <row r="51" spans="2:7" x14ac:dyDescent="0.2">
      <c r="B51" s="9"/>
      <c r="C51" s="50"/>
      <c r="D51" s="50"/>
      <c r="E51" s="50"/>
      <c r="F51" s="50"/>
      <c r="G51" s="51"/>
    </row>
    <row r="52" spans="2:7" x14ac:dyDescent="0.2">
      <c r="B52" s="9">
        <v>15</v>
      </c>
      <c r="C52" s="50" t="s">
        <v>72</v>
      </c>
      <c r="D52" s="50"/>
      <c r="E52" s="50"/>
      <c r="F52" s="50"/>
      <c r="G52" s="37">
        <f>SUM(F18:F23)</f>
        <v>211462.24</v>
      </c>
    </row>
    <row r="53" spans="2:7" x14ac:dyDescent="0.2">
      <c r="B53" s="9"/>
      <c r="C53" s="50"/>
      <c r="D53" s="50"/>
      <c r="E53" s="50"/>
      <c r="F53" s="50"/>
      <c r="G53" s="51"/>
    </row>
    <row r="54" spans="2:7" ht="15" thickBot="1" x14ac:dyDescent="0.25">
      <c r="B54" s="9">
        <v>16</v>
      </c>
      <c r="C54" s="50" t="s">
        <v>73</v>
      </c>
      <c r="D54" s="50"/>
      <c r="E54" s="50"/>
      <c r="F54" s="50"/>
      <c r="G54" s="52">
        <f>G50-G52</f>
        <v>0</v>
      </c>
    </row>
    <row r="55" spans="2:7" ht="15" thickTop="1" x14ac:dyDescent="0.2">
      <c r="B55" s="53"/>
      <c r="C55" s="54"/>
      <c r="D55" s="54"/>
      <c r="E55" s="54"/>
      <c r="F55" s="54"/>
      <c r="G55" s="55"/>
    </row>
    <row r="57" spans="2:7" x14ac:dyDescent="0.2">
      <c r="B57" t="s">
        <v>74</v>
      </c>
    </row>
    <row r="58" spans="2:7" x14ac:dyDescent="0.2">
      <c r="B58" s="43"/>
      <c r="C58" s="6"/>
      <c r="D58" s="7" t="s">
        <v>90</v>
      </c>
      <c r="E58" s="7" t="s">
        <v>90</v>
      </c>
      <c r="F58" s="7" t="s">
        <v>90</v>
      </c>
      <c r="G58" s="7" t="s">
        <v>90</v>
      </c>
    </row>
    <row r="59" spans="2:7" x14ac:dyDescent="0.2">
      <c r="B59" s="43"/>
      <c r="C59" s="10" t="s">
        <v>28</v>
      </c>
      <c r="D59" s="10" t="s">
        <v>91</v>
      </c>
      <c r="E59" s="10" t="s">
        <v>95</v>
      </c>
      <c r="F59" s="10" t="s">
        <v>99</v>
      </c>
      <c r="G59" s="10" t="s">
        <v>108</v>
      </c>
    </row>
    <row r="60" spans="2:7" x14ac:dyDescent="0.2">
      <c r="C60" s="19">
        <v>44378</v>
      </c>
      <c r="D60" s="17">
        <v>0</v>
      </c>
      <c r="E60" s="17">
        <v>0</v>
      </c>
      <c r="F60" s="17">
        <v>0</v>
      </c>
      <c r="G60" s="17">
        <v>0</v>
      </c>
    </row>
    <row r="61" spans="2:7" x14ac:dyDescent="0.2">
      <c r="C61" s="22">
        <v>44409</v>
      </c>
      <c r="D61" s="56">
        <v>0</v>
      </c>
      <c r="E61" s="56">
        <v>0</v>
      </c>
      <c r="F61" s="56">
        <v>0</v>
      </c>
      <c r="G61" s="56">
        <v>0</v>
      </c>
    </row>
    <row r="62" spans="2:7" x14ac:dyDescent="0.2">
      <c r="C62" s="22">
        <v>44440</v>
      </c>
      <c r="D62" s="56">
        <v>0</v>
      </c>
      <c r="E62" s="56">
        <v>0</v>
      </c>
      <c r="F62" s="56">
        <v>0</v>
      </c>
      <c r="G62" s="56">
        <v>0</v>
      </c>
    </row>
    <row r="63" spans="2:7" x14ac:dyDescent="0.2">
      <c r="C63" s="22">
        <v>44470</v>
      </c>
      <c r="D63" s="56">
        <v>0</v>
      </c>
      <c r="E63" s="56">
        <v>0</v>
      </c>
      <c r="F63" s="56">
        <v>0</v>
      </c>
      <c r="G63" s="56">
        <v>0</v>
      </c>
    </row>
    <row r="64" spans="2:7" x14ac:dyDescent="0.2">
      <c r="C64" s="22">
        <v>44501</v>
      </c>
      <c r="D64" s="56">
        <v>0</v>
      </c>
      <c r="E64" s="56">
        <v>0</v>
      </c>
      <c r="F64" s="56">
        <v>0</v>
      </c>
      <c r="G64" s="56">
        <v>0</v>
      </c>
    </row>
    <row r="65" spans="3:7" x14ac:dyDescent="0.2">
      <c r="C65" s="22">
        <v>44531</v>
      </c>
      <c r="D65" s="57">
        <v>0</v>
      </c>
      <c r="E65" s="57">
        <v>0</v>
      </c>
      <c r="F65" s="57">
        <v>0</v>
      </c>
      <c r="G65" s="57">
        <v>0</v>
      </c>
    </row>
    <row r="66" spans="3:7" x14ac:dyDescent="0.2">
      <c r="C66" s="58" t="s">
        <v>79</v>
      </c>
      <c r="D66" s="42">
        <f>SUM(D60:D65)</f>
        <v>0</v>
      </c>
      <c r="E66" s="42">
        <f>SUM(E60:E65)</f>
        <v>0</v>
      </c>
      <c r="F66" s="42">
        <f>SUM(F60:F65)</f>
        <v>0</v>
      </c>
      <c r="G66" s="42">
        <f>SUM(G60:G65)</f>
        <v>0</v>
      </c>
    </row>
  </sheetData>
  <mergeCells count="3">
    <mergeCell ref="B4:G5"/>
    <mergeCell ref="C12:G12"/>
    <mergeCell ref="I4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A - 11-30-19</vt:lpstr>
      <vt:lpstr>B - 05-31-20</vt:lpstr>
      <vt:lpstr>C - 11-30-20</vt:lpstr>
      <vt:lpstr>D - 05-31-21</vt:lpstr>
      <vt:lpstr>E - 11-30-21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Isaac Scott</cp:lastModifiedBy>
  <dcterms:created xsi:type="dcterms:W3CDTF">2022-06-13T11:58:16Z</dcterms:created>
  <dcterms:modified xsi:type="dcterms:W3CDTF">2022-06-15T13:38:02Z</dcterms:modified>
</cp:coreProperties>
</file>