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icing\Share\000 - PSC Cases\Env Surcharge Review Cases\PSC Case 2022-00141 - 30-Month Review\PSC DR1\Request 2\"/>
    </mc:Choice>
  </mc:AlternateContent>
  <bookViews>
    <workbookView xWindow="0" yWindow="0" windowWidth="18510" windowHeight="13950"/>
  </bookViews>
  <sheets>
    <sheet name="Summary" sheetId="1" r:id="rId1"/>
    <sheet name="A - 11-30-19" sheetId="2" r:id="rId2"/>
    <sheet name="B - 05-31-20" sheetId="3" r:id="rId3"/>
    <sheet name="C - 11-30-20" sheetId="4" r:id="rId4"/>
    <sheet name="D - 05-31-21" sheetId="5" r:id="rId5"/>
    <sheet name="E - 11-30-21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G16" i="6"/>
  <c r="D36" i="6" s="1"/>
  <c r="G15" i="6"/>
  <c r="D35" i="6" s="1"/>
  <c r="G35" i="6" s="1"/>
  <c r="G14" i="6"/>
  <c r="D34" i="6" s="1"/>
  <c r="G34" i="6" s="1"/>
  <c r="G13" i="6"/>
  <c r="J21" i="6"/>
  <c r="L21" i="6" s="1"/>
  <c r="J20" i="6"/>
  <c r="L20" i="6" s="1"/>
  <c r="J19" i="6"/>
  <c r="L19" i="6" s="1"/>
  <c r="J18" i="6"/>
  <c r="L18" i="6" s="1"/>
  <c r="J17" i="6"/>
  <c r="L17" i="6" s="1"/>
  <c r="J16" i="6"/>
  <c r="L16" i="6" s="1"/>
  <c r="L15" i="6"/>
  <c r="J15" i="6"/>
  <c r="J14" i="6"/>
  <c r="L14" i="6" s="1"/>
  <c r="M14" i="6" s="1"/>
  <c r="M15" i="6" s="1"/>
  <c r="G66" i="6"/>
  <c r="E36" i="6" s="1"/>
  <c r="F66" i="6"/>
  <c r="E66" i="6"/>
  <c r="D66" i="6"/>
  <c r="E33" i="6" s="1"/>
  <c r="E35" i="6"/>
  <c r="E34" i="6"/>
  <c r="D25" i="6"/>
  <c r="F25" i="6" s="1"/>
  <c r="F24" i="6"/>
  <c r="D24" i="6"/>
  <c r="D23" i="6"/>
  <c r="F23" i="6" s="1"/>
  <c r="D22" i="6"/>
  <c r="F22" i="6" s="1"/>
  <c r="D21" i="6"/>
  <c r="F21" i="6" s="1"/>
  <c r="D20" i="6"/>
  <c r="F20" i="6" s="1"/>
  <c r="D19" i="6"/>
  <c r="F19" i="6" s="1"/>
  <c r="D18" i="6"/>
  <c r="F18" i="6" s="1"/>
  <c r="G36" i="6" l="1"/>
  <c r="G17" i="6"/>
  <c r="G18" i="6" s="1"/>
  <c r="G19" i="6" s="1"/>
  <c r="G20" i="6" s="1"/>
  <c r="G21" i="6" s="1"/>
  <c r="G22" i="6" s="1"/>
  <c r="G23" i="6" s="1"/>
  <c r="D33" i="6"/>
  <c r="M16" i="6"/>
  <c r="M17" i="6" s="1"/>
  <c r="M18" i="6" s="1"/>
  <c r="M19" i="6" s="1"/>
  <c r="G52" i="6"/>
  <c r="G33" i="6"/>
  <c r="G37" i="6" s="1"/>
  <c r="G46" i="6" s="1"/>
  <c r="G45" i="6" l="1"/>
  <c r="G48" i="6" s="1"/>
  <c r="M23" i="6"/>
  <c r="M25" i="6" s="1"/>
  <c r="M20" i="6"/>
  <c r="M21" i="6" s="1"/>
  <c r="G39" i="6"/>
  <c r="G24" i="6"/>
  <c r="G25" i="6" s="1"/>
  <c r="G50" i="6" l="1"/>
  <c r="G54" i="6" s="1"/>
  <c r="G41" i="6"/>
  <c r="E11" i="1" l="1"/>
  <c r="G15" i="5"/>
  <c r="D34" i="5" s="1"/>
  <c r="G14" i="5"/>
  <c r="G13" i="5"/>
  <c r="G16" i="5" s="1"/>
  <c r="G17" i="5" s="1"/>
  <c r="G18" i="5" s="1"/>
  <c r="G19" i="5" s="1"/>
  <c r="G20" i="5" s="1"/>
  <c r="G21" i="5" s="1"/>
  <c r="G22" i="5" s="1"/>
  <c r="J21" i="5"/>
  <c r="L21" i="5" s="1"/>
  <c r="J20" i="5"/>
  <c r="L20" i="5" s="1"/>
  <c r="J19" i="5"/>
  <c r="L19" i="5" s="1"/>
  <c r="J18" i="5"/>
  <c r="L18" i="5" s="1"/>
  <c r="J17" i="5"/>
  <c r="L17" i="5" s="1"/>
  <c r="J16" i="5"/>
  <c r="L16" i="5" s="1"/>
  <c r="L15" i="5"/>
  <c r="J15" i="5"/>
  <c r="J14" i="5"/>
  <c r="L14" i="5" s="1"/>
  <c r="M14" i="5" s="1"/>
  <c r="M15" i="5" s="1"/>
  <c r="F64" i="5"/>
  <c r="E64" i="5"/>
  <c r="E33" i="5" s="1"/>
  <c r="D64" i="5"/>
  <c r="E34" i="5"/>
  <c r="D33" i="5"/>
  <c r="G33" i="5" s="1"/>
  <c r="E32" i="5"/>
  <c r="D32" i="5"/>
  <c r="G32" i="5" s="1"/>
  <c r="D24" i="5"/>
  <c r="F24" i="5" s="1"/>
  <c r="D23" i="5"/>
  <c r="F23" i="5" s="1"/>
  <c r="F22" i="5"/>
  <c r="D22" i="5"/>
  <c r="E21" i="5"/>
  <c r="D21" i="5"/>
  <c r="F21" i="5" s="1"/>
  <c r="E20" i="5"/>
  <c r="F20" i="5" s="1"/>
  <c r="D20" i="5"/>
  <c r="E19" i="5"/>
  <c r="D19" i="5"/>
  <c r="F19" i="5" s="1"/>
  <c r="D18" i="5"/>
  <c r="F18" i="5" s="1"/>
  <c r="D17" i="5"/>
  <c r="F17" i="5" s="1"/>
  <c r="G50" i="5" s="1"/>
  <c r="G34" i="5" l="1"/>
  <c r="M16" i="5"/>
  <c r="M17" i="5" s="1"/>
  <c r="M18" i="5" s="1"/>
  <c r="M19" i="5" s="1"/>
  <c r="G23" i="5"/>
  <c r="G24" i="5" s="1"/>
  <c r="G35" i="5"/>
  <c r="G44" i="5" s="1"/>
  <c r="G43" i="5"/>
  <c r="G46" i="5" l="1"/>
  <c r="M23" i="5"/>
  <c r="M25" i="5" s="1"/>
  <c r="M20" i="5"/>
  <c r="M21" i="5" s="1"/>
  <c r="G37" i="5"/>
  <c r="G39" i="5" l="1"/>
  <c r="G48" i="5"/>
  <c r="G52" i="5" s="1"/>
  <c r="E10" i="1" l="1"/>
  <c r="G15" i="4"/>
  <c r="G14" i="4"/>
  <c r="J21" i="4"/>
  <c r="L21" i="4" s="1"/>
  <c r="J20" i="4"/>
  <c r="L20" i="4" s="1"/>
  <c r="J19" i="4"/>
  <c r="L19" i="4" s="1"/>
  <c r="J18" i="4"/>
  <c r="L18" i="4" s="1"/>
  <c r="J17" i="4"/>
  <c r="L17" i="4" s="1"/>
  <c r="J16" i="4"/>
  <c r="L16" i="4" s="1"/>
  <c r="L15" i="4"/>
  <c r="K15" i="4"/>
  <c r="J15" i="4"/>
  <c r="K14" i="4"/>
  <c r="J14" i="4"/>
  <c r="L14" i="4" s="1"/>
  <c r="M14" i="4" s="1"/>
  <c r="M15" i="4" s="1"/>
  <c r="F64" i="4"/>
  <c r="E64" i="4"/>
  <c r="E33" i="4" s="1"/>
  <c r="D64" i="4"/>
  <c r="E34" i="4"/>
  <c r="D34" i="4"/>
  <c r="D33" i="4"/>
  <c r="G33" i="4" s="1"/>
  <c r="E32" i="4"/>
  <c r="D32" i="4"/>
  <c r="G32" i="4" s="1"/>
  <c r="D24" i="4"/>
  <c r="F24" i="4" s="1"/>
  <c r="D23" i="4"/>
  <c r="F23" i="4" s="1"/>
  <c r="D22" i="4"/>
  <c r="F22" i="4" s="1"/>
  <c r="D21" i="4"/>
  <c r="F21" i="4" s="1"/>
  <c r="D20" i="4"/>
  <c r="F20" i="4" s="1"/>
  <c r="F19" i="4"/>
  <c r="E19" i="4"/>
  <c r="D19" i="4"/>
  <c r="E18" i="4"/>
  <c r="D18" i="4"/>
  <c r="F18" i="4" s="1"/>
  <c r="F17" i="4"/>
  <c r="E17" i="4"/>
  <c r="D17" i="4"/>
  <c r="G16" i="4"/>
  <c r="G43" i="4" s="1"/>
  <c r="G34" i="4" l="1"/>
  <c r="M16" i="4"/>
  <c r="M17" i="4" s="1"/>
  <c r="M18" i="4" s="1"/>
  <c r="M19" i="4" s="1"/>
  <c r="G50" i="4"/>
  <c r="G35" i="4"/>
  <c r="G44" i="4" s="1"/>
  <c r="G46" i="4" s="1"/>
  <c r="G17" i="4"/>
  <c r="G18" i="4" s="1"/>
  <c r="G19" i="4" s="1"/>
  <c r="G20" i="4" s="1"/>
  <c r="G21" i="4" s="1"/>
  <c r="G22" i="4" s="1"/>
  <c r="M23" i="4" l="1"/>
  <c r="M25" i="4" s="1"/>
  <c r="M20" i="4"/>
  <c r="M21" i="4" s="1"/>
  <c r="G23" i="4"/>
  <c r="G24" i="4" s="1"/>
  <c r="G37" i="4"/>
  <c r="G39" i="4" l="1"/>
  <c r="G48" i="4"/>
  <c r="G52" i="4" s="1"/>
  <c r="E9" i="1" l="1"/>
  <c r="K21" i="3"/>
  <c r="K20" i="3"/>
  <c r="K19" i="3"/>
  <c r="K18" i="3"/>
  <c r="K17" i="3"/>
  <c r="K16" i="3"/>
  <c r="E24" i="3"/>
  <c r="E23" i="3"/>
  <c r="E22" i="3"/>
  <c r="E21" i="3"/>
  <c r="E20" i="3"/>
  <c r="E19" i="3"/>
  <c r="F19" i="3" s="1"/>
  <c r="G15" i="3"/>
  <c r="J21" i="3"/>
  <c r="L21" i="3" s="1"/>
  <c r="J20" i="3"/>
  <c r="L20" i="3" s="1"/>
  <c r="J19" i="3"/>
  <c r="J18" i="3"/>
  <c r="J17" i="3"/>
  <c r="L17" i="3" s="1"/>
  <c r="J16" i="3"/>
  <c r="L16" i="3" s="1"/>
  <c r="L15" i="3"/>
  <c r="L14" i="3"/>
  <c r="M14" i="3" s="1"/>
  <c r="M15" i="3" s="1"/>
  <c r="F64" i="3"/>
  <c r="E64" i="3"/>
  <c r="E33" i="3" s="1"/>
  <c r="D64" i="3"/>
  <c r="E34" i="3"/>
  <c r="D34" i="3"/>
  <c r="D33" i="3"/>
  <c r="G33" i="3" s="1"/>
  <c r="E32" i="3"/>
  <c r="D32" i="3"/>
  <c r="G32" i="3" s="1"/>
  <c r="D24" i="3"/>
  <c r="D23" i="3"/>
  <c r="D22" i="3"/>
  <c r="D21" i="3"/>
  <c r="D20" i="3"/>
  <c r="D19" i="3"/>
  <c r="D18" i="3"/>
  <c r="F18" i="3" s="1"/>
  <c r="D17" i="3"/>
  <c r="F17" i="3" s="1"/>
  <c r="G16" i="3"/>
  <c r="G43" i="3" s="1"/>
  <c r="L19" i="3" l="1"/>
  <c r="L18" i="3"/>
  <c r="F24" i="3"/>
  <c r="F23" i="3"/>
  <c r="F22" i="3"/>
  <c r="F21" i="3"/>
  <c r="F20" i="3"/>
  <c r="G34" i="3"/>
  <c r="G35" i="3" s="1"/>
  <c r="G44" i="3" s="1"/>
  <c r="G46" i="3" s="1"/>
  <c r="M16" i="3"/>
  <c r="M17" i="3" s="1"/>
  <c r="G50" i="3"/>
  <c r="G17" i="3"/>
  <c r="G18" i="3" s="1"/>
  <c r="G19" i="3" s="1"/>
  <c r="G20" i="3" s="1"/>
  <c r="G21" i="3" s="1"/>
  <c r="M18" i="3" l="1"/>
  <c r="M19" i="3" s="1"/>
  <c r="G22" i="3"/>
  <c r="M20" i="3"/>
  <c r="M21" i="3" s="1"/>
  <c r="M23" i="3"/>
  <c r="M25" i="3" s="1"/>
  <c r="G23" i="3"/>
  <c r="G24" i="3" s="1"/>
  <c r="G37" i="3"/>
  <c r="G39" i="3" l="1"/>
  <c r="G48" i="3"/>
  <c r="G52" i="3" s="1"/>
  <c r="E8" i="1" l="1"/>
  <c r="F64" i="2"/>
  <c r="E64" i="2"/>
  <c r="E33" i="2" s="1"/>
  <c r="D64" i="2"/>
  <c r="E34" i="2"/>
  <c r="G34" i="2" s="1"/>
  <c r="D34" i="2"/>
  <c r="D33" i="2"/>
  <c r="G33" i="2" s="1"/>
  <c r="E32" i="2"/>
  <c r="D32" i="2"/>
  <c r="G32" i="2" s="1"/>
  <c r="D24" i="2"/>
  <c r="F24" i="2" s="1"/>
  <c r="D23" i="2"/>
  <c r="F23" i="2" s="1"/>
  <c r="D22" i="2"/>
  <c r="F22" i="2" s="1"/>
  <c r="D21" i="2"/>
  <c r="F21" i="2" s="1"/>
  <c r="D20" i="2"/>
  <c r="F20" i="2" s="1"/>
  <c r="F19" i="2"/>
  <c r="D19" i="2"/>
  <c r="D18" i="2"/>
  <c r="F18" i="2" s="1"/>
  <c r="D17" i="2"/>
  <c r="F17" i="2" s="1"/>
  <c r="G16" i="2"/>
  <c r="G43" i="2" s="1"/>
  <c r="G50" i="2" l="1"/>
  <c r="G35" i="2"/>
  <c r="G44" i="2" s="1"/>
  <c r="G46" i="2" s="1"/>
  <c r="G17" i="2"/>
  <c r="G18" i="2" s="1"/>
  <c r="G19" i="2" s="1"/>
  <c r="G20" i="2" s="1"/>
  <c r="G21" i="2" s="1"/>
  <c r="G22" i="2" s="1"/>
  <c r="G23" i="2" l="1"/>
  <c r="G24" i="2" s="1"/>
  <c r="G37" i="2"/>
  <c r="G39" i="2" l="1"/>
  <c r="G48" i="2"/>
  <c r="G52" i="2" s="1"/>
  <c r="E14" i="1" l="1"/>
  <c r="F12" i="1"/>
  <c r="F11" i="1"/>
  <c r="F10" i="1"/>
  <c r="F9" i="1"/>
  <c r="F8" i="1"/>
  <c r="F14" i="1" l="1"/>
  <c r="E24" i="1"/>
  <c r="E26" i="1"/>
  <c r="A1" i="6"/>
  <c r="A1" i="5"/>
  <c r="A1" i="4"/>
  <c r="A1" i="3"/>
  <c r="A1" i="2"/>
</calcChain>
</file>

<file path=xl/sharedStrings.xml><?xml version="1.0" encoding="utf-8"?>
<sst xmlns="http://schemas.openxmlformats.org/spreadsheetml/2006/main" count="453" uniqueCount="107">
  <si>
    <t>Net (Over)/Under-Recovery of Environmental Surcharge</t>
  </si>
  <si>
    <t>From:</t>
  </si>
  <si>
    <t>Amount</t>
  </si>
  <si>
    <t xml:space="preserve">  Tab "A - 11-30-19", Line No. 9</t>
  </si>
  <si>
    <t xml:space="preserve">  Tab "C - 11-30-20", Line No. 9</t>
  </si>
  <si>
    <t xml:space="preserve">  Tab "B - 05-31-20", Line No. 9</t>
  </si>
  <si>
    <t xml:space="preserve">  Tab "E - 11-30-21", Line No. 9</t>
  </si>
  <si>
    <t xml:space="preserve">  Tab "D - 05-31-21", Line No. 9</t>
  </si>
  <si>
    <t>Total Net (Over)/Under-Recovery for Review Period</t>
  </si>
  <si>
    <t>Amortization Options for Total Net (Over)/Under-Recovery</t>
  </si>
  <si>
    <t>Traditional 6-Month Amortization Period</t>
  </si>
  <si>
    <t>Option - 12-Month Amortization Period</t>
  </si>
  <si>
    <t>DR1 Response 2 - Nolin Surcharge Summary.xlsx</t>
  </si>
  <si>
    <t>Nolin RECC</t>
  </si>
  <si>
    <t>are direct pass throughs, there is no over- or under-recovery associated with those customers.</t>
  </si>
  <si>
    <t>Please note that during the 30-month review period that Nolin began to directly pass through</t>
  </si>
  <si>
    <t>the EKPC surcharge amounts for customers served under Rates B and G.  Since these</t>
  </si>
  <si>
    <t>Nolin - Calculation of (Over)/Under Recovery</t>
  </si>
  <si>
    <t>Billed to Retail</t>
  </si>
  <si>
    <t>EKPC Invoice</t>
  </si>
  <si>
    <t>Consumer &amp;</t>
  </si>
  <si>
    <t>Month recorded</t>
  </si>
  <si>
    <t xml:space="preserve">recorded on </t>
  </si>
  <si>
    <t>Monthly</t>
  </si>
  <si>
    <t>Cumulative</t>
  </si>
  <si>
    <t>Member's Books</t>
  </si>
  <si>
    <t>(Over) or Under</t>
  </si>
  <si>
    <t>Line No.</t>
  </si>
  <si>
    <t>Month &amp; Year</t>
  </si>
  <si>
    <t>(2)</t>
  </si>
  <si>
    <t>(3)</t>
  </si>
  <si>
    <t>(4)</t>
  </si>
  <si>
    <t>(5)</t>
  </si>
  <si>
    <t>Previous (Over)/Under-Recovery Remaining to be Amortized</t>
  </si>
  <si>
    <t>1a</t>
  </si>
  <si>
    <t>From Case No. 2018-00306 (Over)/Under-Recovery</t>
  </si>
  <si>
    <t>1b</t>
  </si>
  <si>
    <t>From Case No. 2019-00171 (Over)/Under-Recovery</t>
  </si>
  <si>
    <t>1c</t>
  </si>
  <si>
    <t>From Case No. 2019-00380 (Over)/Under-Recovery</t>
  </si>
  <si>
    <t>1d</t>
  </si>
  <si>
    <t>Total Previous (Over)/Under-Recovery</t>
  </si>
  <si>
    <t>Post</t>
  </si>
  <si>
    <t>Review</t>
  </si>
  <si>
    <t>Less Adjustment for Order amounts remaining to be amortized at end of review period December 2019</t>
  </si>
  <si>
    <t>Amount Per Case</t>
  </si>
  <si>
    <t>Amortization of</t>
  </si>
  <si>
    <t>Order Remaining</t>
  </si>
  <si>
    <t>Previous</t>
  </si>
  <si>
    <t>to be Amortized at</t>
  </si>
  <si>
    <t>(Over)/Under</t>
  </si>
  <si>
    <t>Order Remaining to</t>
  </si>
  <si>
    <t>beginning of Review</t>
  </si>
  <si>
    <t>Recoveries During</t>
  </si>
  <si>
    <t>be Amortized at end</t>
  </si>
  <si>
    <t>Period</t>
  </si>
  <si>
    <t>Review Period</t>
  </si>
  <si>
    <t>of Review Period</t>
  </si>
  <si>
    <t>8a</t>
  </si>
  <si>
    <t>Case No. 2018-00306 Recovery</t>
  </si>
  <si>
    <t>8b</t>
  </si>
  <si>
    <t>Case No. 2019-00171 Recovery</t>
  </si>
  <si>
    <t>8c</t>
  </si>
  <si>
    <t>Case No. 2019-00380 Recovery</t>
  </si>
  <si>
    <t>8d</t>
  </si>
  <si>
    <t xml:space="preserve">Total Order amounts remaining - Over/(Under):      </t>
  </si>
  <si>
    <t>Cumulative six month (Over)/Under-Recovery [Cumulative net of remaining Case amortizations (Ln 7&amp;8d)]</t>
  </si>
  <si>
    <t>Reconciliation:</t>
  </si>
  <si>
    <t>Previous (Over)/Under-Recovery Remaining to be Amortized, beginning of Review Period</t>
  </si>
  <si>
    <t>Previous (Over)/Under-Recovery Remaining to be Amortized, ending of Review Period</t>
  </si>
  <si>
    <t>Total Amortization during Review Period</t>
  </si>
  <si>
    <t>(Over)/Under-Recovery from Column 5, Line 9</t>
  </si>
  <si>
    <t>Less:  Total Monthly (Over)/Under-Recovery for Review Period (Column 4, Lines 2 thru 7)</t>
  </si>
  <si>
    <t>Difference</t>
  </si>
  <si>
    <t>Amortization Detail, Column 3, Line 8:</t>
  </si>
  <si>
    <t>Case No.</t>
  </si>
  <si>
    <t>2018-00306</t>
  </si>
  <si>
    <t>2019-00171</t>
  </si>
  <si>
    <t>2019-00380</t>
  </si>
  <si>
    <t xml:space="preserve">Totals  </t>
  </si>
  <si>
    <t>Monthly recovery (per month for six months)</t>
  </si>
  <si>
    <t>Less Adjustment for Order amounts remaining to be amortized at end of review period June 2020</t>
  </si>
  <si>
    <t>Nolin - Calculation of (Over)/Under Recovery - Direct Surcharge Pass-Throughs</t>
  </si>
  <si>
    <t>(1)</t>
  </si>
  <si>
    <t>Cumulative 6-month (Over)/Under Recovery</t>
  </si>
  <si>
    <t>Monthly Recovery (per month for six months)</t>
  </si>
  <si>
    <t>Rate B and Rate G</t>
  </si>
  <si>
    <t>From Tab "A - 11-30-19" (Over)/Under-Recovery</t>
  </si>
  <si>
    <t>Tab "A - 11-30-19" Recovery</t>
  </si>
  <si>
    <t>Tab</t>
  </si>
  <si>
    <t>"A - 11-30-19"</t>
  </si>
  <si>
    <t>Less Adjustment for Order amounts remaining to be amortized at end of review period December 2020</t>
  </si>
  <si>
    <t>From Tab "B - 05-31-20" (Over)/Under-Recovery</t>
  </si>
  <si>
    <t>Tab "B - 05-31-20" Recovery</t>
  </si>
  <si>
    <t>"B - 05-31-20"</t>
  </si>
  <si>
    <t>Less Adjustment for Order amounts remaining to be amortized at end of review period June 2021</t>
  </si>
  <si>
    <t>From Tab "C - 11-30-20" (Over)/Under-Recovery</t>
  </si>
  <si>
    <t xml:space="preserve">Tab "B - 05-31-20" Recovery </t>
  </si>
  <si>
    <t>Tab "C - 11-30-20" Recovery</t>
  </si>
  <si>
    <t>"C - 11-30-20"</t>
  </si>
  <si>
    <t>1e</t>
  </si>
  <si>
    <t>Less Adjustment for Order amounts remaining to be amortized at end of review period December 2021</t>
  </si>
  <si>
    <t>8e</t>
  </si>
  <si>
    <t>Cumulative six month (Over)/Under-Recovery [Cumulative net of remaining Case amortizations (Ln 7&amp;8e)]</t>
  </si>
  <si>
    <t>From Tab "D - 05-31-21" (Over)/Under-Recovery</t>
  </si>
  <si>
    <t>Tab "D - 05-31-21" Recovery</t>
  </si>
  <si>
    <t>"D - 05-31-21"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</si>
</sst>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[$-409]mmm\-yy;@"/>
  </numFmts>
  <fonts count="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4" fontId="4" fillId="0" borderId="0" applyFont="0" applyFill="0" applyBorder="0" applyAlignment="0" applyProtection="0"/>
  </cellStyleXfs>
  <cellXfs count="10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6" fontId="0" fillId="0" borderId="0" xfId="0" applyNumberFormat="1"/>
    <xf numFmtId="6" fontId="0" fillId="0" borderId="2" xfId="0" applyNumberFormat="1" applyBorder="1"/>
    <xf numFmtId="6" fontId="0" fillId="0" borderId="3" xfId="0" applyNumberFormat="1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4" xfId="0" applyBorder="1"/>
    <xf numFmtId="0" fontId="0" fillId="0" borderId="15" xfId="0" applyBorder="1"/>
    <xf numFmtId="5" fontId="0" fillId="0" borderId="12" xfId="0" applyNumberFormat="1" applyFill="1" applyBorder="1"/>
    <xf numFmtId="0" fontId="0" fillId="0" borderId="6" xfId="0" applyBorder="1"/>
    <xf numFmtId="5" fontId="0" fillId="0" borderId="9" xfId="0" applyNumberFormat="1" applyFill="1" applyBorder="1"/>
    <xf numFmtId="5" fontId="0" fillId="0" borderId="9" xfId="0" applyNumberFormat="1" applyBorder="1"/>
    <xf numFmtId="164" fontId="0" fillId="0" borderId="9" xfId="0" applyNumberFormat="1" applyBorder="1" applyAlignment="1">
      <alignment horizontal="right"/>
    </xf>
    <xf numFmtId="5" fontId="0" fillId="0" borderId="4" xfId="0" applyNumberFormat="1" applyBorder="1"/>
    <xf numFmtId="164" fontId="0" fillId="0" borderId="10" xfId="0" applyNumberFormat="1" applyBorder="1" applyAlignment="1">
      <alignment horizontal="right"/>
    </xf>
    <xf numFmtId="5" fontId="0" fillId="0" borderId="16" xfId="0" applyNumberFormat="1" applyBorder="1"/>
    <xf numFmtId="5" fontId="0" fillId="0" borderId="10" xfId="0" applyNumberFormat="1" applyBorder="1"/>
    <xf numFmtId="5" fontId="0" fillId="0" borderId="7" xfId="0" applyNumberFormat="1" applyBorder="1"/>
    <xf numFmtId="5" fontId="0" fillId="0" borderId="11" xfId="0" applyNumberFormat="1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11" xfId="0" applyNumberFormat="1" applyBorder="1" applyAlignment="1">
      <alignment horizontal="right"/>
    </xf>
    <xf numFmtId="0" fontId="0" fillId="2" borderId="11" xfId="0" applyFill="1" applyBorder="1" applyAlignment="1">
      <alignment horizontal="left"/>
    </xf>
    <xf numFmtId="0" fontId="0" fillId="2" borderId="2" xfId="0" applyFill="1" applyBorder="1"/>
    <xf numFmtId="5" fontId="0" fillId="2" borderId="8" xfId="0" applyNumberFormat="1" applyFill="1" applyBorder="1"/>
    <xf numFmtId="5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5" fontId="0" fillId="0" borderId="12" xfId="0" applyNumberFormat="1" applyBorder="1"/>
    <xf numFmtId="0" fontId="0" fillId="0" borderId="0" xfId="0" applyAlignment="1">
      <alignment horizontal="center"/>
    </xf>
    <xf numFmtId="5" fontId="0" fillId="0" borderId="0" xfId="0" applyNumberFormat="1"/>
    <xf numFmtId="0" fontId="0" fillId="0" borderId="13" xfId="0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5" xfId="0" applyBorder="1"/>
    <xf numFmtId="0" fontId="0" fillId="0" borderId="0" xfId="0" applyBorder="1"/>
    <xf numFmtId="5" fontId="0" fillId="0" borderId="17" xfId="0" applyNumberFormat="1" applyBorder="1"/>
    <xf numFmtId="5" fontId="0" fillId="0" borderId="8" xfId="0" applyNumberFormat="1" applyBorder="1"/>
    <xf numFmtId="5" fontId="0" fillId="0" borderId="18" xfId="0" applyNumberFormat="1" applyBorder="1"/>
    <xf numFmtId="0" fontId="0" fillId="0" borderId="11" xfId="0" applyBorder="1"/>
    <xf numFmtId="0" fontId="0" fillId="0" borderId="2" xfId="0" applyBorder="1"/>
    <xf numFmtId="0" fontId="0" fillId="0" borderId="8" xfId="0" applyBorder="1"/>
    <xf numFmtId="5" fontId="0" fillId="0" borderId="10" xfId="0" applyNumberFormat="1" applyFill="1" applyBorder="1"/>
    <xf numFmtId="5" fontId="0" fillId="0" borderId="11" xfId="0" applyNumberFormat="1" applyFill="1" applyBorder="1"/>
    <xf numFmtId="0" fontId="0" fillId="0" borderId="12" xfId="0" applyBorder="1" applyAlignment="1">
      <alignment horizontal="right"/>
    </xf>
    <xf numFmtId="5" fontId="0" fillId="0" borderId="4" xfId="0" applyNumberFormat="1" applyFill="1" applyBorder="1"/>
    <xf numFmtId="5" fontId="0" fillId="0" borderId="16" xfId="0" applyNumberFormat="1" applyFill="1" applyBorder="1"/>
    <xf numFmtId="5" fontId="0" fillId="0" borderId="7" xfId="0" applyNumberFormat="1" applyFill="1" applyBorder="1"/>
    <xf numFmtId="0" fontId="3" fillId="0" borderId="0" xfId="1"/>
    <xf numFmtId="0" fontId="1" fillId="0" borderId="0" xfId="1" applyFont="1"/>
    <xf numFmtId="0" fontId="2" fillId="0" borderId="9" xfId="1" applyFont="1" applyBorder="1"/>
    <xf numFmtId="0" fontId="2" fillId="0" borderId="9" xfId="1" applyFont="1" applyBorder="1" applyAlignment="1">
      <alignment horizontal="center"/>
    </xf>
    <xf numFmtId="0" fontId="2" fillId="0" borderId="10" xfId="1" applyFont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49" fontId="2" fillId="0" borderId="12" xfId="1" applyNumberFormat="1" applyFont="1" applyBorder="1" applyAlignment="1">
      <alignment horizontal="center"/>
    </xf>
    <xf numFmtId="17" fontId="5" fillId="0" borderId="9" xfId="2" applyNumberFormat="1" applyFont="1" applyFill="1" applyBorder="1"/>
    <xf numFmtId="5" fontId="2" fillId="0" borderId="10" xfId="3" applyNumberFormat="1" applyFont="1" applyFill="1" applyBorder="1" applyAlignment="1">
      <alignment horizontal="right"/>
    </xf>
    <xf numFmtId="5" fontId="2" fillId="0" borderId="0" xfId="3" applyNumberFormat="1" applyFont="1" applyFill="1" applyBorder="1" applyAlignment="1">
      <alignment horizontal="right"/>
    </xf>
    <xf numFmtId="5" fontId="2" fillId="0" borderId="9" xfId="1" applyNumberFormat="1" applyFont="1" applyBorder="1"/>
    <xf numFmtId="5" fontId="2" fillId="0" borderId="10" xfId="1" applyNumberFormat="1" applyFont="1" applyBorder="1"/>
    <xf numFmtId="17" fontId="5" fillId="0" borderId="10" xfId="2" applyNumberFormat="1" applyFont="1" applyFill="1" applyBorder="1"/>
    <xf numFmtId="5" fontId="2" fillId="0" borderId="10" xfId="1" applyNumberFormat="1" applyFont="1" applyFill="1" applyBorder="1"/>
    <xf numFmtId="17" fontId="5" fillId="0" borderId="11" xfId="2" applyNumberFormat="1" applyFont="1" applyFill="1" applyBorder="1"/>
    <xf numFmtId="5" fontId="2" fillId="0" borderId="11" xfId="1" applyNumberFormat="1" applyFont="1" applyFill="1" applyBorder="1"/>
    <xf numFmtId="5" fontId="2" fillId="0" borderId="11" xfId="1" applyNumberFormat="1" applyFont="1" applyBorder="1"/>
    <xf numFmtId="5" fontId="2" fillId="0" borderId="9" xfId="1" applyNumberFormat="1" applyFont="1" applyFill="1" applyBorder="1"/>
    <xf numFmtId="0" fontId="2" fillId="0" borderId="0" xfId="1" applyFont="1"/>
    <xf numFmtId="0" fontId="2" fillId="0" borderId="13" xfId="1" applyFont="1" applyBorder="1"/>
    <xf numFmtId="0" fontId="2" fillId="0" borderId="14" xfId="1" applyFont="1" applyBorder="1"/>
    <xf numFmtId="0" fontId="2" fillId="0" borderId="15" xfId="1" applyFont="1" applyBorder="1"/>
    <xf numFmtId="5" fontId="2" fillId="0" borderId="12" xfId="1" applyNumberFormat="1" applyFont="1" applyBorder="1"/>
    <xf numFmtId="5" fontId="2" fillId="0" borderId="0" xfId="1" applyNumberFormat="1" applyFont="1"/>
    <xf numFmtId="5" fontId="0" fillId="0" borderId="11" xfId="1" applyNumberFormat="1" applyFont="1" applyFill="1" applyBorder="1"/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2" borderId="13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1" fillId="0" borderId="4" xfId="1" applyFont="1" applyBorder="1" applyAlignment="1">
      <alignment horizontal="center" wrapText="1"/>
    </xf>
    <xf numFmtId="0" fontId="1" fillId="0" borderId="5" xfId="1" applyFont="1" applyBorder="1" applyAlignment="1">
      <alignment horizontal="center" wrapText="1"/>
    </xf>
    <xf numFmtId="0" fontId="1" fillId="0" borderId="6" xfId="1" applyFont="1" applyBorder="1" applyAlignment="1">
      <alignment horizontal="center" wrapText="1"/>
    </xf>
    <xf numFmtId="0" fontId="1" fillId="0" borderId="7" xfId="1" applyFont="1" applyBorder="1" applyAlignment="1">
      <alignment horizontal="center" wrapText="1"/>
    </xf>
    <xf numFmtId="0" fontId="1" fillId="0" borderId="2" xfId="1" applyFont="1" applyBorder="1" applyAlignment="1">
      <alignment horizontal="center" wrapText="1"/>
    </xf>
    <xf numFmtId="0" fontId="1" fillId="0" borderId="8" xfId="1" applyFont="1" applyBorder="1" applyAlignment="1">
      <alignment horizontal="center" wrapText="1"/>
    </xf>
  </cellXfs>
  <cellStyles count="4">
    <cellStyle name="Currency 2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A4" sqref="A4"/>
    </sheetView>
  </sheetViews>
  <sheetFormatPr defaultColWidth="15.625" defaultRowHeight="14.25" x14ac:dyDescent="0.2"/>
  <sheetData>
    <row r="1" spans="1:6" x14ac:dyDescent="0.2">
      <c r="A1" t="s">
        <v>12</v>
      </c>
    </row>
    <row r="3" spans="1:6" ht="15" x14ac:dyDescent="0.25">
      <c r="C3" s="86" t="s">
        <v>13</v>
      </c>
      <c r="D3" s="86"/>
      <c r="E3" s="86"/>
    </row>
    <row r="4" spans="1:6" ht="15" x14ac:dyDescent="0.25">
      <c r="B4" s="86" t="s">
        <v>0</v>
      </c>
      <c r="C4" s="86"/>
      <c r="D4" s="86"/>
      <c r="E4" s="86"/>
      <c r="F4" s="86"/>
    </row>
    <row r="6" spans="1:6" ht="15" thickBot="1" x14ac:dyDescent="0.25">
      <c r="E6" s="1" t="s">
        <v>2</v>
      </c>
    </row>
    <row r="7" spans="1:6" x14ac:dyDescent="0.2">
      <c r="B7" t="s">
        <v>1</v>
      </c>
    </row>
    <row r="8" spans="1:6" x14ac:dyDescent="0.2">
      <c r="B8" t="s">
        <v>3</v>
      </c>
      <c r="E8" s="3">
        <f>'A - 11-30-19'!G37</f>
        <v>14071.260000000068</v>
      </c>
      <c r="F8" s="2" t="str">
        <f>IF(E8&gt;0,"Under-Recovery","Over-Recovery")</f>
        <v>Under-Recovery</v>
      </c>
    </row>
    <row r="9" spans="1:6" x14ac:dyDescent="0.2">
      <c r="B9" t="s">
        <v>5</v>
      </c>
      <c r="E9" s="3">
        <f>'B - 05-31-20'!G37</f>
        <v>-128156.63</v>
      </c>
      <c r="F9" s="2" t="str">
        <f t="shared" ref="F9:F12" si="0">IF(E9&gt;0,"Under-Recovery","Over-Recovery")</f>
        <v>Over-Recovery</v>
      </c>
    </row>
    <row r="10" spans="1:6" x14ac:dyDescent="0.2">
      <c r="B10" t="s">
        <v>4</v>
      </c>
      <c r="E10" s="3">
        <f>'C - 11-30-20'!G37</f>
        <v>434913.71</v>
      </c>
      <c r="F10" s="2" t="str">
        <f t="shared" si="0"/>
        <v>Under-Recovery</v>
      </c>
    </row>
    <row r="11" spans="1:6" x14ac:dyDescent="0.2">
      <c r="B11" t="s">
        <v>7</v>
      </c>
      <c r="E11" s="3">
        <f>'D - 05-31-21'!G37</f>
        <v>199754.07000000007</v>
      </c>
      <c r="F11" s="2" t="str">
        <f t="shared" si="0"/>
        <v>Under-Recovery</v>
      </c>
    </row>
    <row r="12" spans="1:6" x14ac:dyDescent="0.2">
      <c r="B12" t="s">
        <v>6</v>
      </c>
      <c r="E12" s="4">
        <f>'E - 11-30-21'!G39</f>
        <v>224408.82000000007</v>
      </c>
      <c r="F12" s="2" t="str">
        <f t="shared" si="0"/>
        <v>Under-Recovery</v>
      </c>
    </row>
    <row r="13" spans="1:6" x14ac:dyDescent="0.2">
      <c r="E13" s="3"/>
    </row>
    <row r="14" spans="1:6" ht="15" thickBot="1" x14ac:dyDescent="0.25">
      <c r="B14" t="s">
        <v>8</v>
      </c>
      <c r="E14" s="5">
        <f>SUM(E8:E12)</f>
        <v>744991.23000000021</v>
      </c>
      <c r="F14" s="2" t="str">
        <f>IF(E14&gt;0,"Under-Recovery","Over-Recovery")</f>
        <v>Under-Recovery</v>
      </c>
    </row>
    <row r="15" spans="1:6" ht="15" thickTop="1" x14ac:dyDescent="0.2"/>
    <row r="17" spans="2:6" x14ac:dyDescent="0.2">
      <c r="B17" t="s">
        <v>15</v>
      </c>
    </row>
    <row r="18" spans="2:6" x14ac:dyDescent="0.2">
      <c r="B18" t="s">
        <v>16</v>
      </c>
    </row>
    <row r="19" spans="2:6" x14ac:dyDescent="0.2">
      <c r="B19" t="s">
        <v>14</v>
      </c>
    </row>
    <row r="22" spans="2:6" ht="15" x14ac:dyDescent="0.25">
      <c r="B22" s="86" t="s">
        <v>9</v>
      </c>
      <c r="C22" s="86"/>
      <c r="D22" s="86"/>
      <c r="E22" s="86"/>
      <c r="F22" s="86"/>
    </row>
    <row r="24" spans="2:6" x14ac:dyDescent="0.2">
      <c r="B24" t="s">
        <v>10</v>
      </c>
      <c r="E24" s="3">
        <f>ROUND(E14/6,0)</f>
        <v>124165</v>
      </c>
    </row>
    <row r="25" spans="2:6" x14ac:dyDescent="0.2">
      <c r="E25" s="3"/>
    </row>
    <row r="26" spans="2:6" x14ac:dyDescent="0.2">
      <c r="B26" t="s">
        <v>11</v>
      </c>
      <c r="E26" s="3">
        <f>ROUND(E14/12,0)</f>
        <v>62083</v>
      </c>
    </row>
    <row r="27" spans="2:6" x14ac:dyDescent="0.2">
      <c r="E27" s="3"/>
    </row>
  </sheetData>
  <mergeCells count="3">
    <mergeCell ref="B4:F4"/>
    <mergeCell ref="C3:E3"/>
    <mergeCell ref="B22:F2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>
      <selection activeCell="A12" sqref="A12"/>
    </sheetView>
  </sheetViews>
  <sheetFormatPr defaultColWidth="12.625" defaultRowHeight="14.25" x14ac:dyDescent="0.2"/>
  <cols>
    <col min="2" max="2" width="8.625" customWidth="1"/>
    <col min="3" max="3" width="30.625" customWidth="1"/>
    <col min="4" max="5" width="17.625" customWidth="1"/>
    <col min="6" max="6" width="21.125" customWidth="1"/>
    <col min="7" max="7" width="17.625" customWidth="1"/>
  </cols>
  <sheetData>
    <row r="1" spans="1:7" x14ac:dyDescent="0.2">
      <c r="A1" t="str">
        <f>Summary!A1</f>
        <v>DR1 Response 2 - Nolin Surcharge Summary.xlsx</v>
      </c>
    </row>
    <row r="4" spans="1:7" x14ac:dyDescent="0.2">
      <c r="B4" s="87" t="s">
        <v>17</v>
      </c>
      <c r="C4" s="88"/>
      <c r="D4" s="88"/>
      <c r="E4" s="88"/>
      <c r="F4" s="88"/>
      <c r="G4" s="89"/>
    </row>
    <row r="5" spans="1:7" x14ac:dyDescent="0.2">
      <c r="B5" s="90"/>
      <c r="C5" s="91"/>
      <c r="D5" s="91"/>
      <c r="E5" s="91"/>
      <c r="F5" s="91"/>
      <c r="G5" s="92"/>
    </row>
    <row r="7" spans="1:7" x14ac:dyDescent="0.2">
      <c r="B7" s="6"/>
      <c r="C7" s="6"/>
      <c r="D7" s="6"/>
      <c r="E7" s="7" t="s">
        <v>18</v>
      </c>
      <c r="F7" s="6"/>
      <c r="G7" s="6"/>
    </row>
    <row r="8" spans="1:7" x14ac:dyDescent="0.2">
      <c r="B8" s="8"/>
      <c r="C8" s="8"/>
      <c r="D8" s="9" t="s">
        <v>19</v>
      </c>
      <c r="E8" s="9" t="s">
        <v>20</v>
      </c>
      <c r="F8" s="8"/>
      <c r="G8" s="8"/>
    </row>
    <row r="9" spans="1:7" x14ac:dyDescent="0.2">
      <c r="B9" s="8"/>
      <c r="C9" s="8"/>
      <c r="D9" s="9" t="s">
        <v>21</v>
      </c>
      <c r="E9" s="9" t="s">
        <v>22</v>
      </c>
      <c r="F9" s="9" t="s">
        <v>23</v>
      </c>
      <c r="G9" s="9" t="s">
        <v>24</v>
      </c>
    </row>
    <row r="10" spans="1:7" x14ac:dyDescent="0.2">
      <c r="B10" s="10"/>
      <c r="C10" s="10"/>
      <c r="D10" s="10" t="s">
        <v>25</v>
      </c>
      <c r="E10" s="10" t="s">
        <v>25</v>
      </c>
      <c r="F10" s="10" t="s">
        <v>26</v>
      </c>
      <c r="G10" s="10" t="s">
        <v>26</v>
      </c>
    </row>
    <row r="11" spans="1:7" x14ac:dyDescent="0.2">
      <c r="B11" s="11" t="s">
        <v>27</v>
      </c>
      <c r="C11" s="11" t="s">
        <v>28</v>
      </c>
      <c r="D11" s="12" t="s">
        <v>29</v>
      </c>
      <c r="E11" s="12" t="s">
        <v>30</v>
      </c>
      <c r="F11" s="12" t="s">
        <v>31</v>
      </c>
      <c r="G11" s="12" t="s">
        <v>32</v>
      </c>
    </row>
    <row r="12" spans="1:7" x14ac:dyDescent="0.2">
      <c r="B12" s="7">
        <v>1</v>
      </c>
      <c r="C12" s="93" t="s">
        <v>33</v>
      </c>
      <c r="D12" s="94"/>
      <c r="E12" s="94"/>
      <c r="F12" s="94"/>
      <c r="G12" s="95"/>
    </row>
    <row r="13" spans="1:7" x14ac:dyDescent="0.2">
      <c r="B13" s="7" t="s">
        <v>34</v>
      </c>
      <c r="C13" s="13" t="s">
        <v>35</v>
      </c>
      <c r="D13" s="13"/>
      <c r="E13" s="13"/>
      <c r="F13" s="14"/>
      <c r="G13" s="15">
        <v>-9342</v>
      </c>
    </row>
    <row r="14" spans="1:7" x14ac:dyDescent="0.2">
      <c r="B14" s="9" t="s">
        <v>36</v>
      </c>
      <c r="C14" s="13" t="s">
        <v>37</v>
      </c>
      <c r="D14" s="13"/>
      <c r="E14" s="13"/>
      <c r="F14" s="14"/>
      <c r="G14" s="15">
        <v>-53282</v>
      </c>
    </row>
    <row r="15" spans="1:7" x14ac:dyDescent="0.2">
      <c r="B15" s="9" t="s">
        <v>38</v>
      </c>
      <c r="C15" s="13" t="s">
        <v>39</v>
      </c>
      <c r="D15" s="13"/>
      <c r="E15" s="13"/>
      <c r="F15" s="16"/>
      <c r="G15" s="17">
        <v>14683</v>
      </c>
    </row>
    <row r="16" spans="1:7" x14ac:dyDescent="0.2">
      <c r="B16" s="10" t="s">
        <v>40</v>
      </c>
      <c r="C16" s="13" t="s">
        <v>41</v>
      </c>
      <c r="D16" s="13"/>
      <c r="E16" s="13"/>
      <c r="F16" s="16"/>
      <c r="G16" s="18">
        <f>G13+G14+G15</f>
        <v>-47941</v>
      </c>
    </row>
    <row r="17" spans="2:7" x14ac:dyDescent="0.2">
      <c r="B17" s="9">
        <v>2</v>
      </c>
      <c r="C17" s="19">
        <v>43647</v>
      </c>
      <c r="D17" s="17">
        <f>723275-0</f>
        <v>723275</v>
      </c>
      <c r="E17" s="56">
        <v>728349.69</v>
      </c>
      <c r="F17" s="20">
        <f t="shared" ref="F17:F24" si="0">D17-E17</f>
        <v>-5074.6899999999441</v>
      </c>
      <c r="G17" s="18">
        <f t="shared" ref="G17:G24" si="1">G16+F17</f>
        <v>-53015.689999999944</v>
      </c>
    </row>
    <row r="18" spans="2:7" x14ac:dyDescent="0.2">
      <c r="B18" s="9">
        <v>3</v>
      </c>
      <c r="C18" s="21">
        <v>43678</v>
      </c>
      <c r="D18" s="53">
        <f>684366-0</f>
        <v>684366</v>
      </c>
      <c r="E18" s="57">
        <v>696881.05</v>
      </c>
      <c r="F18" s="22">
        <f t="shared" si="0"/>
        <v>-12515.050000000047</v>
      </c>
      <c r="G18" s="23">
        <f t="shared" si="1"/>
        <v>-65530.739999999991</v>
      </c>
    </row>
    <row r="19" spans="2:7" x14ac:dyDescent="0.2">
      <c r="B19" s="9">
        <v>4</v>
      </c>
      <c r="C19" s="21">
        <v>43709</v>
      </c>
      <c r="D19" s="53">
        <f>543567-0</f>
        <v>543567</v>
      </c>
      <c r="E19" s="57">
        <v>533354.22</v>
      </c>
      <c r="F19" s="22">
        <f t="shared" si="0"/>
        <v>10212.780000000028</v>
      </c>
      <c r="G19" s="23">
        <f t="shared" si="1"/>
        <v>-55317.959999999963</v>
      </c>
    </row>
    <row r="20" spans="2:7" x14ac:dyDescent="0.2">
      <c r="B20" s="9">
        <v>5</v>
      </c>
      <c r="C20" s="21">
        <v>43739</v>
      </c>
      <c r="D20" s="53">
        <f>474579-0</f>
        <v>474579</v>
      </c>
      <c r="E20" s="57">
        <v>488506.2</v>
      </c>
      <c r="F20" s="22">
        <f t="shared" si="0"/>
        <v>-13927.200000000012</v>
      </c>
      <c r="G20" s="23">
        <f t="shared" si="1"/>
        <v>-69245.159999999974</v>
      </c>
    </row>
    <row r="21" spans="2:7" x14ac:dyDescent="0.2">
      <c r="B21" s="9">
        <v>6</v>
      </c>
      <c r="C21" s="21">
        <v>43770</v>
      </c>
      <c r="D21" s="53">
        <f>636886-0</f>
        <v>636886</v>
      </c>
      <c r="E21" s="57">
        <v>634068.49</v>
      </c>
      <c r="F21" s="22">
        <f t="shared" si="0"/>
        <v>2817.5100000000093</v>
      </c>
      <c r="G21" s="23">
        <f t="shared" si="1"/>
        <v>-66427.649999999965</v>
      </c>
    </row>
    <row r="22" spans="2:7" x14ac:dyDescent="0.2">
      <c r="B22" s="9">
        <v>7</v>
      </c>
      <c r="C22" s="21">
        <v>43800</v>
      </c>
      <c r="D22" s="53">
        <f>819733-0</f>
        <v>819733</v>
      </c>
      <c r="E22" s="57">
        <v>742313.09</v>
      </c>
      <c r="F22" s="24">
        <f t="shared" si="0"/>
        <v>77419.910000000033</v>
      </c>
      <c r="G22" s="25">
        <f t="shared" si="1"/>
        <v>10992.260000000068</v>
      </c>
    </row>
    <row r="23" spans="2:7" x14ac:dyDescent="0.2">
      <c r="B23" s="26" t="s">
        <v>42</v>
      </c>
      <c r="C23" s="19">
        <v>43831</v>
      </c>
      <c r="D23" s="17">
        <f>664003-0</f>
        <v>664003</v>
      </c>
      <c r="E23" s="56">
        <v>689061.63</v>
      </c>
      <c r="F23" s="20">
        <f t="shared" si="0"/>
        <v>-25058.630000000005</v>
      </c>
      <c r="G23" s="18">
        <f t="shared" si="1"/>
        <v>-14066.369999999937</v>
      </c>
    </row>
    <row r="24" spans="2:7" x14ac:dyDescent="0.2">
      <c r="B24" s="27" t="s">
        <v>43</v>
      </c>
      <c r="C24" s="28">
        <v>43862</v>
      </c>
      <c r="D24" s="54">
        <f>522581-0</f>
        <v>522581</v>
      </c>
      <c r="E24" s="58">
        <v>529617.82999999996</v>
      </c>
      <c r="F24" s="24">
        <f t="shared" si="0"/>
        <v>-7036.8299999999581</v>
      </c>
      <c r="G24" s="25">
        <f t="shared" si="1"/>
        <v>-21103.199999999895</v>
      </c>
    </row>
    <row r="25" spans="2:7" x14ac:dyDescent="0.2">
      <c r="B25" s="10"/>
      <c r="C25" s="29" t="s">
        <v>44</v>
      </c>
      <c r="D25" s="30"/>
      <c r="E25" s="30"/>
      <c r="F25" s="30"/>
      <c r="G25" s="31"/>
    </row>
    <row r="26" spans="2:7" x14ac:dyDescent="0.2">
      <c r="B26" s="7"/>
      <c r="C26" s="6"/>
      <c r="D26" s="6"/>
      <c r="E26" s="6"/>
      <c r="F26" s="6"/>
      <c r="G26" s="18"/>
    </row>
    <row r="27" spans="2:7" x14ac:dyDescent="0.2">
      <c r="B27" s="9"/>
      <c r="C27" s="8"/>
      <c r="D27" s="9" t="s">
        <v>45</v>
      </c>
      <c r="E27" s="9" t="s">
        <v>46</v>
      </c>
      <c r="F27" s="8"/>
      <c r="G27" s="23"/>
    </row>
    <row r="28" spans="2:7" x14ac:dyDescent="0.2">
      <c r="B28" s="9">
        <v>8</v>
      </c>
      <c r="C28" s="8"/>
      <c r="D28" s="9" t="s">
        <v>47</v>
      </c>
      <c r="E28" s="9" t="s">
        <v>48</v>
      </c>
      <c r="F28" s="8"/>
      <c r="G28" s="32" t="s">
        <v>45</v>
      </c>
    </row>
    <row r="29" spans="2:7" x14ac:dyDescent="0.2">
      <c r="B29" s="9"/>
      <c r="C29" s="8"/>
      <c r="D29" s="9" t="s">
        <v>49</v>
      </c>
      <c r="E29" s="9" t="s">
        <v>50</v>
      </c>
      <c r="F29" s="8"/>
      <c r="G29" s="32" t="s">
        <v>51</v>
      </c>
    </row>
    <row r="30" spans="2:7" x14ac:dyDescent="0.2">
      <c r="B30" s="9"/>
      <c r="C30" s="8"/>
      <c r="D30" s="9" t="s">
        <v>52</v>
      </c>
      <c r="E30" s="9" t="s">
        <v>53</v>
      </c>
      <c r="F30" s="8"/>
      <c r="G30" s="32" t="s">
        <v>54</v>
      </c>
    </row>
    <row r="31" spans="2:7" x14ac:dyDescent="0.2">
      <c r="B31" s="10"/>
      <c r="C31" s="8"/>
      <c r="D31" s="9" t="s">
        <v>55</v>
      </c>
      <c r="E31" s="9" t="s">
        <v>56</v>
      </c>
      <c r="F31" s="8"/>
      <c r="G31" s="32" t="s">
        <v>57</v>
      </c>
    </row>
    <row r="32" spans="2:7" x14ac:dyDescent="0.2">
      <c r="B32" s="26" t="s">
        <v>58</v>
      </c>
      <c r="C32" s="6" t="s">
        <v>59</v>
      </c>
      <c r="D32" s="18">
        <f>-G13</f>
        <v>9342</v>
      </c>
      <c r="E32" s="18">
        <f>D64</f>
        <v>-9342</v>
      </c>
      <c r="F32" s="6"/>
      <c r="G32" s="18">
        <f>D32+E32</f>
        <v>0</v>
      </c>
    </row>
    <row r="33" spans="2:7" x14ac:dyDescent="0.2">
      <c r="B33" s="33" t="s">
        <v>60</v>
      </c>
      <c r="C33" s="8" t="s">
        <v>61</v>
      </c>
      <c r="D33" s="23">
        <f>-G14</f>
        <v>53282</v>
      </c>
      <c r="E33" s="23">
        <f>E64</f>
        <v>-35520</v>
      </c>
      <c r="F33" s="8"/>
      <c r="G33" s="23">
        <f>D33+E33</f>
        <v>17762</v>
      </c>
    </row>
    <row r="34" spans="2:7" x14ac:dyDescent="0.2">
      <c r="B34" s="33" t="s">
        <v>62</v>
      </c>
      <c r="C34" s="8" t="s">
        <v>63</v>
      </c>
      <c r="D34" s="23">
        <f>-G15</f>
        <v>-14683</v>
      </c>
      <c r="E34" s="23">
        <f>F64</f>
        <v>0</v>
      </c>
      <c r="F34" s="34"/>
      <c r="G34" s="23">
        <f>D34+E34</f>
        <v>-14683</v>
      </c>
    </row>
    <row r="35" spans="2:7" x14ac:dyDescent="0.2">
      <c r="B35" s="10" t="s">
        <v>64</v>
      </c>
      <c r="C35" s="35"/>
      <c r="D35" s="36"/>
      <c r="E35" s="36"/>
      <c r="F35" s="37" t="s">
        <v>65</v>
      </c>
      <c r="G35" s="38">
        <f>G32+G33+G34</f>
        <v>3079</v>
      </c>
    </row>
    <row r="36" spans="2:7" x14ac:dyDescent="0.2">
      <c r="B36" s="39"/>
      <c r="G36" s="40"/>
    </row>
    <row r="37" spans="2:7" x14ac:dyDescent="0.2">
      <c r="B37" s="11">
        <v>9</v>
      </c>
      <c r="C37" s="41" t="s">
        <v>66</v>
      </c>
      <c r="D37" s="13"/>
      <c r="E37" s="13"/>
      <c r="F37" s="14"/>
      <c r="G37" s="38">
        <f>G22+G35</f>
        <v>14071.260000000068</v>
      </c>
    </row>
    <row r="38" spans="2:7" x14ac:dyDescent="0.2">
      <c r="B38" s="39"/>
      <c r="G38" s="40"/>
    </row>
    <row r="39" spans="2:7" x14ac:dyDescent="0.2">
      <c r="B39" s="11">
        <v>10</v>
      </c>
      <c r="C39" s="41" t="s">
        <v>80</v>
      </c>
      <c r="D39" s="13"/>
      <c r="E39" s="13"/>
      <c r="F39" s="14"/>
      <c r="G39" s="38">
        <f>G37/6</f>
        <v>2345.2100000000114</v>
      </c>
    </row>
    <row r="41" spans="2:7" x14ac:dyDescent="0.2">
      <c r="B41" s="6"/>
      <c r="C41" s="42" t="s">
        <v>67</v>
      </c>
      <c r="D41" s="43"/>
      <c r="E41" s="43"/>
      <c r="F41" s="43"/>
      <c r="G41" s="44"/>
    </row>
    <row r="42" spans="2:7" x14ac:dyDescent="0.2">
      <c r="B42" s="6"/>
      <c r="C42" s="45"/>
      <c r="D42" s="45"/>
      <c r="E42" s="45"/>
      <c r="F42" s="45"/>
      <c r="G42" s="16"/>
    </row>
    <row r="43" spans="2:7" x14ac:dyDescent="0.2">
      <c r="B43" s="9">
        <v>11</v>
      </c>
      <c r="C43" s="46" t="s">
        <v>68</v>
      </c>
      <c r="D43" s="46"/>
      <c r="E43" s="46"/>
      <c r="F43" s="46"/>
      <c r="G43" s="47">
        <f>G16</f>
        <v>-47941</v>
      </c>
    </row>
    <row r="44" spans="2:7" x14ac:dyDescent="0.2">
      <c r="B44" s="9">
        <v>12</v>
      </c>
      <c r="C44" s="46" t="s">
        <v>69</v>
      </c>
      <c r="D44" s="46"/>
      <c r="E44" s="46"/>
      <c r="F44" s="46"/>
      <c r="G44" s="48">
        <f>G35</f>
        <v>3079</v>
      </c>
    </row>
    <row r="45" spans="2:7" x14ac:dyDescent="0.2">
      <c r="B45" s="9"/>
      <c r="C45" s="46"/>
      <c r="D45" s="46"/>
      <c r="E45" s="46"/>
      <c r="F45" s="46"/>
      <c r="G45" s="47"/>
    </row>
    <row r="46" spans="2:7" ht="15" thickBot="1" x14ac:dyDescent="0.25">
      <c r="B46" s="9">
        <v>13</v>
      </c>
      <c r="C46" s="46" t="s">
        <v>70</v>
      </c>
      <c r="D46" s="46"/>
      <c r="E46" s="46"/>
      <c r="F46" s="46"/>
      <c r="G46" s="49">
        <f>G43+G44</f>
        <v>-44862</v>
      </c>
    </row>
    <row r="47" spans="2:7" ht="15" thickTop="1" x14ac:dyDescent="0.2">
      <c r="B47" s="9"/>
      <c r="C47" s="46"/>
      <c r="D47" s="46"/>
      <c r="E47" s="46"/>
      <c r="F47" s="46"/>
      <c r="G47" s="47"/>
    </row>
    <row r="48" spans="2:7" x14ac:dyDescent="0.2">
      <c r="B48" s="9">
        <v>14</v>
      </c>
      <c r="C48" s="46" t="s">
        <v>71</v>
      </c>
      <c r="D48" s="46"/>
      <c r="E48" s="46"/>
      <c r="F48" s="46"/>
      <c r="G48" s="47">
        <f>G37</f>
        <v>14071.260000000068</v>
      </c>
    </row>
    <row r="49" spans="2:7" x14ac:dyDescent="0.2">
      <c r="B49" s="9"/>
      <c r="C49" s="46"/>
      <c r="D49" s="46"/>
      <c r="E49" s="46"/>
      <c r="F49" s="46"/>
      <c r="G49" s="47"/>
    </row>
    <row r="50" spans="2:7" x14ac:dyDescent="0.2">
      <c r="B50" s="9">
        <v>15</v>
      </c>
      <c r="C50" s="46" t="s">
        <v>72</v>
      </c>
      <c r="D50" s="46"/>
      <c r="E50" s="46"/>
      <c r="F50" s="46"/>
      <c r="G50" s="48">
        <f>SUM(F17:F22)</f>
        <v>58933.260000000068</v>
      </c>
    </row>
    <row r="51" spans="2:7" x14ac:dyDescent="0.2">
      <c r="B51" s="9"/>
      <c r="C51" s="46"/>
      <c r="D51" s="46"/>
      <c r="E51" s="46"/>
      <c r="F51" s="46"/>
      <c r="G51" s="47"/>
    </row>
    <row r="52" spans="2:7" ht="15" thickBot="1" x14ac:dyDescent="0.25">
      <c r="B52" s="9">
        <v>16</v>
      </c>
      <c r="C52" s="46" t="s">
        <v>73</v>
      </c>
      <c r="D52" s="46"/>
      <c r="E52" s="46"/>
      <c r="F52" s="46"/>
      <c r="G52" s="49">
        <f>G48-G50</f>
        <v>-44862</v>
      </c>
    </row>
    <row r="53" spans="2:7" ht="15" thickTop="1" x14ac:dyDescent="0.2">
      <c r="B53" s="50"/>
      <c r="C53" s="51"/>
      <c r="D53" s="51"/>
      <c r="E53" s="51"/>
      <c r="F53" s="51"/>
      <c r="G53" s="52"/>
    </row>
    <row r="55" spans="2:7" x14ac:dyDescent="0.2">
      <c r="B55" t="s">
        <v>74</v>
      </c>
    </row>
    <row r="56" spans="2:7" x14ac:dyDescent="0.2">
      <c r="B56" s="39"/>
      <c r="C56" s="6"/>
      <c r="D56" s="7" t="s">
        <v>75</v>
      </c>
      <c r="E56" s="7" t="s">
        <v>75</v>
      </c>
      <c r="F56" s="7" t="s">
        <v>75</v>
      </c>
    </row>
    <row r="57" spans="2:7" x14ac:dyDescent="0.2">
      <c r="B57" s="39"/>
      <c r="C57" s="10" t="s">
        <v>28</v>
      </c>
      <c r="D57" s="10" t="s">
        <v>76</v>
      </c>
      <c r="E57" s="10" t="s">
        <v>77</v>
      </c>
      <c r="F57" s="10" t="s">
        <v>78</v>
      </c>
    </row>
    <row r="58" spans="2:7" x14ac:dyDescent="0.2">
      <c r="C58" s="19">
        <v>43647</v>
      </c>
      <c r="D58" s="17">
        <v>-9342</v>
      </c>
      <c r="E58" s="17">
        <v>0</v>
      </c>
      <c r="F58" s="17">
        <v>0</v>
      </c>
    </row>
    <row r="59" spans="2:7" x14ac:dyDescent="0.2">
      <c r="C59" s="21">
        <v>43678</v>
      </c>
      <c r="D59" s="53">
        <v>0</v>
      </c>
      <c r="E59" s="53">
        <v>0</v>
      </c>
      <c r="F59" s="53">
        <v>0</v>
      </c>
    </row>
    <row r="60" spans="2:7" x14ac:dyDescent="0.2">
      <c r="C60" s="21">
        <v>43709</v>
      </c>
      <c r="D60" s="53">
        <v>0</v>
      </c>
      <c r="E60" s="53">
        <v>-8880</v>
      </c>
      <c r="F60" s="53">
        <v>0</v>
      </c>
    </row>
    <row r="61" spans="2:7" x14ac:dyDescent="0.2">
      <c r="C61" s="21">
        <v>43739</v>
      </c>
      <c r="D61" s="53">
        <v>0</v>
      </c>
      <c r="E61" s="53">
        <v>-8880</v>
      </c>
      <c r="F61" s="53">
        <v>0</v>
      </c>
    </row>
    <row r="62" spans="2:7" x14ac:dyDescent="0.2">
      <c r="C62" s="21">
        <v>43770</v>
      </c>
      <c r="D62" s="53">
        <v>0</v>
      </c>
      <c r="E62" s="53">
        <v>-8880</v>
      </c>
      <c r="F62" s="53">
        <v>0</v>
      </c>
    </row>
    <row r="63" spans="2:7" x14ac:dyDescent="0.2">
      <c r="C63" s="28">
        <v>43800</v>
      </c>
      <c r="D63" s="54">
        <v>0</v>
      </c>
      <c r="E63" s="54">
        <v>-8880</v>
      </c>
      <c r="F63" s="54">
        <v>0</v>
      </c>
    </row>
    <row r="64" spans="2:7" x14ac:dyDescent="0.2">
      <c r="C64" s="55" t="s">
        <v>79</v>
      </c>
      <c r="D64" s="38">
        <f>SUM(D58:D63)</f>
        <v>-9342</v>
      </c>
      <c r="E64" s="38">
        <f>SUM(E58:E63)</f>
        <v>-35520</v>
      </c>
      <c r="F64" s="38">
        <f>SUM(F58:F63)</f>
        <v>0</v>
      </c>
    </row>
  </sheetData>
  <mergeCells count="2">
    <mergeCell ref="B4:G5"/>
    <mergeCell ref="C12:G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>
      <selection activeCell="K22" sqref="K22"/>
    </sheetView>
  </sheetViews>
  <sheetFormatPr defaultColWidth="12.625" defaultRowHeight="14.25" x14ac:dyDescent="0.2"/>
  <cols>
    <col min="2" max="2" width="8.625" customWidth="1"/>
    <col min="3" max="3" width="30.625" customWidth="1"/>
    <col min="4" max="5" width="17.625" customWidth="1"/>
    <col min="6" max="6" width="21.125" customWidth="1"/>
    <col min="7" max="7" width="17.75" customWidth="1"/>
    <col min="9" max="13" width="17.625" customWidth="1"/>
  </cols>
  <sheetData>
    <row r="1" spans="1:13" x14ac:dyDescent="0.2">
      <c r="A1" t="str">
        <f>Summary!A1</f>
        <v>DR1 Response 2 - Nolin Surcharge Summary.xlsx</v>
      </c>
    </row>
    <row r="4" spans="1:13" x14ac:dyDescent="0.2">
      <c r="B4" s="87" t="s">
        <v>17</v>
      </c>
      <c r="C4" s="88"/>
      <c r="D4" s="88"/>
      <c r="E4" s="88"/>
      <c r="F4" s="88"/>
      <c r="G4" s="89"/>
      <c r="I4" s="96" t="s">
        <v>82</v>
      </c>
      <c r="J4" s="97"/>
      <c r="K4" s="97"/>
      <c r="L4" s="97"/>
      <c r="M4" s="98"/>
    </row>
    <row r="5" spans="1:13" x14ac:dyDescent="0.2">
      <c r="B5" s="90"/>
      <c r="C5" s="91"/>
      <c r="D5" s="91"/>
      <c r="E5" s="91"/>
      <c r="F5" s="91"/>
      <c r="G5" s="92"/>
      <c r="I5" s="99"/>
      <c r="J5" s="100"/>
      <c r="K5" s="100"/>
      <c r="L5" s="100"/>
      <c r="M5" s="101"/>
    </row>
    <row r="6" spans="1:13" ht="15" x14ac:dyDescent="0.2">
      <c r="I6" s="59"/>
      <c r="J6" s="59"/>
      <c r="K6" s="59"/>
      <c r="L6" s="59"/>
      <c r="M6" s="59"/>
    </row>
    <row r="7" spans="1:13" ht="15.75" x14ac:dyDescent="0.25">
      <c r="B7" s="6"/>
      <c r="C7" s="6"/>
      <c r="D7" s="6"/>
      <c r="E7" s="7" t="s">
        <v>18</v>
      </c>
      <c r="F7" s="6"/>
      <c r="G7" s="6"/>
      <c r="I7" s="60" t="s">
        <v>86</v>
      </c>
      <c r="J7" s="59"/>
      <c r="K7" s="59"/>
      <c r="L7" s="59"/>
      <c r="M7" s="59"/>
    </row>
    <row r="8" spans="1:13" ht="15" x14ac:dyDescent="0.2">
      <c r="B8" s="8"/>
      <c r="C8" s="8"/>
      <c r="D8" s="9" t="s">
        <v>19</v>
      </c>
      <c r="E8" s="9" t="s">
        <v>20</v>
      </c>
      <c r="F8" s="8"/>
      <c r="G8" s="8"/>
      <c r="I8" s="59"/>
      <c r="J8" s="59"/>
      <c r="K8" s="59"/>
      <c r="L8" s="59"/>
      <c r="M8" s="59"/>
    </row>
    <row r="9" spans="1:13" x14ac:dyDescent="0.2">
      <c r="B9" s="8"/>
      <c r="C9" s="8"/>
      <c r="D9" s="9" t="s">
        <v>21</v>
      </c>
      <c r="E9" s="9" t="s">
        <v>22</v>
      </c>
      <c r="F9" s="9" t="s">
        <v>23</v>
      </c>
      <c r="G9" s="9" t="s">
        <v>24</v>
      </c>
      <c r="I9" s="61"/>
      <c r="J9" s="61"/>
      <c r="K9" s="62" t="s">
        <v>18</v>
      </c>
      <c r="L9" s="61"/>
      <c r="M9" s="61"/>
    </row>
    <row r="10" spans="1:13" x14ac:dyDescent="0.2">
      <c r="B10" s="10"/>
      <c r="C10" s="10"/>
      <c r="D10" s="10" t="s">
        <v>25</v>
      </c>
      <c r="E10" s="10" t="s">
        <v>25</v>
      </c>
      <c r="F10" s="10" t="s">
        <v>26</v>
      </c>
      <c r="G10" s="10" t="s">
        <v>26</v>
      </c>
      <c r="I10" s="63"/>
      <c r="J10" s="64" t="s">
        <v>19</v>
      </c>
      <c r="K10" s="64" t="s">
        <v>20</v>
      </c>
      <c r="L10" s="63"/>
      <c r="M10" s="63"/>
    </row>
    <row r="11" spans="1:13" x14ac:dyDescent="0.2">
      <c r="B11" s="11" t="s">
        <v>27</v>
      </c>
      <c r="C11" s="11" t="s">
        <v>28</v>
      </c>
      <c r="D11" s="12" t="s">
        <v>29</v>
      </c>
      <c r="E11" s="12" t="s">
        <v>30</v>
      </c>
      <c r="F11" s="12" t="s">
        <v>31</v>
      </c>
      <c r="G11" s="12" t="s">
        <v>32</v>
      </c>
      <c r="I11" s="63"/>
      <c r="J11" s="64" t="s">
        <v>21</v>
      </c>
      <c r="K11" s="64" t="s">
        <v>22</v>
      </c>
      <c r="L11" s="64" t="s">
        <v>23</v>
      </c>
      <c r="M11" s="64" t="s">
        <v>24</v>
      </c>
    </row>
    <row r="12" spans="1:13" x14ac:dyDescent="0.2">
      <c r="B12" s="7">
        <v>1</v>
      </c>
      <c r="C12" s="93" t="s">
        <v>33</v>
      </c>
      <c r="D12" s="94"/>
      <c r="E12" s="94"/>
      <c r="F12" s="94"/>
      <c r="G12" s="95"/>
      <c r="I12" s="65"/>
      <c r="J12" s="65" t="s">
        <v>25</v>
      </c>
      <c r="K12" s="65" t="s">
        <v>25</v>
      </c>
      <c r="L12" s="65" t="s">
        <v>26</v>
      </c>
      <c r="M12" s="65" t="s">
        <v>26</v>
      </c>
    </row>
    <row r="13" spans="1:13" x14ac:dyDescent="0.2">
      <c r="B13" s="7" t="s">
        <v>34</v>
      </c>
      <c r="C13" s="13" t="s">
        <v>37</v>
      </c>
      <c r="D13" s="13"/>
      <c r="E13" s="13"/>
      <c r="F13" s="14"/>
      <c r="G13" s="15">
        <v>-17762</v>
      </c>
      <c r="I13" s="66" t="s">
        <v>28</v>
      </c>
      <c r="J13" s="67" t="s">
        <v>83</v>
      </c>
      <c r="K13" s="67" t="s">
        <v>29</v>
      </c>
      <c r="L13" s="67" t="s">
        <v>30</v>
      </c>
      <c r="M13" s="67" t="s">
        <v>31</v>
      </c>
    </row>
    <row r="14" spans="1:13" x14ac:dyDescent="0.2">
      <c r="B14" s="9" t="s">
        <v>36</v>
      </c>
      <c r="C14" s="13" t="s">
        <v>39</v>
      </c>
      <c r="D14" s="13"/>
      <c r="E14" s="13"/>
      <c r="F14" s="14"/>
      <c r="G14" s="15">
        <v>14683</v>
      </c>
      <c r="I14" s="68">
        <v>43831</v>
      </c>
      <c r="J14" s="69">
        <v>0</v>
      </c>
      <c r="K14" s="70">
        <v>0</v>
      </c>
      <c r="L14" s="71">
        <f t="shared" ref="L14:L21" si="0">J14-K14</f>
        <v>0</v>
      </c>
      <c r="M14" s="72">
        <f>L14</f>
        <v>0</v>
      </c>
    </row>
    <row r="15" spans="1:13" x14ac:dyDescent="0.2">
      <c r="B15" s="9" t="s">
        <v>38</v>
      </c>
      <c r="C15" s="13" t="s">
        <v>87</v>
      </c>
      <c r="D15" s="13"/>
      <c r="E15" s="13"/>
      <c r="F15" s="16"/>
      <c r="G15" s="17">
        <f>'A - 11-30-19'!G37</f>
        <v>14071.260000000068</v>
      </c>
      <c r="I15" s="73">
        <v>43862</v>
      </c>
      <c r="J15" s="69">
        <v>0</v>
      </c>
      <c r="K15" s="70">
        <v>0</v>
      </c>
      <c r="L15" s="72">
        <f t="shared" si="0"/>
        <v>0</v>
      </c>
      <c r="M15" s="72">
        <f>M14+L15</f>
        <v>0</v>
      </c>
    </row>
    <row r="16" spans="1:13" x14ac:dyDescent="0.2">
      <c r="B16" s="10" t="s">
        <v>40</v>
      </c>
      <c r="C16" s="13" t="s">
        <v>41</v>
      </c>
      <c r="D16" s="13"/>
      <c r="E16" s="13"/>
      <c r="F16" s="16"/>
      <c r="G16" s="18">
        <f>G13+G14+G15</f>
        <v>10992.260000000068</v>
      </c>
      <c r="I16" s="73">
        <v>43891</v>
      </c>
      <c r="J16" s="69">
        <f>8305+47286</f>
        <v>55591</v>
      </c>
      <c r="K16" s="69">
        <f>41387.58+14203</f>
        <v>55590.58</v>
      </c>
      <c r="L16" s="72">
        <f t="shared" si="0"/>
        <v>0.41999999999825377</v>
      </c>
      <c r="M16" s="72">
        <f t="shared" ref="M16:M19" si="1">M15+L16</f>
        <v>0.41999999999825377</v>
      </c>
    </row>
    <row r="17" spans="2:13" x14ac:dyDescent="0.2">
      <c r="B17" s="9">
        <v>2</v>
      </c>
      <c r="C17" s="19">
        <v>43831</v>
      </c>
      <c r="D17" s="17">
        <f>664003-0</f>
        <v>664003</v>
      </c>
      <c r="E17" s="56">
        <v>689061.63</v>
      </c>
      <c r="F17" s="20">
        <f t="shared" ref="F17:F24" si="2">D17-E17</f>
        <v>-25058.630000000005</v>
      </c>
      <c r="G17" s="18">
        <f t="shared" ref="G17:G24" si="3">G16+F17</f>
        <v>-14066.369999999937</v>
      </c>
      <c r="I17" s="73">
        <v>43922</v>
      </c>
      <c r="J17" s="69">
        <f>7840+33752</f>
        <v>41592</v>
      </c>
      <c r="K17" s="69">
        <f>27954.37+13638</f>
        <v>41592.369999999995</v>
      </c>
      <c r="L17" s="72">
        <f t="shared" si="0"/>
        <v>-0.36999999999534339</v>
      </c>
      <c r="M17" s="72">
        <f t="shared" si="1"/>
        <v>5.0000000002910383E-2</v>
      </c>
    </row>
    <row r="18" spans="2:13" x14ac:dyDescent="0.2">
      <c r="B18" s="9">
        <v>3</v>
      </c>
      <c r="C18" s="21">
        <v>43862</v>
      </c>
      <c r="D18" s="53">
        <f>522581-0</f>
        <v>522581</v>
      </c>
      <c r="E18" s="57">
        <v>529617.82999999996</v>
      </c>
      <c r="F18" s="22">
        <f t="shared" si="2"/>
        <v>-7036.8299999999581</v>
      </c>
      <c r="G18" s="23">
        <f t="shared" si="3"/>
        <v>-21103.199999999895</v>
      </c>
      <c r="I18" s="73">
        <v>43952</v>
      </c>
      <c r="J18" s="69">
        <f>9048+46502</f>
        <v>55550</v>
      </c>
      <c r="K18" s="74">
        <f>38168.19+17382</f>
        <v>55550.19</v>
      </c>
      <c r="L18" s="72">
        <f t="shared" si="0"/>
        <v>-0.19000000000232831</v>
      </c>
      <c r="M18" s="72">
        <f t="shared" si="1"/>
        <v>-0.13999999999941792</v>
      </c>
    </row>
    <row r="19" spans="2:13" x14ac:dyDescent="0.2">
      <c r="B19" s="9">
        <v>4</v>
      </c>
      <c r="C19" s="21">
        <v>43891</v>
      </c>
      <c r="D19" s="53">
        <f>370818-0</f>
        <v>370818</v>
      </c>
      <c r="E19" s="57">
        <f>415895.28-14203</f>
        <v>401692.28</v>
      </c>
      <c r="F19" s="22">
        <f t="shared" si="2"/>
        <v>-30874.280000000028</v>
      </c>
      <c r="G19" s="23">
        <f t="shared" si="3"/>
        <v>-51977.479999999923</v>
      </c>
      <c r="I19" s="75">
        <v>43983</v>
      </c>
      <c r="J19" s="74">
        <f>10982+82251</f>
        <v>93233</v>
      </c>
      <c r="K19" s="76">
        <f>61670.99+31562</f>
        <v>93232.989999999991</v>
      </c>
      <c r="L19" s="77">
        <f t="shared" si="0"/>
        <v>1.0000000009313226E-2</v>
      </c>
      <c r="M19" s="77">
        <f t="shared" si="1"/>
        <v>-0.1299999999901047</v>
      </c>
    </row>
    <row r="20" spans="2:13" x14ac:dyDescent="0.2">
      <c r="B20" s="9">
        <v>5</v>
      </c>
      <c r="C20" s="21">
        <v>43922</v>
      </c>
      <c r="D20" s="53">
        <f>357989-0</f>
        <v>357989</v>
      </c>
      <c r="E20" s="57">
        <f>404616.66-13638</f>
        <v>390978.66</v>
      </c>
      <c r="F20" s="22">
        <f t="shared" si="2"/>
        <v>-32989.659999999974</v>
      </c>
      <c r="G20" s="23">
        <f t="shared" si="3"/>
        <v>-84967.139999999898</v>
      </c>
      <c r="I20" s="73">
        <v>44013</v>
      </c>
      <c r="J20" s="78">
        <f>12056+95300</f>
        <v>107356</v>
      </c>
      <c r="K20" s="78">
        <f>68013.15+39343</f>
        <v>107356.15</v>
      </c>
      <c r="L20" s="72">
        <f t="shared" si="0"/>
        <v>-0.14999999999417923</v>
      </c>
      <c r="M20" s="72">
        <f>M19+L20</f>
        <v>-0.27999999998428393</v>
      </c>
    </row>
    <row r="21" spans="2:13" x14ac:dyDescent="0.2">
      <c r="B21" s="9">
        <v>6</v>
      </c>
      <c r="C21" s="21">
        <v>43952</v>
      </c>
      <c r="D21" s="53">
        <f>421348-0</f>
        <v>421348</v>
      </c>
      <c r="E21" s="57">
        <f>496917.42-17382</f>
        <v>479535.42</v>
      </c>
      <c r="F21" s="22">
        <f t="shared" si="2"/>
        <v>-58187.419999999984</v>
      </c>
      <c r="G21" s="23">
        <f t="shared" si="3"/>
        <v>-143154.55999999988</v>
      </c>
      <c r="I21" s="75">
        <v>44044</v>
      </c>
      <c r="J21" s="76">
        <f>12091+96229</f>
        <v>108320</v>
      </c>
      <c r="K21" s="76">
        <f>67091.76+41228</f>
        <v>108319.76</v>
      </c>
      <c r="L21" s="77">
        <f t="shared" si="0"/>
        <v>0.24000000000523869</v>
      </c>
      <c r="M21" s="77">
        <f>M20+L21</f>
        <v>-3.9999999979045242E-2</v>
      </c>
    </row>
    <row r="22" spans="2:13" x14ac:dyDescent="0.2">
      <c r="B22" s="9">
        <v>7</v>
      </c>
      <c r="C22" s="21">
        <v>43983</v>
      </c>
      <c r="D22" s="53">
        <f>600622-78</f>
        <v>600544</v>
      </c>
      <c r="E22" s="57">
        <f>593247.81-31562</f>
        <v>561685.81000000006</v>
      </c>
      <c r="F22" s="24">
        <f t="shared" si="2"/>
        <v>38858.189999999944</v>
      </c>
      <c r="G22" s="25">
        <f t="shared" si="3"/>
        <v>-104296.36999999994</v>
      </c>
      <c r="I22" s="79"/>
      <c r="J22" s="79"/>
      <c r="K22" s="79"/>
      <c r="L22" s="79"/>
      <c r="M22" s="79"/>
    </row>
    <row r="23" spans="2:13" x14ac:dyDescent="0.2">
      <c r="B23" s="26" t="s">
        <v>42</v>
      </c>
      <c r="C23" s="19">
        <v>44013</v>
      </c>
      <c r="D23" s="17">
        <f>765501-88</f>
        <v>765413</v>
      </c>
      <c r="E23" s="56">
        <f>683102.71-39343</f>
        <v>643759.71</v>
      </c>
      <c r="F23" s="20">
        <f t="shared" si="2"/>
        <v>121653.29000000004</v>
      </c>
      <c r="G23" s="18">
        <f t="shared" si="3"/>
        <v>17356.9200000001</v>
      </c>
      <c r="I23" s="80" t="s">
        <v>84</v>
      </c>
      <c r="J23" s="81"/>
      <c r="K23" s="81"/>
      <c r="L23" s="82"/>
      <c r="M23" s="83">
        <f>M19</f>
        <v>-0.1299999999901047</v>
      </c>
    </row>
    <row r="24" spans="2:13" x14ac:dyDescent="0.2">
      <c r="B24" s="27" t="s">
        <v>43</v>
      </c>
      <c r="C24" s="28">
        <v>44044</v>
      </c>
      <c r="D24" s="54">
        <f>672496-0</f>
        <v>672496</v>
      </c>
      <c r="E24" s="58">
        <f>611911.53-41228</f>
        <v>570683.53</v>
      </c>
      <c r="F24" s="24">
        <f t="shared" si="2"/>
        <v>101812.46999999997</v>
      </c>
      <c r="G24" s="25">
        <f t="shared" si="3"/>
        <v>119169.39000000007</v>
      </c>
      <c r="I24" s="79"/>
      <c r="J24" s="79"/>
      <c r="K24" s="79"/>
      <c r="L24" s="79"/>
      <c r="M24" s="84"/>
    </row>
    <row r="25" spans="2:13" x14ac:dyDescent="0.2">
      <c r="B25" s="10"/>
      <c r="C25" s="29" t="s">
        <v>81</v>
      </c>
      <c r="D25" s="30"/>
      <c r="E25" s="30"/>
      <c r="F25" s="30"/>
      <c r="G25" s="31"/>
      <c r="I25" s="80" t="s">
        <v>85</v>
      </c>
      <c r="J25" s="81"/>
      <c r="K25" s="81"/>
      <c r="L25" s="82"/>
      <c r="M25" s="83">
        <f>M23/6</f>
        <v>-2.1666666665017448E-2</v>
      </c>
    </row>
    <row r="26" spans="2:13" x14ac:dyDescent="0.2">
      <c r="B26" s="7"/>
      <c r="C26" s="6"/>
      <c r="D26" s="6"/>
      <c r="E26" s="6"/>
      <c r="F26" s="6"/>
      <c r="G26" s="18"/>
    </row>
    <row r="27" spans="2:13" x14ac:dyDescent="0.2">
      <c r="B27" s="9"/>
      <c r="C27" s="8"/>
      <c r="D27" s="9" t="s">
        <v>45</v>
      </c>
      <c r="E27" s="9" t="s">
        <v>46</v>
      </c>
      <c r="F27" s="8"/>
      <c r="G27" s="23"/>
    </row>
    <row r="28" spans="2:13" x14ac:dyDescent="0.2">
      <c r="B28" s="9">
        <v>8</v>
      </c>
      <c r="C28" s="8"/>
      <c r="D28" s="9" t="s">
        <v>47</v>
      </c>
      <c r="E28" s="9" t="s">
        <v>48</v>
      </c>
      <c r="F28" s="8"/>
      <c r="G28" s="32" t="s">
        <v>45</v>
      </c>
    </row>
    <row r="29" spans="2:13" x14ac:dyDescent="0.2">
      <c r="B29" s="9"/>
      <c r="C29" s="8"/>
      <c r="D29" s="9" t="s">
        <v>49</v>
      </c>
      <c r="E29" s="9" t="s">
        <v>50</v>
      </c>
      <c r="F29" s="8"/>
      <c r="G29" s="32" t="s">
        <v>51</v>
      </c>
    </row>
    <row r="30" spans="2:13" x14ac:dyDescent="0.2">
      <c r="B30" s="9"/>
      <c r="C30" s="8"/>
      <c r="D30" s="9" t="s">
        <v>52</v>
      </c>
      <c r="E30" s="9" t="s">
        <v>53</v>
      </c>
      <c r="F30" s="8"/>
      <c r="G30" s="32" t="s">
        <v>54</v>
      </c>
    </row>
    <row r="31" spans="2:13" x14ac:dyDescent="0.2">
      <c r="B31" s="10"/>
      <c r="C31" s="8"/>
      <c r="D31" s="9" t="s">
        <v>55</v>
      </c>
      <c r="E31" s="9" t="s">
        <v>56</v>
      </c>
      <c r="F31" s="8"/>
      <c r="G31" s="32" t="s">
        <v>57</v>
      </c>
    </row>
    <row r="32" spans="2:13" x14ac:dyDescent="0.2">
      <c r="B32" s="26" t="s">
        <v>58</v>
      </c>
      <c r="C32" s="6" t="s">
        <v>61</v>
      </c>
      <c r="D32" s="18">
        <f>-G13</f>
        <v>17762</v>
      </c>
      <c r="E32" s="18">
        <f>D64</f>
        <v>-17762</v>
      </c>
      <c r="F32" s="6"/>
      <c r="G32" s="18">
        <f>D32+E32</f>
        <v>0</v>
      </c>
    </row>
    <row r="33" spans="2:7" x14ac:dyDescent="0.2">
      <c r="B33" s="33" t="s">
        <v>60</v>
      </c>
      <c r="C33" s="8" t="s">
        <v>63</v>
      </c>
      <c r="D33" s="23">
        <f>-G14</f>
        <v>-14683</v>
      </c>
      <c r="E33" s="23">
        <f>E64</f>
        <v>4894</v>
      </c>
      <c r="F33" s="8"/>
      <c r="G33" s="23">
        <f>D33+E33</f>
        <v>-9789</v>
      </c>
    </row>
    <row r="34" spans="2:7" x14ac:dyDescent="0.2">
      <c r="B34" s="33" t="s">
        <v>62</v>
      </c>
      <c r="C34" s="8" t="s">
        <v>88</v>
      </c>
      <c r="D34" s="23">
        <f>-G15</f>
        <v>-14071.260000000068</v>
      </c>
      <c r="E34" s="23">
        <f>F64</f>
        <v>0</v>
      </c>
      <c r="F34" s="34"/>
      <c r="G34" s="23">
        <f>D34+E34</f>
        <v>-14071.260000000068</v>
      </c>
    </row>
    <row r="35" spans="2:7" x14ac:dyDescent="0.2">
      <c r="B35" s="10" t="s">
        <v>64</v>
      </c>
      <c r="C35" s="35"/>
      <c r="D35" s="36"/>
      <c r="E35" s="36"/>
      <c r="F35" s="37" t="s">
        <v>65</v>
      </c>
      <c r="G35" s="38">
        <f>G32+G33+G34</f>
        <v>-23860.260000000068</v>
      </c>
    </row>
    <row r="36" spans="2:7" x14ac:dyDescent="0.2">
      <c r="B36" s="39"/>
      <c r="G36" s="40"/>
    </row>
    <row r="37" spans="2:7" x14ac:dyDescent="0.2">
      <c r="B37" s="11">
        <v>9</v>
      </c>
      <c r="C37" s="41" t="s">
        <v>66</v>
      </c>
      <c r="D37" s="13"/>
      <c r="E37" s="13"/>
      <c r="F37" s="14"/>
      <c r="G37" s="38">
        <f>G22+G35</f>
        <v>-128156.63</v>
      </c>
    </row>
    <row r="38" spans="2:7" x14ac:dyDescent="0.2">
      <c r="B38" s="39"/>
      <c r="G38" s="40"/>
    </row>
    <row r="39" spans="2:7" x14ac:dyDescent="0.2">
      <c r="B39" s="11">
        <v>10</v>
      </c>
      <c r="C39" s="41" t="s">
        <v>80</v>
      </c>
      <c r="D39" s="13"/>
      <c r="E39" s="13"/>
      <c r="F39" s="14"/>
      <c r="G39" s="38">
        <f>G37/6</f>
        <v>-21359.438333333335</v>
      </c>
    </row>
    <row r="41" spans="2:7" x14ac:dyDescent="0.2">
      <c r="B41" s="6"/>
      <c r="C41" s="42" t="s">
        <v>67</v>
      </c>
      <c r="D41" s="43"/>
      <c r="E41" s="43"/>
      <c r="F41" s="43"/>
      <c r="G41" s="44"/>
    </row>
    <row r="42" spans="2:7" x14ac:dyDescent="0.2">
      <c r="B42" s="6"/>
      <c r="C42" s="45"/>
      <c r="D42" s="45"/>
      <c r="E42" s="45"/>
      <c r="F42" s="45"/>
      <c r="G42" s="16"/>
    </row>
    <row r="43" spans="2:7" x14ac:dyDescent="0.2">
      <c r="B43" s="9">
        <v>11</v>
      </c>
      <c r="C43" s="46" t="s">
        <v>68</v>
      </c>
      <c r="D43" s="46"/>
      <c r="E43" s="46"/>
      <c r="F43" s="46"/>
      <c r="G43" s="47">
        <f>G16</f>
        <v>10992.260000000068</v>
      </c>
    </row>
    <row r="44" spans="2:7" x14ac:dyDescent="0.2">
      <c r="B44" s="9">
        <v>12</v>
      </c>
      <c r="C44" s="46" t="s">
        <v>69</v>
      </c>
      <c r="D44" s="46"/>
      <c r="E44" s="46"/>
      <c r="F44" s="46"/>
      <c r="G44" s="48">
        <f>G35</f>
        <v>-23860.260000000068</v>
      </c>
    </row>
    <row r="45" spans="2:7" x14ac:dyDescent="0.2">
      <c r="B45" s="9"/>
      <c r="C45" s="46"/>
      <c r="D45" s="46"/>
      <c r="E45" s="46"/>
      <c r="F45" s="46"/>
      <c r="G45" s="47"/>
    </row>
    <row r="46" spans="2:7" ht="15" thickBot="1" x14ac:dyDescent="0.25">
      <c r="B46" s="9">
        <v>13</v>
      </c>
      <c r="C46" s="46" t="s">
        <v>70</v>
      </c>
      <c r="D46" s="46"/>
      <c r="E46" s="46"/>
      <c r="F46" s="46"/>
      <c r="G46" s="49">
        <f>G43+G44</f>
        <v>-12868</v>
      </c>
    </row>
    <row r="47" spans="2:7" ht="15" thickTop="1" x14ac:dyDescent="0.2">
      <c r="B47" s="9"/>
      <c r="C47" s="46"/>
      <c r="D47" s="46"/>
      <c r="E47" s="46"/>
      <c r="F47" s="46"/>
      <c r="G47" s="47"/>
    </row>
    <row r="48" spans="2:7" x14ac:dyDescent="0.2">
      <c r="B48" s="9">
        <v>14</v>
      </c>
      <c r="C48" s="46" t="s">
        <v>71</v>
      </c>
      <c r="D48" s="46"/>
      <c r="E48" s="46"/>
      <c r="F48" s="46"/>
      <c r="G48" s="47">
        <f>G37</f>
        <v>-128156.63</v>
      </c>
    </row>
    <row r="49" spans="2:7" x14ac:dyDescent="0.2">
      <c r="B49" s="9"/>
      <c r="C49" s="46"/>
      <c r="D49" s="46"/>
      <c r="E49" s="46"/>
      <c r="F49" s="46"/>
      <c r="G49" s="47"/>
    </row>
    <row r="50" spans="2:7" x14ac:dyDescent="0.2">
      <c r="B50" s="9">
        <v>15</v>
      </c>
      <c r="C50" s="46" t="s">
        <v>72</v>
      </c>
      <c r="D50" s="46"/>
      <c r="E50" s="46"/>
      <c r="F50" s="46"/>
      <c r="G50" s="48">
        <f>SUM(F17:F22)</f>
        <v>-115288.63</v>
      </c>
    </row>
    <row r="51" spans="2:7" x14ac:dyDescent="0.2">
      <c r="B51" s="9"/>
      <c r="C51" s="46"/>
      <c r="D51" s="46"/>
      <c r="E51" s="46"/>
      <c r="F51" s="46"/>
      <c r="G51" s="47"/>
    </row>
    <row r="52" spans="2:7" ht="15" thickBot="1" x14ac:dyDescent="0.25">
      <c r="B52" s="9">
        <v>16</v>
      </c>
      <c r="C52" s="46" t="s">
        <v>73</v>
      </c>
      <c r="D52" s="46"/>
      <c r="E52" s="46"/>
      <c r="F52" s="46"/>
      <c r="G52" s="49">
        <f>G48-G50</f>
        <v>-12868</v>
      </c>
    </row>
    <row r="53" spans="2:7" ht="15" thickTop="1" x14ac:dyDescent="0.2">
      <c r="B53" s="50"/>
      <c r="C53" s="51"/>
      <c r="D53" s="51"/>
      <c r="E53" s="51"/>
      <c r="F53" s="51"/>
      <c r="G53" s="52"/>
    </row>
    <row r="55" spans="2:7" x14ac:dyDescent="0.2">
      <c r="B55" t="s">
        <v>74</v>
      </c>
    </row>
    <row r="56" spans="2:7" x14ac:dyDescent="0.2">
      <c r="B56" s="39"/>
      <c r="C56" s="6"/>
      <c r="D56" s="7" t="s">
        <v>75</v>
      </c>
      <c r="E56" s="7" t="s">
        <v>75</v>
      </c>
      <c r="F56" s="7" t="s">
        <v>89</v>
      </c>
    </row>
    <row r="57" spans="2:7" x14ac:dyDescent="0.2">
      <c r="B57" s="39"/>
      <c r="C57" s="10" t="s">
        <v>28</v>
      </c>
      <c r="D57" s="10" t="s">
        <v>77</v>
      </c>
      <c r="E57" s="10" t="s">
        <v>78</v>
      </c>
      <c r="F57" s="10" t="s">
        <v>90</v>
      </c>
    </row>
    <row r="58" spans="2:7" x14ac:dyDescent="0.2">
      <c r="C58" s="19">
        <v>43831</v>
      </c>
      <c r="D58" s="17">
        <v>-8880</v>
      </c>
      <c r="E58" s="17">
        <v>0</v>
      </c>
      <c r="F58" s="17">
        <v>0</v>
      </c>
    </row>
    <row r="59" spans="2:7" x14ac:dyDescent="0.2">
      <c r="C59" s="21">
        <v>43862</v>
      </c>
      <c r="D59" s="53">
        <v>-8882</v>
      </c>
      <c r="E59" s="53">
        <v>0</v>
      </c>
      <c r="F59" s="53">
        <v>0</v>
      </c>
    </row>
    <row r="60" spans="2:7" x14ac:dyDescent="0.2">
      <c r="C60" s="21">
        <v>43891</v>
      </c>
      <c r="D60" s="53">
        <v>0</v>
      </c>
      <c r="E60" s="53">
        <v>0</v>
      </c>
      <c r="F60" s="53">
        <v>0</v>
      </c>
    </row>
    <row r="61" spans="2:7" x14ac:dyDescent="0.2">
      <c r="C61" s="21">
        <v>43922</v>
      </c>
      <c r="D61" s="53">
        <v>0</v>
      </c>
      <c r="E61" s="53">
        <v>0</v>
      </c>
      <c r="F61" s="53">
        <v>0</v>
      </c>
    </row>
    <row r="62" spans="2:7" x14ac:dyDescent="0.2">
      <c r="C62" s="21">
        <v>43952</v>
      </c>
      <c r="D62" s="53">
        <v>0</v>
      </c>
      <c r="E62" s="53">
        <v>2447</v>
      </c>
      <c r="F62" s="53">
        <v>0</v>
      </c>
    </row>
    <row r="63" spans="2:7" x14ac:dyDescent="0.2">
      <c r="C63" s="28">
        <v>43983</v>
      </c>
      <c r="D63" s="54">
        <v>0</v>
      </c>
      <c r="E63" s="54">
        <v>2447</v>
      </c>
      <c r="F63" s="54">
        <v>0</v>
      </c>
    </row>
    <row r="64" spans="2:7" x14ac:dyDescent="0.2">
      <c r="C64" s="55" t="s">
        <v>79</v>
      </c>
      <c r="D64" s="38">
        <f>SUM(D58:D63)</f>
        <v>-17762</v>
      </c>
      <c r="E64" s="38">
        <f>SUM(E58:E63)</f>
        <v>4894</v>
      </c>
      <c r="F64" s="38">
        <f>SUM(F58:F63)</f>
        <v>0</v>
      </c>
    </row>
  </sheetData>
  <mergeCells count="3">
    <mergeCell ref="B4:G5"/>
    <mergeCell ref="C12:G12"/>
    <mergeCell ref="I4:M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>
      <selection activeCell="G15" sqref="G15"/>
    </sheetView>
  </sheetViews>
  <sheetFormatPr defaultColWidth="12.625" defaultRowHeight="14.25" x14ac:dyDescent="0.2"/>
  <cols>
    <col min="2" max="2" width="8.75" customWidth="1"/>
    <col min="3" max="3" width="30.625" customWidth="1"/>
    <col min="4" max="5" width="17.625" customWidth="1"/>
    <col min="6" max="6" width="21.125" customWidth="1"/>
    <col min="7" max="7" width="17.625" customWidth="1"/>
    <col min="9" max="13" width="17.625" customWidth="1"/>
  </cols>
  <sheetData>
    <row r="1" spans="1:13" x14ac:dyDescent="0.2">
      <c r="A1" t="str">
        <f>Summary!A1</f>
        <v>DR1 Response 2 - Nolin Surcharge Summary.xlsx</v>
      </c>
    </row>
    <row r="4" spans="1:13" x14ac:dyDescent="0.2">
      <c r="B4" s="87" t="s">
        <v>17</v>
      </c>
      <c r="C4" s="88"/>
      <c r="D4" s="88"/>
      <c r="E4" s="88"/>
      <c r="F4" s="88"/>
      <c r="G4" s="89"/>
      <c r="I4" s="96" t="s">
        <v>82</v>
      </c>
      <c r="J4" s="97"/>
      <c r="K4" s="97"/>
      <c r="L4" s="97"/>
      <c r="M4" s="98"/>
    </row>
    <row r="5" spans="1:13" x14ac:dyDescent="0.2">
      <c r="B5" s="90"/>
      <c r="C5" s="91"/>
      <c r="D5" s="91"/>
      <c r="E5" s="91"/>
      <c r="F5" s="91"/>
      <c r="G5" s="92"/>
      <c r="I5" s="99"/>
      <c r="J5" s="100"/>
      <c r="K5" s="100"/>
      <c r="L5" s="100"/>
      <c r="M5" s="101"/>
    </row>
    <row r="6" spans="1:13" ht="15" x14ac:dyDescent="0.2">
      <c r="I6" s="59"/>
      <c r="J6" s="59"/>
      <c r="K6" s="59"/>
      <c r="L6" s="59"/>
      <c r="M6" s="59"/>
    </row>
    <row r="7" spans="1:13" ht="15.75" x14ac:dyDescent="0.25">
      <c r="B7" s="6"/>
      <c r="C7" s="6"/>
      <c r="D7" s="6"/>
      <c r="E7" s="7" t="s">
        <v>18</v>
      </c>
      <c r="F7" s="6"/>
      <c r="G7" s="6"/>
      <c r="I7" s="60" t="s">
        <v>86</v>
      </c>
      <c r="J7" s="59"/>
      <c r="K7" s="59"/>
      <c r="L7" s="59"/>
      <c r="M7" s="59"/>
    </row>
    <row r="8" spans="1:13" ht="15" x14ac:dyDescent="0.2">
      <c r="B8" s="8"/>
      <c r="C8" s="8"/>
      <c r="D8" s="9" t="s">
        <v>19</v>
      </c>
      <c r="E8" s="9" t="s">
        <v>20</v>
      </c>
      <c r="F8" s="8"/>
      <c r="G8" s="8"/>
      <c r="I8" s="59"/>
      <c r="J8" s="59"/>
      <c r="K8" s="59"/>
      <c r="L8" s="59"/>
      <c r="M8" s="59"/>
    </row>
    <row r="9" spans="1:13" x14ac:dyDescent="0.2">
      <c r="B9" s="8"/>
      <c r="C9" s="8"/>
      <c r="D9" s="9" t="s">
        <v>21</v>
      </c>
      <c r="E9" s="9" t="s">
        <v>22</v>
      </c>
      <c r="F9" s="9" t="s">
        <v>23</v>
      </c>
      <c r="G9" s="9" t="s">
        <v>24</v>
      </c>
      <c r="I9" s="61"/>
      <c r="J9" s="61"/>
      <c r="K9" s="62" t="s">
        <v>18</v>
      </c>
      <c r="L9" s="61"/>
      <c r="M9" s="61"/>
    </row>
    <row r="10" spans="1:13" x14ac:dyDescent="0.2">
      <c r="B10" s="10"/>
      <c r="C10" s="10"/>
      <c r="D10" s="10" t="s">
        <v>25</v>
      </c>
      <c r="E10" s="10" t="s">
        <v>25</v>
      </c>
      <c r="F10" s="10" t="s">
        <v>26</v>
      </c>
      <c r="G10" s="10" t="s">
        <v>26</v>
      </c>
      <c r="I10" s="63"/>
      <c r="J10" s="64" t="s">
        <v>19</v>
      </c>
      <c r="K10" s="64" t="s">
        <v>20</v>
      </c>
      <c r="L10" s="63"/>
      <c r="M10" s="63"/>
    </row>
    <row r="11" spans="1:13" x14ac:dyDescent="0.2">
      <c r="B11" s="11" t="s">
        <v>27</v>
      </c>
      <c r="C11" s="11" t="s">
        <v>28</v>
      </c>
      <c r="D11" s="12" t="s">
        <v>29</v>
      </c>
      <c r="E11" s="12" t="s">
        <v>30</v>
      </c>
      <c r="F11" s="12" t="s">
        <v>31</v>
      </c>
      <c r="G11" s="12" t="s">
        <v>32</v>
      </c>
      <c r="I11" s="63"/>
      <c r="J11" s="64" t="s">
        <v>21</v>
      </c>
      <c r="K11" s="64" t="s">
        <v>22</v>
      </c>
      <c r="L11" s="64" t="s">
        <v>23</v>
      </c>
      <c r="M11" s="64" t="s">
        <v>24</v>
      </c>
    </row>
    <row r="12" spans="1:13" x14ac:dyDescent="0.2">
      <c r="B12" s="7">
        <v>1</v>
      </c>
      <c r="C12" s="93" t="s">
        <v>33</v>
      </c>
      <c r="D12" s="94"/>
      <c r="E12" s="94"/>
      <c r="F12" s="94"/>
      <c r="G12" s="95"/>
      <c r="I12" s="65"/>
      <c r="J12" s="65" t="s">
        <v>25</v>
      </c>
      <c r="K12" s="65" t="s">
        <v>25</v>
      </c>
      <c r="L12" s="65" t="s">
        <v>26</v>
      </c>
      <c r="M12" s="65" t="s">
        <v>26</v>
      </c>
    </row>
    <row r="13" spans="1:13" x14ac:dyDescent="0.2">
      <c r="B13" s="7" t="s">
        <v>34</v>
      </c>
      <c r="C13" s="13" t="s">
        <v>39</v>
      </c>
      <c r="D13" s="13"/>
      <c r="E13" s="13"/>
      <c r="F13" s="14"/>
      <c r="G13" s="15">
        <v>9789</v>
      </c>
      <c r="I13" s="66" t="s">
        <v>28</v>
      </c>
      <c r="J13" s="67" t="s">
        <v>83</v>
      </c>
      <c r="K13" s="67" t="s">
        <v>29</v>
      </c>
      <c r="L13" s="67" t="s">
        <v>30</v>
      </c>
      <c r="M13" s="67" t="s">
        <v>31</v>
      </c>
    </row>
    <row r="14" spans="1:13" x14ac:dyDescent="0.2">
      <c r="B14" s="9" t="s">
        <v>36</v>
      </c>
      <c r="C14" s="13" t="s">
        <v>87</v>
      </c>
      <c r="D14" s="13"/>
      <c r="E14" s="13"/>
      <c r="F14" s="14"/>
      <c r="G14" s="15">
        <f>'A - 11-30-19'!G37</f>
        <v>14071.260000000068</v>
      </c>
      <c r="I14" s="68">
        <v>44013</v>
      </c>
      <c r="J14" s="69">
        <f>12056+95300</f>
        <v>107356</v>
      </c>
      <c r="K14" s="70">
        <f>68013.15+39343</f>
        <v>107356.15</v>
      </c>
      <c r="L14" s="71">
        <f>J14-K14</f>
        <v>-0.14999999999417923</v>
      </c>
      <c r="M14" s="72">
        <f>L14</f>
        <v>-0.14999999999417923</v>
      </c>
    </row>
    <row r="15" spans="1:13" x14ac:dyDescent="0.2">
      <c r="B15" s="9" t="s">
        <v>38</v>
      </c>
      <c r="C15" s="13" t="s">
        <v>92</v>
      </c>
      <c r="D15" s="13"/>
      <c r="E15" s="13"/>
      <c r="F15" s="16"/>
      <c r="G15" s="17">
        <f>'B - 05-31-20'!G37</f>
        <v>-128156.63</v>
      </c>
      <c r="I15" s="73">
        <v>44044</v>
      </c>
      <c r="J15" s="69">
        <f>12091+96229</f>
        <v>108320</v>
      </c>
      <c r="K15" s="70">
        <f>67091.76+41228</f>
        <v>108319.76</v>
      </c>
      <c r="L15" s="72">
        <f>J15-K15</f>
        <v>0.24000000000523869</v>
      </c>
      <c r="M15" s="72">
        <f>M14+L15</f>
        <v>9.0000000011059456E-2</v>
      </c>
    </row>
    <row r="16" spans="1:13" x14ac:dyDescent="0.2">
      <c r="B16" s="10" t="s">
        <v>40</v>
      </c>
      <c r="C16" s="13" t="s">
        <v>41</v>
      </c>
      <c r="D16" s="13"/>
      <c r="E16" s="13"/>
      <c r="F16" s="16"/>
      <c r="G16" s="18">
        <f>G13+G14+G15</f>
        <v>-104296.36999999994</v>
      </c>
      <c r="I16" s="73">
        <v>44075</v>
      </c>
      <c r="J16" s="69">
        <f>8380+65885</f>
        <v>74265</v>
      </c>
      <c r="K16" s="69">
        <v>74265</v>
      </c>
      <c r="L16" s="72">
        <f t="shared" ref="L16:L19" si="0">J16-K16</f>
        <v>0</v>
      </c>
      <c r="M16" s="72">
        <f t="shared" ref="M16:M19" si="1">M15+L16</f>
        <v>9.0000000011059456E-2</v>
      </c>
    </row>
    <row r="17" spans="2:13" x14ac:dyDescent="0.2">
      <c r="B17" s="9">
        <v>2</v>
      </c>
      <c r="C17" s="19">
        <v>44013</v>
      </c>
      <c r="D17" s="17">
        <f>765501-88</f>
        <v>765413</v>
      </c>
      <c r="E17" s="56">
        <f>683102.71-39343</f>
        <v>643759.71</v>
      </c>
      <c r="F17" s="20">
        <f t="shared" ref="F17:F24" si="2">D17-E17</f>
        <v>121653.29000000004</v>
      </c>
      <c r="G17" s="18">
        <f t="shared" ref="G17:G24" si="3">G16+F17</f>
        <v>17356.9200000001</v>
      </c>
      <c r="I17" s="73">
        <v>44105</v>
      </c>
      <c r="J17" s="69">
        <f>9082+68942</f>
        <v>78024</v>
      </c>
      <c r="K17" s="69">
        <v>78024</v>
      </c>
      <c r="L17" s="72">
        <f t="shared" si="0"/>
        <v>0</v>
      </c>
      <c r="M17" s="72">
        <f t="shared" si="1"/>
        <v>9.0000000011059456E-2</v>
      </c>
    </row>
    <row r="18" spans="2:13" x14ac:dyDescent="0.2">
      <c r="B18" s="9">
        <v>3</v>
      </c>
      <c r="C18" s="21">
        <v>44044</v>
      </c>
      <c r="D18" s="53">
        <f>672496-0</f>
        <v>672496</v>
      </c>
      <c r="E18" s="57">
        <f>611911.53-41228</f>
        <v>570683.53</v>
      </c>
      <c r="F18" s="22">
        <f t="shared" si="2"/>
        <v>101812.46999999997</v>
      </c>
      <c r="G18" s="23">
        <f t="shared" si="3"/>
        <v>119169.39000000007</v>
      </c>
      <c r="I18" s="73">
        <v>44136</v>
      </c>
      <c r="J18" s="69">
        <f>10987+83269</f>
        <v>94256</v>
      </c>
      <c r="K18" s="74">
        <v>94256</v>
      </c>
      <c r="L18" s="72">
        <f t="shared" si="0"/>
        <v>0</v>
      </c>
      <c r="M18" s="72">
        <f t="shared" si="1"/>
        <v>9.0000000011059456E-2</v>
      </c>
    </row>
    <row r="19" spans="2:13" x14ac:dyDescent="0.2">
      <c r="B19" s="9">
        <v>4</v>
      </c>
      <c r="C19" s="21">
        <v>44075</v>
      </c>
      <c r="D19" s="53">
        <f>404017-74</f>
        <v>403943</v>
      </c>
      <c r="E19" s="57">
        <f>338768.94</f>
        <v>338768.94</v>
      </c>
      <c r="F19" s="22">
        <f t="shared" si="2"/>
        <v>65174.06</v>
      </c>
      <c r="G19" s="23">
        <f t="shared" si="3"/>
        <v>184343.45000000007</v>
      </c>
      <c r="I19" s="75">
        <v>44166</v>
      </c>
      <c r="J19" s="74">
        <f>12489+91495</f>
        <v>103984</v>
      </c>
      <c r="K19" s="76">
        <v>103984</v>
      </c>
      <c r="L19" s="77">
        <f t="shared" si="0"/>
        <v>0</v>
      </c>
      <c r="M19" s="77">
        <f t="shared" si="1"/>
        <v>9.0000000011059456E-2</v>
      </c>
    </row>
    <row r="20" spans="2:13" x14ac:dyDescent="0.2">
      <c r="B20" s="9">
        <v>5</v>
      </c>
      <c r="C20" s="21">
        <v>44105</v>
      </c>
      <c r="D20" s="53">
        <f>361397-88</f>
        <v>361309</v>
      </c>
      <c r="E20" s="57">
        <v>376180.01</v>
      </c>
      <c r="F20" s="22">
        <f t="shared" si="2"/>
        <v>-14871.010000000009</v>
      </c>
      <c r="G20" s="23">
        <f t="shared" si="3"/>
        <v>169472.44000000006</v>
      </c>
      <c r="I20" s="73">
        <v>44197</v>
      </c>
      <c r="J20" s="78">
        <f>11380+86788</f>
        <v>98168</v>
      </c>
      <c r="K20" s="78">
        <v>98168</v>
      </c>
      <c r="L20" s="72">
        <f>J20-K20</f>
        <v>0</v>
      </c>
      <c r="M20" s="72">
        <f>M19+L20</f>
        <v>9.0000000011059456E-2</v>
      </c>
    </row>
    <row r="21" spans="2:13" x14ac:dyDescent="0.2">
      <c r="B21" s="9">
        <v>6</v>
      </c>
      <c r="C21" s="21">
        <v>44136</v>
      </c>
      <c r="D21" s="53">
        <f>533633-109</f>
        <v>533524</v>
      </c>
      <c r="E21" s="57">
        <v>560001.69999999995</v>
      </c>
      <c r="F21" s="22">
        <f t="shared" si="2"/>
        <v>-26477.699999999953</v>
      </c>
      <c r="G21" s="23">
        <f t="shared" si="3"/>
        <v>142994.74000000011</v>
      </c>
      <c r="I21" s="75">
        <v>44228</v>
      </c>
      <c r="J21" s="76">
        <f>7047+47141</f>
        <v>54188</v>
      </c>
      <c r="K21" s="85">
        <v>54188</v>
      </c>
      <c r="L21" s="77">
        <f>J21-K21</f>
        <v>0</v>
      </c>
      <c r="M21" s="77">
        <f>M20+L21</f>
        <v>9.0000000011059456E-2</v>
      </c>
    </row>
    <row r="22" spans="2:13" x14ac:dyDescent="0.2">
      <c r="B22" s="9">
        <v>7</v>
      </c>
      <c r="C22" s="21">
        <v>44166</v>
      </c>
      <c r="D22" s="53">
        <f>853553-132</f>
        <v>853421</v>
      </c>
      <c r="E22" s="57">
        <v>675587.4</v>
      </c>
      <c r="F22" s="24">
        <f t="shared" si="2"/>
        <v>177833.59999999998</v>
      </c>
      <c r="G22" s="25">
        <f t="shared" si="3"/>
        <v>320828.34000000008</v>
      </c>
      <c r="I22" s="79"/>
      <c r="J22" s="79"/>
      <c r="K22" s="79"/>
      <c r="L22" s="79"/>
      <c r="M22" s="79"/>
    </row>
    <row r="23" spans="2:13" x14ac:dyDescent="0.2">
      <c r="B23" s="26" t="s">
        <v>42</v>
      </c>
      <c r="C23" s="19">
        <v>44197</v>
      </c>
      <c r="D23" s="17">
        <f>799584-125</f>
        <v>799459</v>
      </c>
      <c r="E23" s="56">
        <v>676480.99</v>
      </c>
      <c r="F23" s="20">
        <f t="shared" si="2"/>
        <v>122978.01000000001</v>
      </c>
      <c r="G23" s="18">
        <f t="shared" si="3"/>
        <v>443806.35000000009</v>
      </c>
      <c r="I23" s="80" t="s">
        <v>84</v>
      </c>
      <c r="J23" s="81"/>
      <c r="K23" s="81"/>
      <c r="L23" s="82"/>
      <c r="M23" s="83">
        <f>M19</f>
        <v>9.0000000011059456E-2</v>
      </c>
    </row>
    <row r="24" spans="2:13" x14ac:dyDescent="0.2">
      <c r="B24" s="27" t="s">
        <v>43</v>
      </c>
      <c r="C24" s="28">
        <v>44228</v>
      </c>
      <c r="D24" s="54">
        <f>554594-86</f>
        <v>554508</v>
      </c>
      <c r="E24" s="58">
        <v>463432.97</v>
      </c>
      <c r="F24" s="24">
        <f t="shared" si="2"/>
        <v>91075.030000000028</v>
      </c>
      <c r="G24" s="25">
        <f t="shared" si="3"/>
        <v>534881.38000000012</v>
      </c>
      <c r="I24" s="79"/>
      <c r="J24" s="79"/>
      <c r="K24" s="79"/>
      <c r="L24" s="79"/>
      <c r="M24" s="84"/>
    </row>
    <row r="25" spans="2:13" x14ac:dyDescent="0.2">
      <c r="B25" s="10"/>
      <c r="C25" s="29" t="s">
        <v>91</v>
      </c>
      <c r="D25" s="30"/>
      <c r="E25" s="30"/>
      <c r="F25" s="30"/>
      <c r="G25" s="31"/>
      <c r="I25" s="80" t="s">
        <v>85</v>
      </c>
      <c r="J25" s="81"/>
      <c r="K25" s="81"/>
      <c r="L25" s="82"/>
      <c r="M25" s="83">
        <f>M23/6</f>
        <v>1.5000000001843242E-2</v>
      </c>
    </row>
    <row r="26" spans="2:13" x14ac:dyDescent="0.2">
      <c r="B26" s="7"/>
      <c r="C26" s="6"/>
      <c r="D26" s="6"/>
      <c r="E26" s="6"/>
      <c r="F26" s="6"/>
      <c r="G26" s="18"/>
    </row>
    <row r="27" spans="2:13" x14ac:dyDescent="0.2">
      <c r="B27" s="9"/>
      <c r="C27" s="8"/>
      <c r="D27" s="9" t="s">
        <v>45</v>
      </c>
      <c r="E27" s="9" t="s">
        <v>46</v>
      </c>
      <c r="F27" s="8"/>
      <c r="G27" s="23"/>
    </row>
    <row r="28" spans="2:13" x14ac:dyDescent="0.2">
      <c r="B28" s="9">
        <v>8</v>
      </c>
      <c r="C28" s="8"/>
      <c r="D28" s="9" t="s">
        <v>47</v>
      </c>
      <c r="E28" s="9" t="s">
        <v>48</v>
      </c>
      <c r="F28" s="8"/>
      <c r="G28" s="32" t="s">
        <v>45</v>
      </c>
    </row>
    <row r="29" spans="2:13" x14ac:dyDescent="0.2">
      <c r="B29" s="9"/>
      <c r="C29" s="8"/>
      <c r="D29" s="9" t="s">
        <v>49</v>
      </c>
      <c r="E29" s="9" t="s">
        <v>50</v>
      </c>
      <c r="F29" s="8"/>
      <c r="G29" s="32" t="s">
        <v>51</v>
      </c>
    </row>
    <row r="30" spans="2:13" x14ac:dyDescent="0.2">
      <c r="B30" s="9"/>
      <c r="C30" s="8"/>
      <c r="D30" s="9" t="s">
        <v>52</v>
      </c>
      <c r="E30" s="9" t="s">
        <v>53</v>
      </c>
      <c r="F30" s="8"/>
      <c r="G30" s="32" t="s">
        <v>54</v>
      </c>
    </row>
    <row r="31" spans="2:13" x14ac:dyDescent="0.2">
      <c r="B31" s="10"/>
      <c r="C31" s="8"/>
      <c r="D31" s="9" t="s">
        <v>55</v>
      </c>
      <c r="E31" s="9" t="s">
        <v>56</v>
      </c>
      <c r="F31" s="8"/>
      <c r="G31" s="32" t="s">
        <v>57</v>
      </c>
    </row>
    <row r="32" spans="2:13" x14ac:dyDescent="0.2">
      <c r="B32" s="26" t="s">
        <v>58</v>
      </c>
      <c r="C32" s="6" t="s">
        <v>63</v>
      </c>
      <c r="D32" s="18">
        <f>-G13</f>
        <v>-9789</v>
      </c>
      <c r="E32" s="18">
        <f>D64</f>
        <v>9789</v>
      </c>
      <c r="F32" s="6"/>
      <c r="G32" s="18">
        <f>D32+E32</f>
        <v>0</v>
      </c>
    </row>
    <row r="33" spans="2:7" x14ac:dyDescent="0.2">
      <c r="B33" s="33" t="s">
        <v>60</v>
      </c>
      <c r="C33" s="8" t="s">
        <v>88</v>
      </c>
      <c r="D33" s="23">
        <f>-G14</f>
        <v>-14071.260000000068</v>
      </c>
      <c r="E33" s="23">
        <f>E64</f>
        <v>0</v>
      </c>
      <c r="F33" s="8"/>
      <c r="G33" s="23">
        <f>D33+E33</f>
        <v>-14071.260000000068</v>
      </c>
    </row>
    <row r="34" spans="2:7" x14ac:dyDescent="0.2">
      <c r="B34" s="33" t="s">
        <v>62</v>
      </c>
      <c r="C34" s="8" t="s">
        <v>93</v>
      </c>
      <c r="D34" s="23">
        <f>-G15</f>
        <v>128156.63</v>
      </c>
      <c r="E34" s="23">
        <f>F64</f>
        <v>0</v>
      </c>
      <c r="F34" s="34"/>
      <c r="G34" s="23">
        <f>D34+E34</f>
        <v>128156.63</v>
      </c>
    </row>
    <row r="35" spans="2:7" x14ac:dyDescent="0.2">
      <c r="B35" s="10" t="s">
        <v>64</v>
      </c>
      <c r="C35" s="35"/>
      <c r="D35" s="36"/>
      <c r="E35" s="36"/>
      <c r="F35" s="37" t="s">
        <v>65</v>
      </c>
      <c r="G35" s="38">
        <f>G32+G33+G34</f>
        <v>114085.36999999994</v>
      </c>
    </row>
    <row r="36" spans="2:7" x14ac:dyDescent="0.2">
      <c r="B36" s="39"/>
      <c r="G36" s="40"/>
    </row>
    <row r="37" spans="2:7" x14ac:dyDescent="0.2">
      <c r="B37" s="11">
        <v>9</v>
      </c>
      <c r="C37" s="41" t="s">
        <v>66</v>
      </c>
      <c r="D37" s="13"/>
      <c r="E37" s="13"/>
      <c r="F37" s="14"/>
      <c r="G37" s="38">
        <f>G22+G35</f>
        <v>434913.71</v>
      </c>
    </row>
    <row r="38" spans="2:7" x14ac:dyDescent="0.2">
      <c r="B38" s="39"/>
      <c r="G38" s="40"/>
    </row>
    <row r="39" spans="2:7" x14ac:dyDescent="0.2">
      <c r="B39" s="11">
        <v>10</v>
      </c>
      <c r="C39" s="41" t="s">
        <v>80</v>
      </c>
      <c r="D39" s="13"/>
      <c r="E39" s="13"/>
      <c r="F39" s="14"/>
      <c r="G39" s="38">
        <f>G37/6</f>
        <v>72485.618333333332</v>
      </c>
    </row>
    <row r="41" spans="2:7" x14ac:dyDescent="0.2">
      <c r="B41" s="6"/>
      <c r="C41" s="42" t="s">
        <v>67</v>
      </c>
      <c r="D41" s="43"/>
      <c r="E41" s="43"/>
      <c r="F41" s="43"/>
      <c r="G41" s="44"/>
    </row>
    <row r="42" spans="2:7" x14ac:dyDescent="0.2">
      <c r="B42" s="6"/>
      <c r="C42" s="45"/>
      <c r="D42" s="45"/>
      <c r="E42" s="45"/>
      <c r="F42" s="45"/>
      <c r="G42" s="16"/>
    </row>
    <row r="43" spans="2:7" x14ac:dyDescent="0.2">
      <c r="B43" s="9">
        <v>11</v>
      </c>
      <c r="C43" s="46" t="s">
        <v>68</v>
      </c>
      <c r="D43" s="46"/>
      <c r="E43" s="46"/>
      <c r="F43" s="46"/>
      <c r="G43" s="47">
        <f>G16</f>
        <v>-104296.36999999994</v>
      </c>
    </row>
    <row r="44" spans="2:7" x14ac:dyDescent="0.2">
      <c r="B44" s="9">
        <v>12</v>
      </c>
      <c r="C44" s="46" t="s">
        <v>69</v>
      </c>
      <c r="D44" s="46"/>
      <c r="E44" s="46"/>
      <c r="F44" s="46"/>
      <c r="G44" s="48">
        <f>G35</f>
        <v>114085.36999999994</v>
      </c>
    </row>
    <row r="45" spans="2:7" x14ac:dyDescent="0.2">
      <c r="B45" s="9"/>
      <c r="C45" s="46"/>
      <c r="D45" s="46"/>
      <c r="E45" s="46"/>
      <c r="F45" s="46"/>
      <c r="G45" s="47"/>
    </row>
    <row r="46" spans="2:7" ht="15" thickBot="1" x14ac:dyDescent="0.25">
      <c r="B46" s="9">
        <v>13</v>
      </c>
      <c r="C46" s="46" t="s">
        <v>70</v>
      </c>
      <c r="D46" s="46"/>
      <c r="E46" s="46"/>
      <c r="F46" s="46"/>
      <c r="G46" s="49">
        <f>G43+G44</f>
        <v>9789</v>
      </c>
    </row>
    <row r="47" spans="2:7" ht="15" thickTop="1" x14ac:dyDescent="0.2">
      <c r="B47" s="9"/>
      <c r="C47" s="46"/>
      <c r="D47" s="46"/>
      <c r="E47" s="46"/>
      <c r="F47" s="46"/>
      <c r="G47" s="47"/>
    </row>
    <row r="48" spans="2:7" x14ac:dyDescent="0.2">
      <c r="B48" s="9">
        <v>14</v>
      </c>
      <c r="C48" s="46" t="s">
        <v>71</v>
      </c>
      <c r="D48" s="46"/>
      <c r="E48" s="46"/>
      <c r="F48" s="46"/>
      <c r="G48" s="47">
        <f>G37</f>
        <v>434913.71</v>
      </c>
    </row>
    <row r="49" spans="2:7" x14ac:dyDescent="0.2">
      <c r="B49" s="9"/>
      <c r="C49" s="46"/>
      <c r="D49" s="46"/>
      <c r="E49" s="46"/>
      <c r="F49" s="46"/>
      <c r="G49" s="47"/>
    </row>
    <row r="50" spans="2:7" x14ac:dyDescent="0.2">
      <c r="B50" s="9">
        <v>15</v>
      </c>
      <c r="C50" s="46" t="s">
        <v>72</v>
      </c>
      <c r="D50" s="46"/>
      <c r="E50" s="46"/>
      <c r="F50" s="46"/>
      <c r="G50" s="48">
        <f>SUM(F17:F22)</f>
        <v>425124.71</v>
      </c>
    </row>
    <row r="51" spans="2:7" x14ac:dyDescent="0.2">
      <c r="B51" s="9"/>
      <c r="C51" s="46"/>
      <c r="D51" s="46"/>
      <c r="E51" s="46"/>
      <c r="F51" s="46"/>
      <c r="G51" s="47"/>
    </row>
    <row r="52" spans="2:7" ht="15" thickBot="1" x14ac:dyDescent="0.25">
      <c r="B52" s="9">
        <v>16</v>
      </c>
      <c r="C52" s="46" t="s">
        <v>73</v>
      </c>
      <c r="D52" s="46"/>
      <c r="E52" s="46"/>
      <c r="F52" s="46"/>
      <c r="G52" s="49">
        <f>G48-G50</f>
        <v>9789</v>
      </c>
    </row>
    <row r="53" spans="2:7" ht="15" thickTop="1" x14ac:dyDescent="0.2">
      <c r="B53" s="50"/>
      <c r="C53" s="51"/>
      <c r="D53" s="51"/>
      <c r="E53" s="51"/>
      <c r="F53" s="51"/>
      <c r="G53" s="52"/>
    </row>
    <row r="55" spans="2:7" x14ac:dyDescent="0.2">
      <c r="B55" t="s">
        <v>74</v>
      </c>
    </row>
    <row r="56" spans="2:7" x14ac:dyDescent="0.2">
      <c r="B56" s="39"/>
      <c r="C56" s="6"/>
      <c r="D56" s="7" t="s">
        <v>75</v>
      </c>
      <c r="E56" s="7" t="s">
        <v>89</v>
      </c>
      <c r="F56" s="7" t="s">
        <v>89</v>
      </c>
    </row>
    <row r="57" spans="2:7" x14ac:dyDescent="0.2">
      <c r="B57" s="39"/>
      <c r="C57" s="10" t="s">
        <v>28</v>
      </c>
      <c r="D57" s="10" t="s">
        <v>78</v>
      </c>
      <c r="E57" s="10" t="s">
        <v>90</v>
      </c>
      <c r="F57" s="10" t="s">
        <v>94</v>
      </c>
    </row>
    <row r="58" spans="2:7" x14ac:dyDescent="0.2">
      <c r="C58" s="19">
        <v>44013</v>
      </c>
      <c r="D58" s="17">
        <v>2447</v>
      </c>
      <c r="E58" s="17">
        <v>0</v>
      </c>
      <c r="F58" s="17">
        <v>0</v>
      </c>
    </row>
    <row r="59" spans="2:7" x14ac:dyDescent="0.2">
      <c r="C59" s="21">
        <v>44044</v>
      </c>
      <c r="D59" s="53">
        <v>2447</v>
      </c>
      <c r="E59" s="53">
        <v>0</v>
      </c>
      <c r="F59" s="53">
        <v>0</v>
      </c>
    </row>
    <row r="60" spans="2:7" x14ac:dyDescent="0.2">
      <c r="C60" s="21">
        <v>44075</v>
      </c>
      <c r="D60" s="53">
        <v>2447</v>
      </c>
      <c r="E60" s="53">
        <v>0</v>
      </c>
      <c r="F60" s="53">
        <v>0</v>
      </c>
    </row>
    <row r="61" spans="2:7" x14ac:dyDescent="0.2">
      <c r="C61" s="21">
        <v>44105</v>
      </c>
      <c r="D61" s="53">
        <v>2448</v>
      </c>
      <c r="E61" s="53">
        <v>0</v>
      </c>
      <c r="F61" s="53">
        <v>0</v>
      </c>
    </row>
    <row r="62" spans="2:7" x14ac:dyDescent="0.2">
      <c r="C62" s="21">
        <v>44136</v>
      </c>
      <c r="D62" s="53">
        <v>0</v>
      </c>
      <c r="E62" s="53">
        <v>0</v>
      </c>
      <c r="F62" s="53">
        <v>0</v>
      </c>
    </row>
    <row r="63" spans="2:7" x14ac:dyDescent="0.2">
      <c r="C63" s="21">
        <v>44166</v>
      </c>
      <c r="D63" s="54">
        <v>0</v>
      </c>
      <c r="E63" s="54">
        <v>0</v>
      </c>
      <c r="F63" s="54">
        <v>0</v>
      </c>
    </row>
    <row r="64" spans="2:7" x14ac:dyDescent="0.2">
      <c r="C64" s="55" t="s">
        <v>79</v>
      </c>
      <c r="D64" s="38">
        <f>SUM(D58:D63)</f>
        <v>9789</v>
      </c>
      <c r="E64" s="38">
        <f>SUM(E58:E63)</f>
        <v>0</v>
      </c>
      <c r="F64" s="38">
        <f>SUM(F58:F63)</f>
        <v>0</v>
      </c>
    </row>
  </sheetData>
  <mergeCells count="3">
    <mergeCell ref="B4:G5"/>
    <mergeCell ref="C12:G12"/>
    <mergeCell ref="I4:M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>
      <selection activeCell="E25" sqref="E25"/>
    </sheetView>
  </sheetViews>
  <sheetFormatPr defaultColWidth="12.625" defaultRowHeight="14.25" x14ac:dyDescent="0.2"/>
  <cols>
    <col min="2" max="2" width="8.625" customWidth="1"/>
    <col min="3" max="3" width="30.625" customWidth="1"/>
    <col min="4" max="5" width="17.625" customWidth="1"/>
    <col min="6" max="6" width="21.125" customWidth="1"/>
    <col min="7" max="7" width="17.625" customWidth="1"/>
    <col min="9" max="13" width="17.625" customWidth="1"/>
  </cols>
  <sheetData>
    <row r="1" spans="1:13" x14ac:dyDescent="0.2">
      <c r="A1" t="str">
        <f>Summary!A1</f>
        <v>DR1 Response 2 - Nolin Surcharge Summary.xlsx</v>
      </c>
    </row>
    <row r="4" spans="1:13" x14ac:dyDescent="0.2">
      <c r="B4" s="87" t="s">
        <v>17</v>
      </c>
      <c r="C4" s="88"/>
      <c r="D4" s="88"/>
      <c r="E4" s="88"/>
      <c r="F4" s="88"/>
      <c r="G4" s="89"/>
      <c r="I4" s="96" t="s">
        <v>82</v>
      </c>
      <c r="J4" s="97"/>
      <c r="K4" s="97"/>
      <c r="L4" s="97"/>
      <c r="M4" s="98"/>
    </row>
    <row r="5" spans="1:13" x14ac:dyDescent="0.2">
      <c r="B5" s="90"/>
      <c r="C5" s="91"/>
      <c r="D5" s="91"/>
      <c r="E5" s="91"/>
      <c r="F5" s="91"/>
      <c r="G5" s="92"/>
      <c r="I5" s="99"/>
      <c r="J5" s="100"/>
      <c r="K5" s="100"/>
      <c r="L5" s="100"/>
      <c r="M5" s="101"/>
    </row>
    <row r="6" spans="1:13" ht="15" x14ac:dyDescent="0.2">
      <c r="I6" s="59"/>
      <c r="J6" s="59"/>
      <c r="K6" s="59"/>
      <c r="L6" s="59"/>
      <c r="M6" s="59"/>
    </row>
    <row r="7" spans="1:13" ht="15.75" x14ac:dyDescent="0.25">
      <c r="B7" s="6"/>
      <c r="C7" s="6"/>
      <c r="D7" s="6"/>
      <c r="E7" s="7" t="s">
        <v>18</v>
      </c>
      <c r="F7" s="6"/>
      <c r="G7" s="6"/>
      <c r="I7" s="60" t="s">
        <v>86</v>
      </c>
      <c r="J7" s="59"/>
      <c r="K7" s="59"/>
      <c r="L7" s="59"/>
      <c r="M7" s="59"/>
    </row>
    <row r="8" spans="1:13" ht="15" x14ac:dyDescent="0.2">
      <c r="B8" s="8"/>
      <c r="C8" s="8"/>
      <c r="D8" s="9" t="s">
        <v>19</v>
      </c>
      <c r="E8" s="9" t="s">
        <v>20</v>
      </c>
      <c r="F8" s="8"/>
      <c r="G8" s="8"/>
      <c r="I8" s="59"/>
      <c r="J8" s="59"/>
      <c r="K8" s="59"/>
      <c r="L8" s="59"/>
      <c r="M8" s="59"/>
    </row>
    <row r="9" spans="1:13" x14ac:dyDescent="0.2">
      <c r="B9" s="8"/>
      <c r="C9" s="8"/>
      <c r="D9" s="9" t="s">
        <v>21</v>
      </c>
      <c r="E9" s="9" t="s">
        <v>22</v>
      </c>
      <c r="F9" s="9" t="s">
        <v>23</v>
      </c>
      <c r="G9" s="9" t="s">
        <v>24</v>
      </c>
      <c r="I9" s="61"/>
      <c r="J9" s="61"/>
      <c r="K9" s="62" t="s">
        <v>18</v>
      </c>
      <c r="L9" s="61"/>
      <c r="M9" s="61"/>
    </row>
    <row r="10" spans="1:13" x14ac:dyDescent="0.2">
      <c r="B10" s="10"/>
      <c r="C10" s="10"/>
      <c r="D10" s="10" t="s">
        <v>25</v>
      </c>
      <c r="E10" s="10" t="s">
        <v>25</v>
      </c>
      <c r="F10" s="10" t="s">
        <v>26</v>
      </c>
      <c r="G10" s="10" t="s">
        <v>26</v>
      </c>
      <c r="I10" s="63"/>
      <c r="J10" s="64" t="s">
        <v>19</v>
      </c>
      <c r="K10" s="64" t="s">
        <v>20</v>
      </c>
      <c r="L10" s="63"/>
      <c r="M10" s="63"/>
    </row>
    <row r="11" spans="1:13" x14ac:dyDescent="0.2">
      <c r="B11" s="11" t="s">
        <v>27</v>
      </c>
      <c r="C11" s="11" t="s">
        <v>28</v>
      </c>
      <c r="D11" s="12" t="s">
        <v>29</v>
      </c>
      <c r="E11" s="12" t="s">
        <v>30</v>
      </c>
      <c r="F11" s="12" t="s">
        <v>31</v>
      </c>
      <c r="G11" s="12" t="s">
        <v>32</v>
      </c>
      <c r="I11" s="63"/>
      <c r="J11" s="64" t="s">
        <v>21</v>
      </c>
      <c r="K11" s="64" t="s">
        <v>22</v>
      </c>
      <c r="L11" s="64" t="s">
        <v>23</v>
      </c>
      <c r="M11" s="64" t="s">
        <v>24</v>
      </c>
    </row>
    <row r="12" spans="1:13" x14ac:dyDescent="0.2">
      <c r="B12" s="7">
        <v>1</v>
      </c>
      <c r="C12" s="93" t="s">
        <v>33</v>
      </c>
      <c r="D12" s="94"/>
      <c r="E12" s="94"/>
      <c r="F12" s="94"/>
      <c r="G12" s="95"/>
      <c r="I12" s="65"/>
      <c r="J12" s="65" t="s">
        <v>25</v>
      </c>
      <c r="K12" s="65" t="s">
        <v>25</v>
      </c>
      <c r="L12" s="65" t="s">
        <v>26</v>
      </c>
      <c r="M12" s="65" t="s">
        <v>26</v>
      </c>
    </row>
    <row r="13" spans="1:13" x14ac:dyDescent="0.2">
      <c r="B13" s="7" t="s">
        <v>34</v>
      </c>
      <c r="C13" s="13" t="s">
        <v>87</v>
      </c>
      <c r="D13" s="13"/>
      <c r="E13" s="13"/>
      <c r="F13" s="14"/>
      <c r="G13" s="15">
        <f>'A - 11-30-19'!G37</f>
        <v>14071.260000000068</v>
      </c>
      <c r="I13" s="66" t="s">
        <v>28</v>
      </c>
      <c r="J13" s="67" t="s">
        <v>83</v>
      </c>
      <c r="K13" s="67" t="s">
        <v>29</v>
      </c>
      <c r="L13" s="67" t="s">
        <v>30</v>
      </c>
      <c r="M13" s="67" t="s">
        <v>31</v>
      </c>
    </row>
    <row r="14" spans="1:13" x14ac:dyDescent="0.2">
      <c r="B14" s="9" t="s">
        <v>36</v>
      </c>
      <c r="C14" s="13" t="s">
        <v>92</v>
      </c>
      <c r="D14" s="13"/>
      <c r="E14" s="13"/>
      <c r="F14" s="14"/>
      <c r="G14" s="15">
        <f>'B - 05-31-20'!G37</f>
        <v>-128156.63</v>
      </c>
      <c r="I14" s="68">
        <v>44197</v>
      </c>
      <c r="J14" s="69">
        <f>11380+86788</f>
        <v>98168</v>
      </c>
      <c r="K14" s="70">
        <v>98168</v>
      </c>
      <c r="L14" s="71">
        <f>J14-K14</f>
        <v>0</v>
      </c>
      <c r="M14" s="72">
        <f>L14</f>
        <v>0</v>
      </c>
    </row>
    <row r="15" spans="1:13" x14ac:dyDescent="0.2">
      <c r="B15" s="9" t="s">
        <v>38</v>
      </c>
      <c r="C15" s="13" t="s">
        <v>96</v>
      </c>
      <c r="D15" s="13"/>
      <c r="E15" s="13"/>
      <c r="F15" s="16"/>
      <c r="G15" s="17">
        <f>'C - 11-30-20'!G37</f>
        <v>434913.71</v>
      </c>
      <c r="I15" s="73">
        <v>44228</v>
      </c>
      <c r="J15" s="69">
        <f>7047+47141</f>
        <v>54188</v>
      </c>
      <c r="K15" s="70">
        <v>54188</v>
      </c>
      <c r="L15" s="72">
        <f>J15-K15</f>
        <v>0</v>
      </c>
      <c r="M15" s="72">
        <f>M14+L15</f>
        <v>0</v>
      </c>
    </row>
    <row r="16" spans="1:13" x14ac:dyDescent="0.2">
      <c r="B16" s="10" t="s">
        <v>40</v>
      </c>
      <c r="C16" s="13" t="s">
        <v>41</v>
      </c>
      <c r="D16" s="13"/>
      <c r="E16" s="13"/>
      <c r="F16" s="16"/>
      <c r="G16" s="18">
        <f>G13+G14+G15</f>
        <v>320828.34000000008</v>
      </c>
      <c r="I16" s="73">
        <v>44256</v>
      </c>
      <c r="J16" s="69">
        <f>8028+60459</f>
        <v>68487</v>
      </c>
      <c r="K16" s="69">
        <v>68487</v>
      </c>
      <c r="L16" s="72">
        <f t="shared" ref="L16:L19" si="0">J16-K16</f>
        <v>0</v>
      </c>
      <c r="M16" s="72">
        <f t="shared" ref="M16:M19" si="1">M15+L16</f>
        <v>0</v>
      </c>
    </row>
    <row r="17" spans="2:13" x14ac:dyDescent="0.2">
      <c r="B17" s="9">
        <v>2</v>
      </c>
      <c r="C17" s="19">
        <v>44197</v>
      </c>
      <c r="D17" s="17">
        <f>799584-125</f>
        <v>799459</v>
      </c>
      <c r="E17" s="56">
        <v>676480.99</v>
      </c>
      <c r="F17" s="20">
        <f t="shared" ref="F17:F24" si="2">D17-E17</f>
        <v>122978.01000000001</v>
      </c>
      <c r="G17" s="18">
        <f t="shared" ref="G17:G24" si="3">G16+F17</f>
        <v>443806.35000000009</v>
      </c>
      <c r="I17" s="73">
        <v>44287</v>
      </c>
      <c r="J17" s="69">
        <f>8530+57512</f>
        <v>66042</v>
      </c>
      <c r="K17" s="69">
        <v>66042</v>
      </c>
      <c r="L17" s="72">
        <f t="shared" si="0"/>
        <v>0</v>
      </c>
      <c r="M17" s="72">
        <f t="shared" si="1"/>
        <v>0</v>
      </c>
    </row>
    <row r="18" spans="2:13" x14ac:dyDescent="0.2">
      <c r="B18" s="9">
        <v>3</v>
      </c>
      <c r="C18" s="21">
        <v>44228</v>
      </c>
      <c r="D18" s="53">
        <f>554594-86</f>
        <v>554508</v>
      </c>
      <c r="E18" s="57">
        <v>463432.97</v>
      </c>
      <c r="F18" s="22">
        <f t="shared" si="2"/>
        <v>91075.030000000028</v>
      </c>
      <c r="G18" s="23">
        <f t="shared" si="3"/>
        <v>534881.38000000012</v>
      </c>
      <c r="I18" s="73">
        <v>44317</v>
      </c>
      <c r="J18" s="69">
        <f>8927+62805</f>
        <v>71732</v>
      </c>
      <c r="K18" s="74">
        <v>71732</v>
      </c>
      <c r="L18" s="72">
        <f t="shared" si="0"/>
        <v>0</v>
      </c>
      <c r="M18" s="72">
        <f t="shared" si="1"/>
        <v>0</v>
      </c>
    </row>
    <row r="19" spans="2:13" x14ac:dyDescent="0.2">
      <c r="B19" s="9">
        <v>4</v>
      </c>
      <c r="C19" s="21">
        <v>44256</v>
      </c>
      <c r="D19" s="53">
        <f>392237-83</f>
        <v>392154</v>
      </c>
      <c r="E19" s="57">
        <f>330214.37</f>
        <v>330214.37</v>
      </c>
      <c r="F19" s="22">
        <f t="shared" si="2"/>
        <v>61939.630000000005</v>
      </c>
      <c r="G19" s="23">
        <f t="shared" si="3"/>
        <v>596821.01000000013</v>
      </c>
      <c r="I19" s="75">
        <v>44348</v>
      </c>
      <c r="J19" s="74">
        <f>13282+98719</f>
        <v>112001</v>
      </c>
      <c r="K19" s="76">
        <v>112001</v>
      </c>
      <c r="L19" s="77">
        <f t="shared" si="0"/>
        <v>0</v>
      </c>
      <c r="M19" s="77">
        <f t="shared" si="1"/>
        <v>0</v>
      </c>
    </row>
    <row r="20" spans="2:13" x14ac:dyDescent="0.2">
      <c r="B20" s="9">
        <v>5</v>
      </c>
      <c r="C20" s="21">
        <v>44287</v>
      </c>
      <c r="D20" s="53">
        <f>391468-106</f>
        <v>391362</v>
      </c>
      <c r="E20" s="57">
        <f>405564.1</f>
        <v>405564.1</v>
      </c>
      <c r="F20" s="22">
        <f t="shared" si="2"/>
        <v>-14202.099999999977</v>
      </c>
      <c r="G20" s="23">
        <f t="shared" si="3"/>
        <v>582618.91000000015</v>
      </c>
      <c r="I20" s="73">
        <v>44378</v>
      </c>
      <c r="J20" s="78">
        <f>12232+86945</f>
        <v>99177</v>
      </c>
      <c r="K20" s="78">
        <v>99177</v>
      </c>
      <c r="L20" s="72">
        <f>J20-K20</f>
        <v>0</v>
      </c>
      <c r="M20" s="72">
        <f>M19+L20</f>
        <v>0</v>
      </c>
    </row>
    <row r="21" spans="2:13" x14ac:dyDescent="0.2">
      <c r="B21" s="9">
        <v>6</v>
      </c>
      <c r="C21" s="21">
        <v>44317</v>
      </c>
      <c r="D21" s="53">
        <f>414260-127</f>
        <v>414133</v>
      </c>
      <c r="E21" s="57">
        <f>452840.97</f>
        <v>452840.97</v>
      </c>
      <c r="F21" s="22">
        <f t="shared" si="2"/>
        <v>-38707.969999999972</v>
      </c>
      <c r="G21" s="23">
        <f t="shared" si="3"/>
        <v>543910.94000000018</v>
      </c>
      <c r="I21" s="75">
        <v>44409</v>
      </c>
      <c r="J21" s="76">
        <f>11440+88882</f>
        <v>100322</v>
      </c>
      <c r="K21" s="85">
        <v>100322</v>
      </c>
      <c r="L21" s="77">
        <f>J21-K21</f>
        <v>0</v>
      </c>
      <c r="M21" s="77">
        <f>M20+L21</f>
        <v>0</v>
      </c>
    </row>
    <row r="22" spans="2:13" x14ac:dyDescent="0.2">
      <c r="B22" s="9">
        <v>7</v>
      </c>
      <c r="C22" s="21">
        <v>44348</v>
      </c>
      <c r="D22" s="53">
        <f>760867-192</f>
        <v>760675</v>
      </c>
      <c r="E22" s="57">
        <v>784003.53</v>
      </c>
      <c r="F22" s="24">
        <f t="shared" si="2"/>
        <v>-23328.530000000028</v>
      </c>
      <c r="G22" s="25">
        <f t="shared" si="3"/>
        <v>520582.41000000015</v>
      </c>
      <c r="I22" s="79"/>
      <c r="J22" s="79"/>
      <c r="K22" s="79"/>
      <c r="L22" s="79"/>
      <c r="M22" s="79"/>
    </row>
    <row r="23" spans="2:13" x14ac:dyDescent="0.2">
      <c r="B23" s="26" t="s">
        <v>42</v>
      </c>
      <c r="C23" s="19">
        <v>44378</v>
      </c>
      <c r="D23" s="17">
        <f>739221-0</f>
        <v>739221</v>
      </c>
      <c r="E23" s="56">
        <v>738663.14</v>
      </c>
      <c r="F23" s="20">
        <f t="shared" si="2"/>
        <v>557.85999999998603</v>
      </c>
      <c r="G23" s="18">
        <f t="shared" si="3"/>
        <v>521140.27000000014</v>
      </c>
      <c r="I23" s="80" t="s">
        <v>84</v>
      </c>
      <c r="J23" s="81"/>
      <c r="K23" s="81"/>
      <c r="L23" s="82"/>
      <c r="M23" s="83">
        <f>M19</f>
        <v>0</v>
      </c>
    </row>
    <row r="24" spans="2:13" x14ac:dyDescent="0.2">
      <c r="B24" s="27" t="s">
        <v>43</v>
      </c>
      <c r="C24" s="28">
        <v>44409</v>
      </c>
      <c r="D24" s="54">
        <f>699454-163</f>
        <v>699291</v>
      </c>
      <c r="E24" s="58">
        <v>669608</v>
      </c>
      <c r="F24" s="24">
        <f t="shared" si="2"/>
        <v>29683</v>
      </c>
      <c r="G24" s="25">
        <f t="shared" si="3"/>
        <v>550823.27000000014</v>
      </c>
      <c r="I24" s="79"/>
      <c r="J24" s="79"/>
      <c r="K24" s="79"/>
      <c r="L24" s="79"/>
      <c r="M24" s="84"/>
    </row>
    <row r="25" spans="2:13" x14ac:dyDescent="0.2">
      <c r="B25" s="10"/>
      <c r="C25" s="29" t="s">
        <v>95</v>
      </c>
      <c r="D25" s="30"/>
      <c r="E25" s="30"/>
      <c r="F25" s="30"/>
      <c r="G25" s="31"/>
      <c r="I25" s="80" t="s">
        <v>85</v>
      </c>
      <c r="J25" s="81"/>
      <c r="K25" s="81"/>
      <c r="L25" s="82"/>
      <c r="M25" s="83">
        <f>M23/6</f>
        <v>0</v>
      </c>
    </row>
    <row r="26" spans="2:13" x14ac:dyDescent="0.2">
      <c r="B26" s="7"/>
      <c r="C26" s="6"/>
      <c r="D26" s="6"/>
      <c r="E26" s="6"/>
      <c r="F26" s="6"/>
      <c r="G26" s="18"/>
    </row>
    <row r="27" spans="2:13" x14ac:dyDescent="0.2">
      <c r="B27" s="9"/>
      <c r="C27" s="8"/>
      <c r="D27" s="9" t="s">
        <v>45</v>
      </c>
      <c r="E27" s="9" t="s">
        <v>46</v>
      </c>
      <c r="F27" s="8"/>
      <c r="G27" s="23"/>
    </row>
    <row r="28" spans="2:13" x14ac:dyDescent="0.2">
      <c r="B28" s="9">
        <v>8</v>
      </c>
      <c r="C28" s="8"/>
      <c r="D28" s="9" t="s">
        <v>47</v>
      </c>
      <c r="E28" s="9" t="s">
        <v>48</v>
      </c>
      <c r="F28" s="8"/>
      <c r="G28" s="32" t="s">
        <v>45</v>
      </c>
    </row>
    <row r="29" spans="2:13" x14ac:dyDescent="0.2">
      <c r="B29" s="9"/>
      <c r="C29" s="8"/>
      <c r="D29" s="9" t="s">
        <v>49</v>
      </c>
      <c r="E29" s="9" t="s">
        <v>50</v>
      </c>
      <c r="F29" s="8"/>
      <c r="G29" s="32" t="s">
        <v>51</v>
      </c>
    </row>
    <row r="30" spans="2:13" x14ac:dyDescent="0.2">
      <c r="B30" s="9"/>
      <c r="C30" s="8"/>
      <c r="D30" s="9" t="s">
        <v>52</v>
      </c>
      <c r="E30" s="9" t="s">
        <v>53</v>
      </c>
      <c r="F30" s="8"/>
      <c r="G30" s="32" t="s">
        <v>54</v>
      </c>
    </row>
    <row r="31" spans="2:13" x14ac:dyDescent="0.2">
      <c r="B31" s="10"/>
      <c r="C31" s="8"/>
      <c r="D31" s="9" t="s">
        <v>55</v>
      </c>
      <c r="E31" s="9" t="s">
        <v>56</v>
      </c>
      <c r="F31" s="8"/>
      <c r="G31" s="32" t="s">
        <v>57</v>
      </c>
    </row>
    <row r="32" spans="2:13" x14ac:dyDescent="0.2">
      <c r="B32" s="26" t="s">
        <v>58</v>
      </c>
      <c r="C32" s="6" t="s">
        <v>88</v>
      </c>
      <c r="D32" s="18">
        <f>-G13</f>
        <v>-14071.260000000068</v>
      </c>
      <c r="E32" s="18">
        <f>D64</f>
        <v>0</v>
      </c>
      <c r="F32" s="6"/>
      <c r="G32" s="18">
        <f>D32+E32</f>
        <v>-14071.260000000068</v>
      </c>
    </row>
    <row r="33" spans="2:7" x14ac:dyDescent="0.2">
      <c r="B33" s="33" t="s">
        <v>60</v>
      </c>
      <c r="C33" s="8" t="s">
        <v>97</v>
      </c>
      <c r="D33" s="23">
        <f>-G14</f>
        <v>128156.63</v>
      </c>
      <c r="E33" s="23">
        <f>E64</f>
        <v>0</v>
      </c>
      <c r="F33" s="8"/>
      <c r="G33" s="23">
        <f>D33+E33</f>
        <v>128156.63</v>
      </c>
    </row>
    <row r="34" spans="2:7" x14ac:dyDescent="0.2">
      <c r="B34" s="33" t="s">
        <v>62</v>
      </c>
      <c r="C34" s="8" t="s">
        <v>98</v>
      </c>
      <c r="D34" s="23">
        <f>-G15</f>
        <v>-434913.71</v>
      </c>
      <c r="E34" s="23">
        <f>F64</f>
        <v>0</v>
      </c>
      <c r="F34" s="34"/>
      <c r="G34" s="23">
        <f>D34+E34</f>
        <v>-434913.71</v>
      </c>
    </row>
    <row r="35" spans="2:7" x14ac:dyDescent="0.2">
      <c r="B35" s="10" t="s">
        <v>64</v>
      </c>
      <c r="C35" s="35"/>
      <c r="D35" s="36"/>
      <c r="E35" s="36"/>
      <c r="F35" s="37" t="s">
        <v>65</v>
      </c>
      <c r="G35" s="38">
        <f>G32+G33+G34</f>
        <v>-320828.34000000008</v>
      </c>
    </row>
    <row r="36" spans="2:7" x14ac:dyDescent="0.2">
      <c r="B36" s="39"/>
      <c r="G36" s="40"/>
    </row>
    <row r="37" spans="2:7" x14ac:dyDescent="0.2">
      <c r="B37" s="11">
        <v>9</v>
      </c>
      <c r="C37" s="41" t="s">
        <v>66</v>
      </c>
      <c r="D37" s="13"/>
      <c r="E37" s="13"/>
      <c r="F37" s="14"/>
      <c r="G37" s="38">
        <f>G22+G35</f>
        <v>199754.07000000007</v>
      </c>
    </row>
    <row r="38" spans="2:7" x14ac:dyDescent="0.2">
      <c r="B38" s="39"/>
      <c r="G38" s="40"/>
    </row>
    <row r="39" spans="2:7" x14ac:dyDescent="0.2">
      <c r="B39" s="11">
        <v>10</v>
      </c>
      <c r="C39" s="41" t="s">
        <v>80</v>
      </c>
      <c r="D39" s="13"/>
      <c r="E39" s="13"/>
      <c r="F39" s="14"/>
      <c r="G39" s="38">
        <f>G37/6</f>
        <v>33292.345000000008</v>
      </c>
    </row>
    <row r="41" spans="2:7" x14ac:dyDescent="0.2">
      <c r="B41" s="6"/>
      <c r="C41" s="42" t="s">
        <v>67</v>
      </c>
      <c r="D41" s="43"/>
      <c r="E41" s="43"/>
      <c r="F41" s="43"/>
      <c r="G41" s="44"/>
    </row>
    <row r="42" spans="2:7" x14ac:dyDescent="0.2">
      <c r="B42" s="6"/>
      <c r="C42" s="45"/>
      <c r="D42" s="45"/>
      <c r="E42" s="45"/>
      <c r="F42" s="45"/>
      <c r="G42" s="16"/>
    </row>
    <row r="43" spans="2:7" x14ac:dyDescent="0.2">
      <c r="B43" s="9">
        <v>11</v>
      </c>
      <c r="C43" s="46" t="s">
        <v>68</v>
      </c>
      <c r="D43" s="46"/>
      <c r="E43" s="46"/>
      <c r="F43" s="46"/>
      <c r="G43" s="47">
        <f>G16</f>
        <v>320828.34000000008</v>
      </c>
    </row>
    <row r="44" spans="2:7" x14ac:dyDescent="0.2">
      <c r="B44" s="9">
        <v>12</v>
      </c>
      <c r="C44" s="46" t="s">
        <v>69</v>
      </c>
      <c r="D44" s="46"/>
      <c r="E44" s="46"/>
      <c r="F44" s="46"/>
      <c r="G44" s="48">
        <f>G35</f>
        <v>-320828.34000000008</v>
      </c>
    </row>
    <row r="45" spans="2:7" x14ac:dyDescent="0.2">
      <c r="B45" s="9"/>
      <c r="C45" s="46"/>
      <c r="D45" s="46"/>
      <c r="E45" s="46"/>
      <c r="F45" s="46"/>
      <c r="G45" s="47"/>
    </row>
    <row r="46" spans="2:7" ht="15" thickBot="1" x14ac:dyDescent="0.25">
      <c r="B46" s="9">
        <v>13</v>
      </c>
      <c r="C46" s="46" t="s">
        <v>70</v>
      </c>
      <c r="D46" s="46"/>
      <c r="E46" s="46"/>
      <c r="F46" s="46"/>
      <c r="G46" s="49">
        <f>G43+G44</f>
        <v>0</v>
      </c>
    </row>
    <row r="47" spans="2:7" ht="15" thickTop="1" x14ac:dyDescent="0.2">
      <c r="B47" s="9"/>
      <c r="C47" s="46"/>
      <c r="D47" s="46"/>
      <c r="E47" s="46"/>
      <c r="F47" s="46"/>
      <c r="G47" s="47"/>
    </row>
    <row r="48" spans="2:7" x14ac:dyDescent="0.2">
      <c r="B48" s="9">
        <v>14</v>
      </c>
      <c r="C48" s="46" t="s">
        <v>71</v>
      </c>
      <c r="D48" s="46"/>
      <c r="E48" s="46"/>
      <c r="F48" s="46"/>
      <c r="G48" s="47">
        <f>G37</f>
        <v>199754.07000000007</v>
      </c>
    </row>
    <row r="49" spans="2:7" x14ac:dyDescent="0.2">
      <c r="B49" s="9"/>
      <c r="C49" s="46"/>
      <c r="D49" s="46"/>
      <c r="E49" s="46"/>
      <c r="F49" s="46"/>
      <c r="G49" s="47"/>
    </row>
    <row r="50" spans="2:7" x14ac:dyDescent="0.2">
      <c r="B50" s="9">
        <v>15</v>
      </c>
      <c r="C50" s="46" t="s">
        <v>72</v>
      </c>
      <c r="D50" s="46"/>
      <c r="E50" s="46"/>
      <c r="F50" s="46"/>
      <c r="G50" s="48">
        <f>SUM(F17:F22)</f>
        <v>199754.07000000007</v>
      </c>
    </row>
    <row r="51" spans="2:7" x14ac:dyDescent="0.2">
      <c r="B51" s="9"/>
      <c r="C51" s="46"/>
      <c r="D51" s="46"/>
      <c r="E51" s="46"/>
      <c r="F51" s="46"/>
      <c r="G51" s="47"/>
    </row>
    <row r="52" spans="2:7" ht="15" thickBot="1" x14ac:dyDescent="0.25">
      <c r="B52" s="9">
        <v>16</v>
      </c>
      <c r="C52" s="46" t="s">
        <v>73</v>
      </c>
      <c r="D52" s="46"/>
      <c r="E52" s="46"/>
      <c r="F52" s="46"/>
      <c r="G52" s="49">
        <f>G48-G50</f>
        <v>0</v>
      </c>
    </row>
    <row r="53" spans="2:7" ht="15" thickTop="1" x14ac:dyDescent="0.2">
      <c r="B53" s="50"/>
      <c r="C53" s="51"/>
      <c r="D53" s="51"/>
      <c r="E53" s="51"/>
      <c r="F53" s="51"/>
      <c r="G53" s="52"/>
    </row>
    <row r="55" spans="2:7" x14ac:dyDescent="0.2">
      <c r="B55" t="s">
        <v>74</v>
      </c>
    </row>
    <row r="56" spans="2:7" x14ac:dyDescent="0.2">
      <c r="B56" s="39"/>
      <c r="C56" s="6"/>
      <c r="D56" s="7" t="s">
        <v>89</v>
      </c>
      <c r="E56" s="7" t="s">
        <v>89</v>
      </c>
      <c r="F56" s="7" t="s">
        <v>89</v>
      </c>
    </row>
    <row r="57" spans="2:7" x14ac:dyDescent="0.2">
      <c r="B57" s="39"/>
      <c r="C57" s="10" t="s">
        <v>28</v>
      </c>
      <c r="D57" s="10" t="s">
        <v>90</v>
      </c>
      <c r="E57" s="10" t="s">
        <v>94</v>
      </c>
      <c r="F57" s="10" t="s">
        <v>99</v>
      </c>
    </row>
    <row r="58" spans="2:7" x14ac:dyDescent="0.2">
      <c r="C58" s="19">
        <v>44197</v>
      </c>
      <c r="D58" s="17">
        <v>0</v>
      </c>
      <c r="E58" s="17">
        <v>0</v>
      </c>
      <c r="F58" s="17">
        <v>0</v>
      </c>
    </row>
    <row r="59" spans="2:7" x14ac:dyDescent="0.2">
      <c r="C59" s="21">
        <v>44228</v>
      </c>
      <c r="D59" s="53">
        <v>0</v>
      </c>
      <c r="E59" s="53">
        <v>0</v>
      </c>
      <c r="F59" s="53">
        <v>0</v>
      </c>
    </row>
    <row r="60" spans="2:7" x14ac:dyDescent="0.2">
      <c r="C60" s="21">
        <v>44256</v>
      </c>
      <c r="D60" s="53">
        <v>0</v>
      </c>
      <c r="E60" s="53">
        <v>0</v>
      </c>
      <c r="F60" s="53">
        <v>0</v>
      </c>
    </row>
    <row r="61" spans="2:7" x14ac:dyDescent="0.2">
      <c r="C61" s="21">
        <v>44287</v>
      </c>
      <c r="D61" s="53">
        <v>0</v>
      </c>
      <c r="E61" s="53">
        <v>0</v>
      </c>
      <c r="F61" s="53">
        <v>0</v>
      </c>
    </row>
    <row r="62" spans="2:7" x14ac:dyDescent="0.2">
      <c r="C62" s="21">
        <v>44317</v>
      </c>
      <c r="D62" s="53">
        <v>0</v>
      </c>
      <c r="E62" s="53">
        <v>0</v>
      </c>
      <c r="F62" s="53">
        <v>0</v>
      </c>
    </row>
    <row r="63" spans="2:7" x14ac:dyDescent="0.2">
      <c r="C63" s="21">
        <v>44348</v>
      </c>
      <c r="D63" s="54">
        <v>0</v>
      </c>
      <c r="E63" s="54">
        <v>0</v>
      </c>
      <c r="F63" s="54">
        <v>0</v>
      </c>
    </row>
    <row r="64" spans="2:7" x14ac:dyDescent="0.2">
      <c r="C64" s="55" t="s">
        <v>79</v>
      </c>
      <c r="D64" s="38">
        <f>SUM(D58:D63)</f>
        <v>0</v>
      </c>
      <c r="E64" s="38">
        <f>SUM(E58:E63)</f>
        <v>0</v>
      </c>
      <c r="F64" s="38">
        <f>SUM(F58:F63)</f>
        <v>0</v>
      </c>
    </row>
  </sheetData>
  <mergeCells count="3">
    <mergeCell ref="B4:G5"/>
    <mergeCell ref="C12:G12"/>
    <mergeCell ref="I4:M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activeCell="E19" sqref="E19"/>
    </sheetView>
  </sheetViews>
  <sheetFormatPr defaultColWidth="12.625" defaultRowHeight="14.25" x14ac:dyDescent="0.2"/>
  <cols>
    <col min="2" max="2" width="8.625" customWidth="1"/>
    <col min="3" max="3" width="30.625" customWidth="1"/>
    <col min="4" max="5" width="17.625" customWidth="1"/>
    <col min="6" max="6" width="21.25" customWidth="1"/>
    <col min="7" max="7" width="17.625" customWidth="1"/>
    <col min="9" max="13" width="17.625" customWidth="1"/>
  </cols>
  <sheetData>
    <row r="1" spans="1:13" x14ac:dyDescent="0.2">
      <c r="A1" t="str">
        <f>Summary!A1</f>
        <v>DR1 Response 2 - Nolin Surcharge Summary.xlsx</v>
      </c>
    </row>
    <row r="4" spans="1:13" x14ac:dyDescent="0.2">
      <c r="B4" s="87" t="s">
        <v>17</v>
      </c>
      <c r="C4" s="88"/>
      <c r="D4" s="88"/>
      <c r="E4" s="88"/>
      <c r="F4" s="88"/>
      <c r="G4" s="89"/>
      <c r="I4" s="96" t="s">
        <v>82</v>
      </c>
      <c r="J4" s="97"/>
      <c r="K4" s="97"/>
      <c r="L4" s="97"/>
      <c r="M4" s="98"/>
    </row>
    <row r="5" spans="1:13" x14ac:dyDescent="0.2">
      <c r="B5" s="90"/>
      <c r="C5" s="91"/>
      <c r="D5" s="91"/>
      <c r="E5" s="91"/>
      <c r="F5" s="91"/>
      <c r="G5" s="92"/>
      <c r="I5" s="99"/>
      <c r="J5" s="100"/>
      <c r="K5" s="100"/>
      <c r="L5" s="100"/>
      <c r="M5" s="101"/>
    </row>
    <row r="6" spans="1:13" ht="15" x14ac:dyDescent="0.2">
      <c r="I6" s="59"/>
      <c r="J6" s="59"/>
      <c r="K6" s="59"/>
      <c r="L6" s="59"/>
      <c r="M6" s="59"/>
    </row>
    <row r="7" spans="1:13" ht="15.75" x14ac:dyDescent="0.25">
      <c r="B7" s="6"/>
      <c r="C7" s="6"/>
      <c r="D7" s="6"/>
      <c r="E7" s="7" t="s">
        <v>18</v>
      </c>
      <c r="F7" s="6"/>
      <c r="G7" s="6"/>
      <c r="I7" s="60" t="s">
        <v>86</v>
      </c>
      <c r="J7" s="59"/>
      <c r="K7" s="59"/>
      <c r="L7" s="59"/>
      <c r="M7" s="59"/>
    </row>
    <row r="8" spans="1:13" ht="15" x14ac:dyDescent="0.2">
      <c r="B8" s="8"/>
      <c r="C8" s="8"/>
      <c r="D8" s="9" t="s">
        <v>19</v>
      </c>
      <c r="E8" s="9" t="s">
        <v>20</v>
      </c>
      <c r="F8" s="8"/>
      <c r="G8" s="8"/>
      <c r="I8" s="59"/>
      <c r="J8" s="59"/>
      <c r="K8" s="59"/>
      <c r="L8" s="59"/>
      <c r="M8" s="59"/>
    </row>
    <row r="9" spans="1:13" x14ac:dyDescent="0.2">
      <c r="B9" s="8"/>
      <c r="C9" s="8"/>
      <c r="D9" s="9" t="s">
        <v>21</v>
      </c>
      <c r="E9" s="9" t="s">
        <v>22</v>
      </c>
      <c r="F9" s="9" t="s">
        <v>23</v>
      </c>
      <c r="G9" s="9" t="s">
        <v>24</v>
      </c>
      <c r="I9" s="61"/>
      <c r="J9" s="61"/>
      <c r="K9" s="62" t="s">
        <v>18</v>
      </c>
      <c r="L9" s="61"/>
      <c r="M9" s="61"/>
    </row>
    <row r="10" spans="1:13" x14ac:dyDescent="0.2">
      <c r="B10" s="10"/>
      <c r="C10" s="10"/>
      <c r="D10" s="10" t="s">
        <v>25</v>
      </c>
      <c r="E10" s="10" t="s">
        <v>25</v>
      </c>
      <c r="F10" s="10" t="s">
        <v>26</v>
      </c>
      <c r="G10" s="10" t="s">
        <v>26</v>
      </c>
      <c r="I10" s="63"/>
      <c r="J10" s="64" t="s">
        <v>19</v>
      </c>
      <c r="K10" s="64" t="s">
        <v>20</v>
      </c>
      <c r="L10" s="63"/>
      <c r="M10" s="63"/>
    </row>
    <row r="11" spans="1:13" x14ac:dyDescent="0.2">
      <c r="B11" s="11" t="s">
        <v>27</v>
      </c>
      <c r="C11" s="11" t="s">
        <v>28</v>
      </c>
      <c r="D11" s="12" t="s">
        <v>29</v>
      </c>
      <c r="E11" s="12" t="s">
        <v>30</v>
      </c>
      <c r="F11" s="12" t="s">
        <v>31</v>
      </c>
      <c r="G11" s="12" t="s">
        <v>32</v>
      </c>
      <c r="I11" s="63"/>
      <c r="J11" s="64" t="s">
        <v>21</v>
      </c>
      <c r="K11" s="64" t="s">
        <v>22</v>
      </c>
      <c r="L11" s="64" t="s">
        <v>23</v>
      </c>
      <c r="M11" s="64" t="s">
        <v>24</v>
      </c>
    </row>
    <row r="12" spans="1:13" x14ac:dyDescent="0.2">
      <c r="B12" s="7">
        <v>1</v>
      </c>
      <c r="C12" s="93" t="s">
        <v>33</v>
      </c>
      <c r="D12" s="94"/>
      <c r="E12" s="94"/>
      <c r="F12" s="94"/>
      <c r="G12" s="95"/>
      <c r="I12" s="65"/>
      <c r="J12" s="65" t="s">
        <v>25</v>
      </c>
      <c r="K12" s="65" t="s">
        <v>25</v>
      </c>
      <c r="L12" s="65" t="s">
        <v>26</v>
      </c>
      <c r="M12" s="65" t="s">
        <v>26</v>
      </c>
    </row>
    <row r="13" spans="1:13" x14ac:dyDescent="0.2">
      <c r="B13" s="7" t="s">
        <v>34</v>
      </c>
      <c r="C13" s="13" t="s">
        <v>87</v>
      </c>
      <c r="D13" s="13"/>
      <c r="E13" s="13"/>
      <c r="F13" s="14"/>
      <c r="G13" s="15">
        <f>'A - 11-30-19'!G37</f>
        <v>14071.260000000068</v>
      </c>
      <c r="I13" s="66" t="s">
        <v>28</v>
      </c>
      <c r="J13" s="67" t="s">
        <v>83</v>
      </c>
      <c r="K13" s="67" t="s">
        <v>29</v>
      </c>
      <c r="L13" s="67" t="s">
        <v>30</v>
      </c>
      <c r="M13" s="67" t="s">
        <v>31</v>
      </c>
    </row>
    <row r="14" spans="1:13" x14ac:dyDescent="0.2">
      <c r="B14" s="9" t="s">
        <v>36</v>
      </c>
      <c r="C14" s="13" t="s">
        <v>92</v>
      </c>
      <c r="D14" s="13"/>
      <c r="E14" s="13"/>
      <c r="F14" s="14"/>
      <c r="G14" s="15">
        <f>'B - 05-31-20'!G37</f>
        <v>-128156.63</v>
      </c>
      <c r="I14" s="68">
        <v>44378</v>
      </c>
      <c r="J14" s="69">
        <f>12232+86945</f>
        <v>99177</v>
      </c>
      <c r="K14" s="70">
        <v>99177</v>
      </c>
      <c r="L14" s="71">
        <f>J14-K14</f>
        <v>0</v>
      </c>
      <c r="M14" s="72">
        <f>L14</f>
        <v>0</v>
      </c>
    </row>
    <row r="15" spans="1:13" x14ac:dyDescent="0.2">
      <c r="B15" s="9" t="s">
        <v>38</v>
      </c>
      <c r="C15" s="13" t="s">
        <v>96</v>
      </c>
      <c r="D15" s="13"/>
      <c r="E15" s="13"/>
      <c r="F15" s="16"/>
      <c r="G15" s="17">
        <f>'C - 11-30-20'!G37</f>
        <v>434913.71</v>
      </c>
      <c r="I15" s="73">
        <v>44409</v>
      </c>
      <c r="J15" s="69">
        <f>11440+88882</f>
        <v>100322</v>
      </c>
      <c r="K15" s="70">
        <v>100322</v>
      </c>
      <c r="L15" s="72">
        <f>J15-K15</f>
        <v>0</v>
      </c>
      <c r="M15" s="72">
        <f>M14+L15</f>
        <v>0</v>
      </c>
    </row>
    <row r="16" spans="1:13" x14ac:dyDescent="0.2">
      <c r="B16" s="9" t="s">
        <v>40</v>
      </c>
      <c r="C16" s="13" t="s">
        <v>104</v>
      </c>
      <c r="D16" s="13"/>
      <c r="E16" s="13"/>
      <c r="F16" s="16"/>
      <c r="G16" s="17">
        <f>'D - 05-31-21'!G37</f>
        <v>199754.07000000007</v>
      </c>
      <c r="I16" s="73">
        <v>44440</v>
      </c>
      <c r="J16" s="69">
        <f>10240+73490</f>
        <v>83730</v>
      </c>
      <c r="K16" s="69">
        <v>83730</v>
      </c>
      <c r="L16" s="72">
        <f t="shared" ref="L16:L19" si="0">J16-K16</f>
        <v>0</v>
      </c>
      <c r="M16" s="72">
        <f t="shared" ref="M16:M19" si="1">M15+L16</f>
        <v>0</v>
      </c>
    </row>
    <row r="17" spans="2:13" x14ac:dyDescent="0.2">
      <c r="B17" s="10" t="s">
        <v>100</v>
      </c>
      <c r="C17" s="13" t="s">
        <v>41</v>
      </c>
      <c r="D17" s="13"/>
      <c r="E17" s="13"/>
      <c r="F17" s="16"/>
      <c r="G17" s="18">
        <f>G13+G14+G15+G16</f>
        <v>520582.41000000015</v>
      </c>
      <c r="I17" s="73">
        <v>44470</v>
      </c>
      <c r="J17" s="69">
        <f>9598+74997</f>
        <v>84595</v>
      </c>
      <c r="K17" s="69">
        <v>84595</v>
      </c>
      <c r="L17" s="72">
        <f t="shared" si="0"/>
        <v>0</v>
      </c>
      <c r="M17" s="72">
        <f t="shared" si="1"/>
        <v>0</v>
      </c>
    </row>
    <row r="18" spans="2:13" x14ac:dyDescent="0.2">
      <c r="B18" s="9">
        <v>2</v>
      </c>
      <c r="C18" s="19">
        <v>44378</v>
      </c>
      <c r="D18" s="17">
        <f>739221-0</f>
        <v>739221</v>
      </c>
      <c r="E18" s="56">
        <v>738663.14</v>
      </c>
      <c r="F18" s="20">
        <f t="shared" ref="F18:F25" si="2">D18-E18</f>
        <v>557.85999999998603</v>
      </c>
      <c r="G18" s="18">
        <f t="shared" ref="G18:G25" si="3">G17+F18</f>
        <v>521140.27000000014</v>
      </c>
      <c r="I18" s="73">
        <v>44501</v>
      </c>
      <c r="J18" s="69">
        <f>13816+104286</f>
        <v>118102</v>
      </c>
      <c r="K18" s="74">
        <v>118102</v>
      </c>
      <c r="L18" s="72">
        <f t="shared" si="0"/>
        <v>0</v>
      </c>
      <c r="M18" s="72">
        <f t="shared" si="1"/>
        <v>0</v>
      </c>
    </row>
    <row r="19" spans="2:13" x14ac:dyDescent="0.2">
      <c r="B19" s="9">
        <v>3</v>
      </c>
      <c r="C19" s="21">
        <v>44409</v>
      </c>
      <c r="D19" s="53">
        <f>699454-163</f>
        <v>699291</v>
      </c>
      <c r="E19" s="57">
        <v>669607.5</v>
      </c>
      <c r="F19" s="22">
        <f t="shared" si="2"/>
        <v>29683.5</v>
      </c>
      <c r="G19" s="23">
        <f t="shared" si="3"/>
        <v>550823.77000000014</v>
      </c>
      <c r="I19" s="75">
        <v>44531</v>
      </c>
      <c r="J19" s="74">
        <f>14357+110617</f>
        <v>124974</v>
      </c>
      <c r="K19" s="76">
        <v>124974</v>
      </c>
      <c r="L19" s="77">
        <f t="shared" si="0"/>
        <v>0</v>
      </c>
      <c r="M19" s="77">
        <f t="shared" si="1"/>
        <v>0</v>
      </c>
    </row>
    <row r="20" spans="2:13" x14ac:dyDescent="0.2">
      <c r="B20" s="9">
        <v>4</v>
      </c>
      <c r="C20" s="21">
        <v>44440</v>
      </c>
      <c r="D20" s="53">
        <f>506533-144</f>
        <v>506389</v>
      </c>
      <c r="E20" s="57">
        <v>498123</v>
      </c>
      <c r="F20" s="22">
        <f t="shared" si="2"/>
        <v>8266</v>
      </c>
      <c r="G20" s="23">
        <f t="shared" si="3"/>
        <v>559089.77000000014</v>
      </c>
      <c r="I20" s="73">
        <v>44562</v>
      </c>
      <c r="J20" s="78">
        <f>8560+67902</f>
        <v>76462</v>
      </c>
      <c r="K20" s="78">
        <v>76462</v>
      </c>
      <c r="L20" s="72">
        <f>J20-K20</f>
        <v>0</v>
      </c>
      <c r="M20" s="72">
        <f>M19+L20</f>
        <v>0</v>
      </c>
    </row>
    <row r="21" spans="2:13" x14ac:dyDescent="0.2">
      <c r="B21" s="9">
        <v>5</v>
      </c>
      <c r="C21" s="21">
        <v>44470</v>
      </c>
      <c r="D21" s="53">
        <f>462494-130</f>
        <v>462364</v>
      </c>
      <c r="E21" s="57">
        <v>476340.66</v>
      </c>
      <c r="F21" s="22">
        <f t="shared" si="2"/>
        <v>-13976.659999999974</v>
      </c>
      <c r="G21" s="23">
        <f t="shared" si="3"/>
        <v>545113.1100000001</v>
      </c>
      <c r="I21" s="75">
        <v>44593</v>
      </c>
      <c r="J21" s="76">
        <f>8017+63732</f>
        <v>71749</v>
      </c>
      <c r="K21" s="85">
        <v>71749</v>
      </c>
      <c r="L21" s="77">
        <f>J21-K21</f>
        <v>0</v>
      </c>
      <c r="M21" s="77">
        <f>M20+L21</f>
        <v>0</v>
      </c>
    </row>
    <row r="22" spans="2:13" x14ac:dyDescent="0.2">
      <c r="B22" s="9">
        <v>6</v>
      </c>
      <c r="C22" s="21">
        <v>44501</v>
      </c>
      <c r="D22" s="53">
        <f>847470-155</f>
        <v>847315</v>
      </c>
      <c r="E22" s="57">
        <v>698907.59</v>
      </c>
      <c r="F22" s="22">
        <f t="shared" si="2"/>
        <v>148407.41000000003</v>
      </c>
      <c r="G22" s="23">
        <f t="shared" si="3"/>
        <v>693520.52000000014</v>
      </c>
      <c r="I22" s="79"/>
      <c r="J22" s="79"/>
      <c r="K22" s="79"/>
      <c r="L22" s="79"/>
      <c r="M22" s="79"/>
    </row>
    <row r="23" spans="2:13" x14ac:dyDescent="0.2">
      <c r="B23" s="9">
        <v>7</v>
      </c>
      <c r="C23" s="21">
        <v>44531</v>
      </c>
      <c r="D23" s="53">
        <f>865479-158</f>
        <v>865321</v>
      </c>
      <c r="E23" s="57">
        <v>813850.28999999992</v>
      </c>
      <c r="F23" s="24">
        <f t="shared" si="2"/>
        <v>51470.710000000079</v>
      </c>
      <c r="G23" s="25">
        <f t="shared" si="3"/>
        <v>744991.23000000021</v>
      </c>
      <c r="I23" s="80" t="s">
        <v>84</v>
      </c>
      <c r="J23" s="81"/>
      <c r="K23" s="81"/>
      <c r="L23" s="82"/>
      <c r="M23" s="83">
        <f>M19</f>
        <v>0</v>
      </c>
    </row>
    <row r="24" spans="2:13" x14ac:dyDescent="0.2">
      <c r="B24" s="26" t="s">
        <v>42</v>
      </c>
      <c r="C24" s="19">
        <v>44562</v>
      </c>
      <c r="D24" s="17">
        <f>736157-110</f>
        <v>736047</v>
      </c>
      <c r="E24" s="56">
        <v>678900.63</v>
      </c>
      <c r="F24" s="20">
        <f t="shared" si="2"/>
        <v>57146.369999999995</v>
      </c>
      <c r="G24" s="18">
        <f t="shared" si="3"/>
        <v>802137.60000000021</v>
      </c>
      <c r="I24" s="79"/>
      <c r="J24" s="79"/>
      <c r="K24" s="79"/>
      <c r="L24" s="79"/>
      <c r="M24" s="84"/>
    </row>
    <row r="25" spans="2:13" x14ac:dyDescent="0.2">
      <c r="B25" s="27" t="s">
        <v>43</v>
      </c>
      <c r="C25" s="28">
        <v>44593</v>
      </c>
      <c r="D25" s="54">
        <f>606993-111</f>
        <v>606882</v>
      </c>
      <c r="E25" s="58">
        <v>560114.14999999991</v>
      </c>
      <c r="F25" s="24">
        <f t="shared" si="2"/>
        <v>46767.850000000093</v>
      </c>
      <c r="G25" s="25">
        <f t="shared" si="3"/>
        <v>848905.4500000003</v>
      </c>
      <c r="I25" s="80" t="s">
        <v>85</v>
      </c>
      <c r="J25" s="81"/>
      <c r="K25" s="81"/>
      <c r="L25" s="82"/>
      <c r="M25" s="83">
        <f>M23/6</f>
        <v>0</v>
      </c>
    </row>
    <row r="26" spans="2:13" x14ac:dyDescent="0.2">
      <c r="B26" s="10"/>
      <c r="C26" s="29" t="s">
        <v>101</v>
      </c>
      <c r="D26" s="30"/>
      <c r="E26" s="30"/>
      <c r="F26" s="30"/>
      <c r="G26" s="31"/>
    </row>
    <row r="27" spans="2:13" x14ac:dyDescent="0.2">
      <c r="B27" s="7"/>
      <c r="C27" s="6"/>
      <c r="D27" s="6"/>
      <c r="E27" s="6"/>
      <c r="F27" s="6"/>
      <c r="G27" s="18"/>
    </row>
    <row r="28" spans="2:13" x14ac:dyDescent="0.2">
      <c r="B28" s="9"/>
      <c r="C28" s="8"/>
      <c r="D28" s="9" t="s">
        <v>45</v>
      </c>
      <c r="E28" s="9" t="s">
        <v>46</v>
      </c>
      <c r="F28" s="8"/>
      <c r="G28" s="23"/>
    </row>
    <row r="29" spans="2:13" x14ac:dyDescent="0.2">
      <c r="B29" s="9">
        <v>8</v>
      </c>
      <c r="C29" s="8"/>
      <c r="D29" s="9" t="s">
        <v>47</v>
      </c>
      <c r="E29" s="9" t="s">
        <v>48</v>
      </c>
      <c r="F29" s="8"/>
      <c r="G29" s="32" t="s">
        <v>45</v>
      </c>
    </row>
    <row r="30" spans="2:13" x14ac:dyDescent="0.2">
      <c r="B30" s="9"/>
      <c r="C30" s="8"/>
      <c r="D30" s="9" t="s">
        <v>49</v>
      </c>
      <c r="E30" s="9" t="s">
        <v>50</v>
      </c>
      <c r="F30" s="8"/>
      <c r="G30" s="32" t="s">
        <v>51</v>
      </c>
    </row>
    <row r="31" spans="2:13" x14ac:dyDescent="0.2">
      <c r="B31" s="9"/>
      <c r="C31" s="8"/>
      <c r="D31" s="9" t="s">
        <v>52</v>
      </c>
      <c r="E31" s="9" t="s">
        <v>53</v>
      </c>
      <c r="F31" s="8"/>
      <c r="G31" s="32" t="s">
        <v>54</v>
      </c>
    </row>
    <row r="32" spans="2:13" x14ac:dyDescent="0.2">
      <c r="B32" s="10"/>
      <c r="C32" s="8"/>
      <c r="D32" s="9" t="s">
        <v>55</v>
      </c>
      <c r="E32" s="9" t="s">
        <v>56</v>
      </c>
      <c r="F32" s="8"/>
      <c r="G32" s="32" t="s">
        <v>57</v>
      </c>
    </row>
    <row r="33" spans="2:7" x14ac:dyDescent="0.2">
      <c r="B33" s="26" t="s">
        <v>58</v>
      </c>
      <c r="C33" s="6" t="s">
        <v>88</v>
      </c>
      <c r="D33" s="18">
        <f>-G13</f>
        <v>-14071.260000000068</v>
      </c>
      <c r="E33" s="18">
        <f>D66</f>
        <v>0</v>
      </c>
      <c r="F33" s="6"/>
      <c r="G33" s="18">
        <f>D33+E33</f>
        <v>-14071.260000000068</v>
      </c>
    </row>
    <row r="34" spans="2:7" x14ac:dyDescent="0.2">
      <c r="B34" s="33" t="s">
        <v>60</v>
      </c>
      <c r="C34" s="8" t="s">
        <v>93</v>
      </c>
      <c r="D34" s="23">
        <f>-G14</f>
        <v>128156.63</v>
      </c>
      <c r="E34" s="23">
        <f>E66</f>
        <v>0</v>
      </c>
      <c r="F34" s="8"/>
      <c r="G34" s="23">
        <f>D34+E34</f>
        <v>128156.63</v>
      </c>
    </row>
    <row r="35" spans="2:7" x14ac:dyDescent="0.2">
      <c r="B35" s="33" t="s">
        <v>62</v>
      </c>
      <c r="C35" s="8" t="s">
        <v>98</v>
      </c>
      <c r="D35" s="23">
        <f>-G15</f>
        <v>-434913.71</v>
      </c>
      <c r="E35" s="23">
        <f>F66</f>
        <v>0</v>
      </c>
      <c r="F35" s="8"/>
      <c r="G35" s="23">
        <f>D35+E35</f>
        <v>-434913.71</v>
      </c>
    </row>
    <row r="36" spans="2:7" x14ac:dyDescent="0.2">
      <c r="B36" s="33" t="s">
        <v>64</v>
      </c>
      <c r="C36" s="8" t="s">
        <v>105</v>
      </c>
      <c r="D36" s="23">
        <f>-G16</f>
        <v>-199754.07000000007</v>
      </c>
      <c r="E36" s="23">
        <f>G66</f>
        <v>0</v>
      </c>
      <c r="F36" s="34"/>
      <c r="G36" s="23">
        <f>D36+E36</f>
        <v>-199754.07000000007</v>
      </c>
    </row>
    <row r="37" spans="2:7" x14ac:dyDescent="0.2">
      <c r="B37" s="10" t="s">
        <v>102</v>
      </c>
      <c r="C37" s="35"/>
      <c r="D37" s="36"/>
      <c r="E37" s="36"/>
      <c r="F37" s="37" t="s">
        <v>65</v>
      </c>
      <c r="G37" s="38">
        <f>G33+G34+G35+G36</f>
        <v>-520582.41000000015</v>
      </c>
    </row>
    <row r="38" spans="2:7" x14ac:dyDescent="0.2">
      <c r="B38" s="39"/>
      <c r="G38" s="40"/>
    </row>
    <row r="39" spans="2:7" x14ac:dyDescent="0.2">
      <c r="B39" s="11">
        <v>9</v>
      </c>
      <c r="C39" s="41" t="s">
        <v>103</v>
      </c>
      <c r="D39" s="13"/>
      <c r="E39" s="13"/>
      <c r="F39" s="14"/>
      <c r="G39" s="38">
        <f>G23+G37</f>
        <v>224408.82000000007</v>
      </c>
    </row>
    <row r="40" spans="2:7" x14ac:dyDescent="0.2">
      <c r="B40" s="39"/>
      <c r="G40" s="40"/>
    </row>
    <row r="41" spans="2:7" x14ac:dyDescent="0.2">
      <c r="B41" s="11">
        <v>10</v>
      </c>
      <c r="C41" s="41" t="s">
        <v>80</v>
      </c>
      <c r="D41" s="13"/>
      <c r="E41" s="13"/>
      <c r="F41" s="14"/>
      <c r="G41" s="38">
        <f>G39/6</f>
        <v>37401.470000000008</v>
      </c>
    </row>
    <row r="43" spans="2:7" x14ac:dyDescent="0.2">
      <c r="B43" s="6"/>
      <c r="C43" s="42" t="s">
        <v>67</v>
      </c>
      <c r="D43" s="43"/>
      <c r="E43" s="43"/>
      <c r="F43" s="43"/>
      <c r="G43" s="44"/>
    </row>
    <row r="44" spans="2:7" x14ac:dyDescent="0.2">
      <c r="B44" s="6"/>
      <c r="C44" s="45"/>
      <c r="D44" s="45"/>
      <c r="E44" s="45"/>
      <c r="F44" s="45"/>
      <c r="G44" s="16"/>
    </row>
    <row r="45" spans="2:7" x14ac:dyDescent="0.2">
      <c r="B45" s="9">
        <v>11</v>
      </c>
      <c r="C45" s="46" t="s">
        <v>68</v>
      </c>
      <c r="D45" s="46"/>
      <c r="E45" s="46"/>
      <c r="F45" s="46"/>
      <c r="G45" s="47">
        <f>G17</f>
        <v>520582.41000000015</v>
      </c>
    </row>
    <row r="46" spans="2:7" x14ac:dyDescent="0.2">
      <c r="B46" s="9">
        <v>12</v>
      </c>
      <c r="C46" s="46" t="s">
        <v>69</v>
      </c>
      <c r="D46" s="46"/>
      <c r="E46" s="46"/>
      <c r="F46" s="46"/>
      <c r="G46" s="48">
        <f>G37</f>
        <v>-520582.41000000015</v>
      </c>
    </row>
    <row r="47" spans="2:7" x14ac:dyDescent="0.2">
      <c r="B47" s="9"/>
      <c r="C47" s="46"/>
      <c r="D47" s="46"/>
      <c r="E47" s="46"/>
      <c r="F47" s="46"/>
      <c r="G47" s="47"/>
    </row>
    <row r="48" spans="2:7" ht="15" thickBot="1" x14ac:dyDescent="0.25">
      <c r="B48" s="9">
        <v>13</v>
      </c>
      <c r="C48" s="46" t="s">
        <v>70</v>
      </c>
      <c r="D48" s="46"/>
      <c r="E48" s="46"/>
      <c r="F48" s="46"/>
      <c r="G48" s="49">
        <f>G45+G46</f>
        <v>0</v>
      </c>
    </row>
    <row r="49" spans="2:7" ht="15" thickTop="1" x14ac:dyDescent="0.2">
      <c r="B49" s="9"/>
      <c r="C49" s="46"/>
      <c r="D49" s="46"/>
      <c r="E49" s="46"/>
      <c r="F49" s="46"/>
      <c r="G49" s="47"/>
    </row>
    <row r="50" spans="2:7" x14ac:dyDescent="0.2">
      <c r="B50" s="9">
        <v>14</v>
      </c>
      <c r="C50" s="46" t="s">
        <v>71</v>
      </c>
      <c r="D50" s="46"/>
      <c r="E50" s="46"/>
      <c r="F50" s="46"/>
      <c r="G50" s="47">
        <f>G39</f>
        <v>224408.82000000007</v>
      </c>
    </row>
    <row r="51" spans="2:7" x14ac:dyDescent="0.2">
      <c r="B51" s="9"/>
      <c r="C51" s="46"/>
      <c r="D51" s="46"/>
      <c r="E51" s="46"/>
      <c r="F51" s="46"/>
      <c r="G51" s="47"/>
    </row>
    <row r="52" spans="2:7" x14ac:dyDescent="0.2">
      <c r="B52" s="9">
        <v>15</v>
      </c>
      <c r="C52" s="46" t="s">
        <v>72</v>
      </c>
      <c r="D52" s="46"/>
      <c r="E52" s="46"/>
      <c r="F52" s="46"/>
      <c r="G52" s="48">
        <f>SUM(F18:F23)</f>
        <v>224408.82000000012</v>
      </c>
    </row>
    <row r="53" spans="2:7" x14ac:dyDescent="0.2">
      <c r="B53" s="9"/>
      <c r="C53" s="46"/>
      <c r="D53" s="46"/>
      <c r="E53" s="46"/>
      <c r="F53" s="46"/>
      <c r="G53" s="47"/>
    </row>
    <row r="54" spans="2:7" ht="15" thickBot="1" x14ac:dyDescent="0.25">
      <c r="B54" s="9">
        <v>16</v>
      </c>
      <c r="C54" s="46" t="s">
        <v>73</v>
      </c>
      <c r="D54" s="46"/>
      <c r="E54" s="46"/>
      <c r="F54" s="46"/>
      <c r="G54" s="49">
        <f>G50-G52</f>
        <v>0</v>
      </c>
    </row>
    <row r="55" spans="2:7" ht="15" thickTop="1" x14ac:dyDescent="0.2">
      <c r="B55" s="50"/>
      <c r="C55" s="51"/>
      <c r="D55" s="51"/>
      <c r="E55" s="51"/>
      <c r="F55" s="51"/>
      <c r="G55" s="52"/>
    </row>
    <row r="57" spans="2:7" x14ac:dyDescent="0.2">
      <c r="B57" t="s">
        <v>74</v>
      </c>
    </row>
    <row r="58" spans="2:7" x14ac:dyDescent="0.2">
      <c r="B58" s="39"/>
      <c r="C58" s="6"/>
      <c r="D58" s="7" t="s">
        <v>89</v>
      </c>
      <c r="E58" s="7" t="s">
        <v>89</v>
      </c>
      <c r="F58" s="7" t="s">
        <v>89</v>
      </c>
      <c r="G58" s="7" t="s">
        <v>89</v>
      </c>
    </row>
    <row r="59" spans="2:7" x14ac:dyDescent="0.2">
      <c r="B59" s="39"/>
      <c r="C59" s="10" t="s">
        <v>28</v>
      </c>
      <c r="D59" s="10" t="s">
        <v>90</v>
      </c>
      <c r="E59" s="10" t="s">
        <v>94</v>
      </c>
      <c r="F59" s="10" t="s">
        <v>99</v>
      </c>
      <c r="G59" s="10" t="s">
        <v>106</v>
      </c>
    </row>
    <row r="60" spans="2:7" x14ac:dyDescent="0.2">
      <c r="C60" s="19">
        <v>44378</v>
      </c>
      <c r="D60" s="17">
        <v>0</v>
      </c>
      <c r="E60" s="17">
        <v>0</v>
      </c>
      <c r="F60" s="17">
        <v>0</v>
      </c>
      <c r="G60" s="17">
        <v>0</v>
      </c>
    </row>
    <row r="61" spans="2:7" x14ac:dyDescent="0.2">
      <c r="C61" s="21">
        <v>44409</v>
      </c>
      <c r="D61" s="53">
        <v>0</v>
      </c>
      <c r="E61" s="53">
        <v>0</v>
      </c>
      <c r="F61" s="53">
        <v>0</v>
      </c>
      <c r="G61" s="53">
        <v>0</v>
      </c>
    </row>
    <row r="62" spans="2:7" x14ac:dyDescent="0.2">
      <c r="C62" s="21">
        <v>44440</v>
      </c>
      <c r="D62" s="53">
        <v>0</v>
      </c>
      <c r="E62" s="53">
        <v>0</v>
      </c>
      <c r="F62" s="53">
        <v>0</v>
      </c>
      <c r="G62" s="53">
        <v>0</v>
      </c>
    </row>
    <row r="63" spans="2:7" x14ac:dyDescent="0.2">
      <c r="C63" s="21">
        <v>44470</v>
      </c>
      <c r="D63" s="53">
        <v>0</v>
      </c>
      <c r="E63" s="53">
        <v>0</v>
      </c>
      <c r="F63" s="53">
        <v>0</v>
      </c>
      <c r="G63" s="53">
        <v>0</v>
      </c>
    </row>
    <row r="64" spans="2:7" x14ac:dyDescent="0.2">
      <c r="C64" s="21">
        <v>44501</v>
      </c>
      <c r="D64" s="53">
        <v>0</v>
      </c>
      <c r="E64" s="53">
        <v>0</v>
      </c>
      <c r="F64" s="53">
        <v>0</v>
      </c>
      <c r="G64" s="53">
        <v>0</v>
      </c>
    </row>
    <row r="65" spans="3:7" x14ac:dyDescent="0.2">
      <c r="C65" s="21">
        <v>44531</v>
      </c>
      <c r="D65" s="54">
        <v>0</v>
      </c>
      <c r="E65" s="54">
        <v>0</v>
      </c>
      <c r="F65" s="54">
        <v>0</v>
      </c>
      <c r="G65" s="54">
        <v>0</v>
      </c>
    </row>
    <row r="66" spans="3:7" x14ac:dyDescent="0.2">
      <c r="C66" s="55" t="s">
        <v>79</v>
      </c>
      <c r="D66" s="38">
        <f>SUM(D60:D65)</f>
        <v>0</v>
      </c>
      <c r="E66" s="38">
        <f>SUM(E60:E65)</f>
        <v>0</v>
      </c>
      <c r="F66" s="38">
        <f>SUM(F60:F65)</f>
        <v>0</v>
      </c>
      <c r="G66" s="38">
        <f>SUM(G60:G65)</f>
        <v>0</v>
      </c>
    </row>
  </sheetData>
  <mergeCells count="3">
    <mergeCell ref="B4:G5"/>
    <mergeCell ref="C12:G12"/>
    <mergeCell ref="I4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A - 11-30-19</vt:lpstr>
      <vt:lpstr>B - 05-31-20</vt:lpstr>
      <vt:lpstr>C - 11-30-20</vt:lpstr>
      <vt:lpstr>D - 05-31-21</vt:lpstr>
      <vt:lpstr>E - 11-30-21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Scott</dc:creator>
  <cp:lastModifiedBy>Isaac Scott</cp:lastModifiedBy>
  <dcterms:created xsi:type="dcterms:W3CDTF">2022-06-13T11:58:16Z</dcterms:created>
  <dcterms:modified xsi:type="dcterms:W3CDTF">2022-06-15T13:37:17Z</dcterms:modified>
</cp:coreProperties>
</file>