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20783bd5d64abe/Southern Madison WD/"/>
    </mc:Choice>
  </mc:AlternateContent>
  <xr:revisionPtr revIDLastSave="1389" documentId="8_{863D500F-1745-45D4-B7AC-493A69404DB9}" xr6:coauthVersionLast="47" xr6:coauthVersionMax="47" xr10:uidLastSave="{2A7AE7A7-E73C-44D7-B9FF-E244ECA76DD0}"/>
  <bookViews>
    <workbookView xWindow="-98" yWindow="-98" windowWidth="20715" windowHeight="13155" firstSheet="2" activeTab="10" xr2:uid="{00000000-000D-0000-FFFF-FFFF00000000}"/>
  </bookViews>
  <sheets>
    <sheet name="SAO" sheetId="6" r:id="rId1"/>
    <sheet name="Wages" sheetId="55" r:id="rId2"/>
    <sheet name="Medical" sheetId="40" r:id="rId3"/>
    <sheet name="Depreciation" sheetId="51" r:id="rId4"/>
    <sheet name="Debt Service" sheetId="50" r:id="rId5"/>
    <sheet name="Capital" sheetId="56" r:id="rId6"/>
    <sheet name="Water Loss" sheetId="54" r:id="rId7"/>
    <sheet name="Rates" sheetId="2" r:id="rId8"/>
    <sheet name="Bills" sheetId="42" r:id="rId9"/>
    <sheet name="Bills w Surcharge" sheetId="57" r:id="rId10"/>
    <sheet name="ExBA" sheetId="52" r:id="rId11"/>
    <sheet name="PrBA" sheetId="53" r:id="rId12"/>
  </sheets>
  <externalReferences>
    <externalReference r:id="rId13"/>
  </externalReferences>
  <definedNames>
    <definedName name="AHV">#REF!</definedName>
    <definedName name="_xlnm.Print_Area" localSheetId="8">Bills!$B$1:$I$27</definedName>
    <definedName name="_xlnm.Print_Area" localSheetId="3">Depreciation!$A$1:$L$47</definedName>
    <definedName name="_xlnm.Print_Area" localSheetId="10">ExBA!$B$1:$M$34</definedName>
    <definedName name="_xlnm.Print_Area" localSheetId="11">PrBA!$B$1:$M$34</definedName>
    <definedName name="_xlnm.Print_Area" localSheetId="7">Rates!$A$1:$K$21</definedName>
    <definedName name="_xlnm.Print_Area" localSheetId="0">SAO!$A$1:$G$58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6" l="1"/>
  <c r="G64" i="6"/>
  <c r="E25" i="57" l="1"/>
  <c r="E24" i="57"/>
  <c r="E23" i="57"/>
  <c r="E22" i="57"/>
  <c r="E21" i="57"/>
  <c r="E20" i="57"/>
  <c r="E19" i="57"/>
  <c r="E18" i="57"/>
  <c r="E17" i="57"/>
  <c r="E16" i="57"/>
  <c r="E15" i="57"/>
  <c r="E14" i="57"/>
  <c r="E13" i="57"/>
  <c r="E12" i="57"/>
  <c r="E11" i="57"/>
  <c r="E10" i="57"/>
  <c r="E24" i="42"/>
  <c r="E23" i="42"/>
  <c r="E22" i="42"/>
  <c r="E21" i="42"/>
  <c r="E20" i="42"/>
  <c r="E19" i="42"/>
  <c r="E18" i="42"/>
  <c r="E17" i="42"/>
  <c r="E15" i="42"/>
  <c r="E13" i="42"/>
  <c r="E12" i="42"/>
  <c r="E11" i="42"/>
  <c r="E10" i="42"/>
  <c r="E9" i="42"/>
  <c r="I12" i="40"/>
  <c r="I11" i="40"/>
  <c r="I10" i="40"/>
  <c r="I9" i="40"/>
  <c r="I8" i="40"/>
  <c r="I7" i="40"/>
  <c r="I6" i="40"/>
  <c r="G24" i="40"/>
  <c r="G23" i="40"/>
  <c r="G22" i="40"/>
  <c r="G21" i="40"/>
  <c r="G20" i="40"/>
  <c r="G19" i="40"/>
  <c r="G18" i="40"/>
  <c r="G12" i="40"/>
  <c r="G11" i="40"/>
  <c r="G10" i="40"/>
  <c r="G9" i="40"/>
  <c r="G8" i="40"/>
  <c r="G7" i="40"/>
  <c r="G6" i="40"/>
  <c r="E16" i="42" l="1"/>
  <c r="E14" i="42"/>
  <c r="H17" i="2"/>
  <c r="E22" i="6"/>
  <c r="H49" i="55"/>
  <c r="F51" i="51"/>
  <c r="J24" i="40"/>
  <c r="J22" i="40"/>
  <c r="D25" i="40"/>
  <c r="C25" i="40"/>
  <c r="I24" i="40"/>
  <c r="E24" i="40"/>
  <c r="F24" i="40" s="1"/>
  <c r="I23" i="40"/>
  <c r="E23" i="40"/>
  <c r="F23" i="40" s="1"/>
  <c r="I22" i="40"/>
  <c r="E22" i="40"/>
  <c r="F22" i="40" s="1"/>
  <c r="I21" i="40"/>
  <c r="E21" i="40"/>
  <c r="F21" i="40" s="1"/>
  <c r="I20" i="40"/>
  <c r="I19" i="40"/>
  <c r="E19" i="40"/>
  <c r="F19" i="40" s="1"/>
  <c r="I18" i="40"/>
  <c r="E12" i="40"/>
  <c r="F12" i="40" s="1"/>
  <c r="E11" i="40"/>
  <c r="F11" i="40" s="1"/>
  <c r="E10" i="40"/>
  <c r="F10" i="40" s="1"/>
  <c r="E9" i="40"/>
  <c r="F9" i="40" s="1"/>
  <c r="E8" i="40"/>
  <c r="F8" i="40" s="1"/>
  <c r="E7" i="40"/>
  <c r="F7" i="40" s="1"/>
  <c r="E6" i="40"/>
  <c r="F6" i="40" s="1"/>
  <c r="E21" i="53"/>
  <c r="D21" i="53"/>
  <c r="H21" i="53" s="1"/>
  <c r="E20" i="53"/>
  <c r="D20" i="53"/>
  <c r="E19" i="53"/>
  <c r="D19" i="53"/>
  <c r="I19" i="53" s="1"/>
  <c r="E18" i="53"/>
  <c r="D18" i="53"/>
  <c r="E17" i="53"/>
  <c r="E22" i="53" s="1"/>
  <c r="D17" i="53"/>
  <c r="F17" i="53" s="1"/>
  <c r="E16" i="53"/>
  <c r="D16" i="53"/>
  <c r="E15" i="53"/>
  <c r="D15" i="53"/>
  <c r="I21" i="53"/>
  <c r="J20" i="53"/>
  <c r="I20" i="53"/>
  <c r="H20" i="53"/>
  <c r="G20" i="53"/>
  <c r="F20" i="53"/>
  <c r="F19" i="53"/>
  <c r="H18" i="53"/>
  <c r="G18" i="53"/>
  <c r="F18" i="53"/>
  <c r="G17" i="53"/>
  <c r="F16" i="53"/>
  <c r="F15" i="53"/>
  <c r="M15" i="53" s="1"/>
  <c r="L14" i="53"/>
  <c r="K14" i="53"/>
  <c r="J14" i="53"/>
  <c r="I14" i="53"/>
  <c r="H14" i="53"/>
  <c r="G14" i="53"/>
  <c r="F14" i="53"/>
  <c r="L13" i="53"/>
  <c r="K13" i="53"/>
  <c r="J13" i="53"/>
  <c r="I13" i="53"/>
  <c r="H13" i="53"/>
  <c r="G13" i="53"/>
  <c r="F13" i="53"/>
  <c r="F15" i="52"/>
  <c r="M15" i="52" s="1"/>
  <c r="K21" i="52"/>
  <c r="J20" i="52"/>
  <c r="H19" i="52"/>
  <c r="G19" i="52"/>
  <c r="H18" i="52"/>
  <c r="F17" i="52"/>
  <c r="F16" i="52"/>
  <c r="E27" i="6"/>
  <c r="E19" i="6"/>
  <c r="H7" i="52"/>
  <c r="F33" i="52"/>
  <c r="F32" i="52"/>
  <c r="F31" i="52"/>
  <c r="F30" i="52"/>
  <c r="F29" i="52"/>
  <c r="F28" i="52"/>
  <c r="F27" i="52"/>
  <c r="L14" i="52"/>
  <c r="K14" i="52"/>
  <c r="J14" i="52"/>
  <c r="I14" i="52"/>
  <c r="H14" i="52"/>
  <c r="G14" i="52"/>
  <c r="F14" i="52"/>
  <c r="L13" i="52"/>
  <c r="K13" i="52"/>
  <c r="J13" i="52"/>
  <c r="I13" i="52"/>
  <c r="H13" i="52"/>
  <c r="G13" i="52"/>
  <c r="F13" i="52"/>
  <c r="H43" i="55"/>
  <c r="H42" i="55"/>
  <c r="H29" i="55"/>
  <c r="C8" i="55"/>
  <c r="F8" i="55" s="1"/>
  <c r="C14" i="55"/>
  <c r="F14" i="55" s="1"/>
  <c r="C13" i="55"/>
  <c r="F13" i="55" s="1"/>
  <c r="C12" i="55"/>
  <c r="F12" i="55" s="1"/>
  <c r="G14" i="55"/>
  <c r="G13" i="55"/>
  <c r="G12" i="55"/>
  <c r="F11" i="55"/>
  <c r="G11" i="55"/>
  <c r="C11" i="55"/>
  <c r="C10" i="55"/>
  <c r="F10" i="55" s="1"/>
  <c r="C9" i="55"/>
  <c r="F9" i="55" s="1"/>
  <c r="G10" i="55"/>
  <c r="G9" i="55"/>
  <c r="G8" i="55"/>
  <c r="G7" i="55"/>
  <c r="C7" i="55"/>
  <c r="F7" i="55" s="1"/>
  <c r="G6" i="55"/>
  <c r="F6" i="55"/>
  <c r="C5" i="55"/>
  <c r="H19" i="2"/>
  <c r="I19" i="2" s="1"/>
  <c r="D34" i="6"/>
  <c r="G30" i="6"/>
  <c r="G12" i="6"/>
  <c r="G8" i="6"/>
  <c r="B31" i="54"/>
  <c r="B30" i="54"/>
  <c r="B29" i="54"/>
  <c r="H44" i="55" l="1"/>
  <c r="E20" i="6" s="1"/>
  <c r="J7" i="40"/>
  <c r="J10" i="40"/>
  <c r="J19" i="40"/>
  <c r="J8" i="40"/>
  <c r="J20" i="40"/>
  <c r="J9" i="40"/>
  <c r="J21" i="40"/>
  <c r="J11" i="40"/>
  <c r="J23" i="40"/>
  <c r="J18" i="40"/>
  <c r="I25" i="40"/>
  <c r="G25" i="40"/>
  <c r="J21" i="53"/>
  <c r="K21" i="53"/>
  <c r="G19" i="53"/>
  <c r="J19" i="53" s="1"/>
  <c r="J22" i="53" s="1"/>
  <c r="E31" i="53" s="1"/>
  <c r="F21" i="53"/>
  <c r="H19" i="53"/>
  <c r="G21" i="53"/>
  <c r="D22" i="53"/>
  <c r="D27" i="53" s="1"/>
  <c r="D34" i="53" s="1"/>
  <c r="F4" i="53" s="1"/>
  <c r="H17" i="53"/>
  <c r="M17" i="53" s="1"/>
  <c r="L21" i="53"/>
  <c r="L22" i="53" s="1"/>
  <c r="E33" i="53" s="1"/>
  <c r="I18" i="53"/>
  <c r="I22" i="53" s="1"/>
  <c r="E30" i="53" s="1"/>
  <c r="K20" i="53"/>
  <c r="F22" i="53"/>
  <c r="E27" i="53" s="1"/>
  <c r="G16" i="53"/>
  <c r="F18" i="52"/>
  <c r="I19" i="52"/>
  <c r="F20" i="52"/>
  <c r="G20" i="52"/>
  <c r="H20" i="52"/>
  <c r="I20" i="52"/>
  <c r="F19" i="52"/>
  <c r="G18" i="52"/>
  <c r="G17" i="52"/>
  <c r="H17" i="52" s="1"/>
  <c r="G16" i="52"/>
  <c r="M16" i="52" s="1"/>
  <c r="F21" i="52"/>
  <c r="G21" i="52"/>
  <c r="H21" i="52"/>
  <c r="D22" i="52"/>
  <c r="D27" i="52" s="1"/>
  <c r="D34" i="52" s="1"/>
  <c r="F4" i="52" s="1"/>
  <c r="J21" i="52"/>
  <c r="I21" i="52"/>
  <c r="E22" i="52"/>
  <c r="H11" i="55"/>
  <c r="H14" i="55"/>
  <c r="H13" i="55"/>
  <c r="H12" i="55"/>
  <c r="H7" i="55"/>
  <c r="H6" i="55"/>
  <c r="H10" i="55"/>
  <c r="H9" i="55"/>
  <c r="H8" i="55"/>
  <c r="B32" i="54"/>
  <c r="G29" i="6"/>
  <c r="G28" i="6"/>
  <c r="J25" i="40" l="1"/>
  <c r="B30" i="40" s="1"/>
  <c r="G22" i="53"/>
  <c r="E28" i="53" s="1"/>
  <c r="M16" i="53"/>
  <c r="M18" i="53"/>
  <c r="K22" i="53"/>
  <c r="E32" i="53" s="1"/>
  <c r="M21" i="53"/>
  <c r="M20" i="53"/>
  <c r="M22" i="53" s="1"/>
  <c r="H22" i="53"/>
  <c r="E29" i="53" s="1"/>
  <c r="M19" i="53"/>
  <c r="J19" i="52"/>
  <c r="M19" i="52" s="1"/>
  <c r="I18" i="52"/>
  <c r="I22" i="52" s="1"/>
  <c r="E30" i="52" s="1"/>
  <c r="G30" i="52" s="1"/>
  <c r="K20" i="52"/>
  <c r="K22" i="52" s="1"/>
  <c r="E32" i="52" s="1"/>
  <c r="G32" i="52" s="1"/>
  <c r="H22" i="52"/>
  <c r="E29" i="52" s="1"/>
  <c r="G29" i="52" s="1"/>
  <c r="M17" i="52"/>
  <c r="G22" i="52"/>
  <c r="E28" i="52" s="1"/>
  <c r="G28" i="52" s="1"/>
  <c r="D36" i="54"/>
  <c r="L21" i="52"/>
  <c r="L22" i="52" s="1"/>
  <c r="E33" i="52" s="1"/>
  <c r="G33" i="52" s="1"/>
  <c r="F22" i="52"/>
  <c r="E27" i="52" s="1"/>
  <c r="G27" i="52"/>
  <c r="A31" i="54"/>
  <c r="A30" i="54"/>
  <c r="A29" i="54"/>
  <c r="E34" i="53" l="1"/>
  <c r="G4" i="53" s="1"/>
  <c r="M18" i="52"/>
  <c r="J22" i="52"/>
  <c r="E31" i="52" s="1"/>
  <c r="G31" i="52" s="1"/>
  <c r="G34" i="52" s="1"/>
  <c r="H4" i="52" s="1"/>
  <c r="H6" i="52" s="1"/>
  <c r="M20" i="52"/>
  <c r="M21" i="52"/>
  <c r="F44" i="51"/>
  <c r="J19" i="51"/>
  <c r="J18" i="51"/>
  <c r="J42" i="51"/>
  <c r="J23" i="51"/>
  <c r="K23" i="51" s="1"/>
  <c r="J12" i="40"/>
  <c r="D13" i="40"/>
  <c r="C13" i="40"/>
  <c r="J6" i="40" l="1"/>
  <c r="H8" i="52"/>
  <c r="M22" i="52"/>
  <c r="E34" i="52"/>
  <c r="G4" i="52" s="1"/>
  <c r="K19" i="51"/>
  <c r="K18" i="51"/>
  <c r="K42" i="51"/>
  <c r="G13" i="40"/>
  <c r="C6" i="56"/>
  <c r="C5" i="56"/>
  <c r="D15" i="55"/>
  <c r="C15" i="55"/>
  <c r="H23" i="55"/>
  <c r="G5" i="55"/>
  <c r="C20" i="54"/>
  <c r="C13" i="54"/>
  <c r="C4" i="54"/>
  <c r="I13" i="40" l="1"/>
  <c r="J13" i="40" s="1"/>
  <c r="B29" i="40" s="1"/>
  <c r="B31" i="40" s="1"/>
  <c r="E21" i="6" s="1"/>
  <c r="N8" i="52"/>
  <c r="L8" i="52"/>
  <c r="E6" i="6"/>
  <c r="G6" i="6" s="1"/>
  <c r="G55" i="6"/>
  <c r="D24" i="54"/>
  <c r="D26" i="54" s="1"/>
  <c r="C21" i="54"/>
  <c r="G15" i="55"/>
  <c r="F5" i="55"/>
  <c r="D29" i="54" l="1"/>
  <c r="E24" i="6" s="1"/>
  <c r="D30" i="54"/>
  <c r="E25" i="6" s="1"/>
  <c r="D31" i="54"/>
  <c r="F15" i="55"/>
  <c r="H5" i="55"/>
  <c r="H15" i="55" l="1"/>
  <c r="D32" i="54"/>
  <c r="H44" i="51"/>
  <c r="F50" i="51" s="1"/>
  <c r="J41" i="51"/>
  <c r="K41" i="51" s="1"/>
  <c r="J38" i="51"/>
  <c r="K38" i="51" s="1"/>
  <c r="J35" i="51"/>
  <c r="K35" i="51" s="1"/>
  <c r="J34" i="51"/>
  <c r="K34" i="51" s="1"/>
  <c r="J33" i="51"/>
  <c r="K33" i="51" s="1"/>
  <c r="J32" i="51"/>
  <c r="K32" i="51" s="1"/>
  <c r="J31" i="51"/>
  <c r="K31" i="51" s="1"/>
  <c r="J30" i="51"/>
  <c r="K30" i="51" s="1"/>
  <c r="J29" i="51"/>
  <c r="K29" i="51" s="1"/>
  <c r="J28" i="51"/>
  <c r="K28" i="51" s="1"/>
  <c r="J27" i="51"/>
  <c r="K27" i="51" s="1"/>
  <c r="J24" i="51"/>
  <c r="K24" i="51" s="1"/>
  <c r="J22" i="51"/>
  <c r="K22" i="51" s="1"/>
  <c r="J15" i="51"/>
  <c r="K15" i="51" s="1"/>
  <c r="J14" i="51"/>
  <c r="K14" i="51" s="1"/>
  <c r="J13" i="51"/>
  <c r="K13" i="51" s="1"/>
  <c r="J12" i="51"/>
  <c r="K12" i="51" s="1"/>
  <c r="J11" i="51"/>
  <c r="K11" i="51" s="1"/>
  <c r="J10" i="51"/>
  <c r="K10" i="51" s="1"/>
  <c r="K13" i="50"/>
  <c r="I13" i="50"/>
  <c r="G13" i="50"/>
  <c r="E13" i="50"/>
  <c r="C13" i="50"/>
  <c r="M12" i="50"/>
  <c r="L13" i="50"/>
  <c r="J13" i="50"/>
  <c r="H13" i="50"/>
  <c r="F13" i="50"/>
  <c r="D13" i="50"/>
  <c r="H17" i="55" l="1"/>
  <c r="H22" i="55" s="1"/>
  <c r="H24" i="55" s="1"/>
  <c r="E18" i="6" s="1"/>
  <c r="G19" i="6" s="1"/>
  <c r="H19" i="55"/>
  <c r="H32" i="55" s="1"/>
  <c r="H34" i="55" s="1"/>
  <c r="H36" i="55" s="1"/>
  <c r="E23" i="6" s="1"/>
  <c r="G23" i="6" s="1"/>
  <c r="F52" i="51"/>
  <c r="E39" i="6" s="1"/>
  <c r="F55" i="51"/>
  <c r="D35" i="54"/>
  <c r="D37" i="54" s="1"/>
  <c r="K44" i="51"/>
  <c r="J44" i="51"/>
  <c r="F54" i="51" s="1"/>
  <c r="F56" i="51" s="1"/>
  <c r="E40" i="6" s="1"/>
  <c r="P13" i="50"/>
  <c r="M13" i="50"/>
  <c r="M16" i="50" s="1"/>
  <c r="G48" i="6" s="1"/>
  <c r="G40" i="6" l="1"/>
  <c r="H26" i="55"/>
  <c r="H28" i="55" s="1"/>
  <c r="H30" i="55" s="1"/>
  <c r="E41" i="6" s="1"/>
  <c r="M18" i="50"/>
  <c r="G49" i="6" s="1"/>
  <c r="P18" i="50" l="1"/>
  <c r="G41" i="6"/>
  <c r="G36" i="6"/>
  <c r="G35" i="6"/>
  <c r="G34" i="6"/>
  <c r="G33" i="6"/>
  <c r="G32" i="6"/>
  <c r="G31" i="6"/>
  <c r="G27" i="6"/>
  <c r="G26" i="6"/>
  <c r="G25" i="6"/>
  <c r="G24" i="6"/>
  <c r="G20" i="6"/>
  <c r="G7" i="6"/>
  <c r="G52" i="6" l="1"/>
  <c r="G13" i="6" l="1"/>
  <c r="G11" i="6" l="1"/>
  <c r="D14" i="6"/>
  <c r="D37" i="6"/>
  <c r="G51" i="6" l="1"/>
  <c r="G37" i="6"/>
  <c r="D42" i="6"/>
  <c r="G42" i="6" l="1"/>
  <c r="G14" i="6"/>
  <c r="D44" i="6"/>
  <c r="G47" i="6" l="1"/>
  <c r="G44" i="6"/>
  <c r="G50" i="6" l="1"/>
  <c r="G54" i="6" s="1"/>
  <c r="H7" i="53" s="1"/>
  <c r="G61" i="6"/>
  <c r="G63" i="6" l="1"/>
  <c r="G66" i="6" s="1"/>
  <c r="G68" i="6" s="1"/>
  <c r="G69" i="6" s="1"/>
  <c r="G56" i="6"/>
  <c r="G58" i="6" s="1"/>
  <c r="F14" i="2" l="1"/>
  <c r="F12" i="2"/>
  <c r="F13" i="2"/>
  <c r="F11" i="2"/>
  <c r="F10" i="2"/>
  <c r="F28" i="53" s="1"/>
  <c r="G28" i="53" s="1"/>
  <c r="F15" i="2"/>
  <c r="F9" i="2"/>
  <c r="F24" i="57" l="1"/>
  <c r="G24" i="57" s="1"/>
  <c r="H24" i="57" s="1"/>
  <c r="F16" i="57"/>
  <c r="G16" i="57" s="1"/>
  <c r="H16" i="57" s="1"/>
  <c r="F23" i="42"/>
  <c r="G23" i="42" s="1"/>
  <c r="H23" i="42" s="1"/>
  <c r="F15" i="42"/>
  <c r="F23" i="57"/>
  <c r="G23" i="57" s="1"/>
  <c r="H23" i="57" s="1"/>
  <c r="F15" i="57"/>
  <c r="F22" i="57"/>
  <c r="F14" i="57"/>
  <c r="G14" i="57" s="1"/>
  <c r="H14" i="57" s="1"/>
  <c r="F21" i="42"/>
  <c r="G21" i="42" s="1"/>
  <c r="H21" i="42" s="1"/>
  <c r="F13" i="42"/>
  <c r="G13" i="42" s="1"/>
  <c r="H13" i="42" s="1"/>
  <c r="F12" i="42"/>
  <c r="G12" i="42" s="1"/>
  <c r="H12" i="42" s="1"/>
  <c r="F24" i="42"/>
  <c r="F21" i="57"/>
  <c r="G21" i="57" s="1"/>
  <c r="H21" i="57" s="1"/>
  <c r="F13" i="57"/>
  <c r="F20" i="42"/>
  <c r="F22" i="42"/>
  <c r="F20" i="57"/>
  <c r="G20" i="57" s="1"/>
  <c r="H20" i="57" s="1"/>
  <c r="F12" i="57"/>
  <c r="G12" i="57" s="1"/>
  <c r="H12" i="57" s="1"/>
  <c r="F19" i="42"/>
  <c r="G19" i="42" s="1"/>
  <c r="H19" i="42" s="1"/>
  <c r="F11" i="42"/>
  <c r="F19" i="57"/>
  <c r="G19" i="57" s="1"/>
  <c r="H19" i="57" s="1"/>
  <c r="F11" i="57"/>
  <c r="F18" i="42"/>
  <c r="G18" i="42" s="1"/>
  <c r="H18" i="42" s="1"/>
  <c r="F10" i="42"/>
  <c r="G10" i="42" s="1"/>
  <c r="H10" i="42" s="1"/>
  <c r="F17" i="57"/>
  <c r="F14" i="42"/>
  <c r="G14" i="42" s="1"/>
  <c r="H14" i="42" s="1"/>
  <c r="F18" i="57"/>
  <c r="G18" i="57" s="1"/>
  <c r="H18" i="57" s="1"/>
  <c r="F10" i="57"/>
  <c r="F17" i="42"/>
  <c r="G17" i="42" s="1"/>
  <c r="H17" i="42" s="1"/>
  <c r="F9" i="42"/>
  <c r="F25" i="57"/>
  <c r="F16" i="42"/>
  <c r="G16" i="42" s="1"/>
  <c r="H16" i="42" s="1"/>
  <c r="F27" i="53"/>
  <c r="G27" i="53" s="1"/>
  <c r="G25" i="57"/>
  <c r="H25" i="57" s="1"/>
  <c r="G17" i="57"/>
  <c r="H17" i="57" s="1"/>
  <c r="G11" i="42"/>
  <c r="H11" i="42" s="1"/>
  <c r="G20" i="42"/>
  <c r="H20" i="42" s="1"/>
  <c r="G15" i="57"/>
  <c r="H15" i="57" s="1"/>
  <c r="G22" i="57"/>
  <c r="H22" i="57" s="1"/>
  <c r="G24" i="42"/>
  <c r="H24" i="42" s="1"/>
  <c r="G15" i="42"/>
  <c r="H15" i="42" s="1"/>
  <c r="G22" i="42"/>
  <c r="H22" i="42" s="1"/>
  <c r="G13" i="57"/>
  <c r="H13" i="57" s="1"/>
  <c r="G11" i="57"/>
  <c r="H11" i="57" s="1"/>
  <c r="G9" i="42"/>
  <c r="H9" i="42" s="1"/>
  <c r="G10" i="57"/>
  <c r="H10" i="57" s="1"/>
  <c r="H15" i="2"/>
  <c r="I15" i="2" s="1"/>
  <c r="F33" i="53"/>
  <c r="G33" i="53" s="1"/>
  <c r="H11" i="2"/>
  <c r="I11" i="2" s="1"/>
  <c r="F29" i="53"/>
  <c r="G29" i="53" s="1"/>
  <c r="H12" i="2"/>
  <c r="I12" i="2" s="1"/>
  <c r="F30" i="53"/>
  <c r="G30" i="53" s="1"/>
  <c r="H13" i="2"/>
  <c r="I13" i="2" s="1"/>
  <c r="F31" i="53"/>
  <c r="G31" i="53" s="1"/>
  <c r="H14" i="2"/>
  <c r="I14" i="2" s="1"/>
  <c r="F32" i="53"/>
  <c r="G32" i="53" s="1"/>
  <c r="H10" i="2"/>
  <c r="H9" i="2"/>
  <c r="G34" i="53" l="1"/>
  <c r="H4" i="53" s="1"/>
  <c r="H6" i="53" s="1"/>
  <c r="H8" i="53" s="1"/>
  <c r="I9" i="2"/>
  <c r="I10" i="2"/>
  <c r="L8" i="53" l="1"/>
  <c r="N8" i="53"/>
</calcChain>
</file>

<file path=xl/sharedStrings.xml><?xml version="1.0" encoding="utf-8"?>
<sst xmlns="http://schemas.openxmlformats.org/spreadsheetml/2006/main" count="592" uniqueCount="346">
  <si>
    <t>Total Operating Expenses</t>
  </si>
  <si>
    <t>Taxes Other Than Income</t>
  </si>
  <si>
    <t>Salaries and Wages - Employees</t>
  </si>
  <si>
    <t>Salaries and Wages - Officers</t>
  </si>
  <si>
    <t>Employee Pensions and Benefits</t>
  </si>
  <si>
    <t>Purchased Water</t>
  </si>
  <si>
    <t>Purchased Power</t>
  </si>
  <si>
    <t>Materials and Supplies</t>
  </si>
  <si>
    <t>Miscellaneous Expenses</t>
  </si>
  <si>
    <t>Transportation Expenses</t>
  </si>
  <si>
    <t>Proposed</t>
  </si>
  <si>
    <t>Interest Income</t>
  </si>
  <si>
    <t>Total</t>
  </si>
  <si>
    <t>Gallons</t>
  </si>
  <si>
    <t>Operating Revenues</t>
  </si>
  <si>
    <t>Sales for Resale</t>
  </si>
  <si>
    <t>Other Water Revenues:</t>
  </si>
  <si>
    <t>Misc. Service Revenues</t>
  </si>
  <si>
    <t>Total Operating Revenues</t>
  </si>
  <si>
    <t>Operating Expenses</t>
  </si>
  <si>
    <t>Depreciation Expense</t>
  </si>
  <si>
    <t>Plus:</t>
  </si>
  <si>
    <t>Less:</t>
  </si>
  <si>
    <t>Other Operating Revenue</t>
  </si>
  <si>
    <t>Existing</t>
  </si>
  <si>
    <t>Change</t>
  </si>
  <si>
    <t>1"</t>
  </si>
  <si>
    <t>2"</t>
  </si>
  <si>
    <t>Table A</t>
  </si>
  <si>
    <t>SCHEDULE OF ADJUSTED OPERATIONS</t>
  </si>
  <si>
    <t>Test Year</t>
  </si>
  <si>
    <t>Adjustments</t>
  </si>
  <si>
    <t>Ref.</t>
  </si>
  <si>
    <t>Proforma</t>
  </si>
  <si>
    <t>Operation and Maintenance</t>
  </si>
  <si>
    <t>Total Operation and Mnt. Expenses</t>
  </si>
  <si>
    <t>Total Utility Operating Income</t>
  </si>
  <si>
    <t>Pro Forma Operating Expenses</t>
  </si>
  <si>
    <t>Adjustment</t>
  </si>
  <si>
    <t>Forfeited Discounts</t>
  </si>
  <si>
    <t>Total Metered Retail Sales</t>
  </si>
  <si>
    <t>DEPRECIATION EXPENSE ADJUSTMENTS</t>
  </si>
  <si>
    <t>Depreciation</t>
  </si>
  <si>
    <t>Date in</t>
  </si>
  <si>
    <t>Original</t>
  </si>
  <si>
    <t>Expense</t>
  </si>
  <si>
    <t>Service</t>
  </si>
  <si>
    <t>Life</t>
  </si>
  <si>
    <t>Depr. Exp.</t>
  </si>
  <si>
    <t>TOTAL</t>
  </si>
  <si>
    <t>CURRENT AND PROPOSED RATES</t>
  </si>
  <si>
    <t>Current</t>
  </si>
  <si>
    <t>Private Fire Protection</t>
  </si>
  <si>
    <t>Other Water Revenues</t>
  </si>
  <si>
    <t>Rental of Building/Real Property</t>
  </si>
  <si>
    <t>Insurance - Other</t>
  </si>
  <si>
    <t>Bad Debt</t>
  </si>
  <si>
    <t>Revenue Required From Sales of Water</t>
  </si>
  <si>
    <t>Revenue from Sales with Present Rates</t>
  </si>
  <si>
    <t>Total Revenue Requirement</t>
  </si>
  <si>
    <t>Required Revenue Increase</t>
  </si>
  <si>
    <t>Percent Increase</t>
  </si>
  <si>
    <t>Meter</t>
  </si>
  <si>
    <t>Difference</t>
  </si>
  <si>
    <t>Bill</t>
  </si>
  <si>
    <t>Percentage</t>
  </si>
  <si>
    <t>Size</t>
  </si>
  <si>
    <t>5/8 x 3/4"</t>
  </si>
  <si>
    <t>TOTALS</t>
  </si>
  <si>
    <t>TABLE C</t>
  </si>
  <si>
    <t>per Month*</t>
  </si>
  <si>
    <t>* Highlighted usage represents the average residential bill.</t>
  </si>
  <si>
    <t>Chemicals</t>
  </si>
  <si>
    <t>Salaries &amp; Wages and Associated Adjustments</t>
  </si>
  <si>
    <t>Pro Forma</t>
  </si>
  <si>
    <t xml:space="preserve">Pro Forma </t>
  </si>
  <si>
    <t>Employee</t>
  </si>
  <si>
    <t>Reg. Hrs</t>
  </si>
  <si>
    <t>O. T. Hours</t>
  </si>
  <si>
    <t>Wage Rate</t>
  </si>
  <si>
    <t>Reg. Wages</t>
  </si>
  <si>
    <t>O. T. Wages</t>
  </si>
  <si>
    <t>Wages</t>
  </si>
  <si>
    <t>Pro Forma Salaries &amp; Wages Expense</t>
  </si>
  <si>
    <t>Less: Test Year Salaries &amp; Wages Exp</t>
  </si>
  <si>
    <t>Pro Forma Salaries &amp; Wages Adj'mt</t>
  </si>
  <si>
    <t xml:space="preserve"> </t>
  </si>
  <si>
    <t>Pro Forma Salaries and Wages Expense</t>
  </si>
  <si>
    <t>Times: 7.65 Percent FICA Rate</t>
  </si>
  <si>
    <t>Pro Forma Payroll Taxes</t>
  </si>
  <si>
    <t>Less: Test Year Payroll Taxes</t>
  </si>
  <si>
    <t>Payroll Tax Adjustment</t>
  </si>
  <si>
    <t>Wages applicable to CERS payments</t>
  </si>
  <si>
    <t>Times: Percent Pension Contribution</t>
  </si>
  <si>
    <t>Total Pro Forma Pension Contribution</t>
  </si>
  <si>
    <t>Less: Test Year Pension Contribution</t>
  </si>
  <si>
    <t>Pension &amp; Benefits Adjustment</t>
  </si>
  <si>
    <t>Average Annual Principal and Interest Payments</t>
  </si>
  <si>
    <t>Additional Working Capital</t>
  </si>
  <si>
    <t>Table B</t>
  </si>
  <si>
    <t>DEBT SERVICE SCHDULE</t>
  </si>
  <si>
    <t>CY 2022 - 2026</t>
  </si>
  <si>
    <t>CY 2022</t>
  </si>
  <si>
    <t>CY 2023</t>
  </si>
  <si>
    <t>CY 2024</t>
  </si>
  <si>
    <t>CY 2025</t>
  </si>
  <si>
    <t>CY 2026</t>
  </si>
  <si>
    <t>Interest</t>
  </si>
  <si>
    <t>Principal</t>
  </si>
  <si>
    <t>&amp; Fees</t>
  </si>
  <si>
    <t>Average Annual Principal &amp; Interest</t>
  </si>
  <si>
    <t>Average Annual Coverage</t>
  </si>
  <si>
    <t>General Plant</t>
  </si>
  <si>
    <t>Pumping Plant</t>
  </si>
  <si>
    <t>Transmission &amp; Distribution Plant</t>
  </si>
  <si>
    <t>Transportation Equipment</t>
  </si>
  <si>
    <t>Water Treatment Plant</t>
  </si>
  <si>
    <t>Asset</t>
  </si>
  <si>
    <t>Structures &amp; Improvements</t>
  </si>
  <si>
    <t>Communication &amp; Computer Eqmt.</t>
  </si>
  <si>
    <t>Office Furniture &amp; Equipment</t>
  </si>
  <si>
    <t>Power Operated Equipment</t>
  </si>
  <si>
    <t>Tools, Shop, &amp; Garage Equipment</t>
  </si>
  <si>
    <t>Tank Repairs &amp; Painting</t>
  </si>
  <si>
    <t>Telemetry</t>
  </si>
  <si>
    <t>Pumping Equipment</t>
  </si>
  <si>
    <t>Hydrants</t>
  </si>
  <si>
    <t>Transmission &amp; Distribution Mains</t>
  </si>
  <si>
    <t>Meter Installations</t>
  </si>
  <si>
    <t>Meter Change-outs</t>
  </si>
  <si>
    <t>Pump Equipment</t>
  </si>
  <si>
    <t>Tank Fence</t>
  </si>
  <si>
    <t>Services</t>
  </si>
  <si>
    <t>Reservoirs &amp; Tanks</t>
  </si>
  <si>
    <t>Tank Painting &amp; Repairs</t>
  </si>
  <si>
    <t>Entire Group</t>
  </si>
  <si>
    <t xml:space="preserve">              *  Includes only costs associated with assets that contributed to depreciation expense in the test year.</t>
  </si>
  <si>
    <t>Cost *</t>
  </si>
  <si>
    <t>Reported</t>
  </si>
  <si>
    <t>varies</t>
  </si>
  <si>
    <t>Water Loss Adjustment</t>
  </si>
  <si>
    <t>Sold</t>
  </si>
  <si>
    <t>Uses:</t>
  </si>
  <si>
    <t xml:space="preserve">  water loss percentage</t>
  </si>
  <si>
    <t xml:space="preserve">  allowable in rates</t>
  </si>
  <si>
    <t xml:space="preserve">  adjustment percentage</t>
  </si>
  <si>
    <t>Produced</t>
  </si>
  <si>
    <t>Purchased</t>
  </si>
  <si>
    <t>Total Produced and Purchased</t>
  </si>
  <si>
    <t>Total Other Water Used</t>
  </si>
  <si>
    <t>Losses:</t>
  </si>
  <si>
    <t xml:space="preserve">   WTP</t>
  </si>
  <si>
    <t xml:space="preserve">   Flushing</t>
  </si>
  <si>
    <t xml:space="preserve">   Fire</t>
  </si>
  <si>
    <t xml:space="preserve">   Other</t>
  </si>
  <si>
    <t xml:space="preserve">   Line Leaks</t>
  </si>
  <si>
    <t xml:space="preserve">   Unknown</t>
  </si>
  <si>
    <t>Total Losses:</t>
  </si>
  <si>
    <t>Sold, Used, and Lost</t>
  </si>
  <si>
    <t>Total Gross Wages</t>
  </si>
  <si>
    <t>Gross Wages for Full Time Employees CERS Eligible</t>
  </si>
  <si>
    <t>Labor and Materials Adjustment for New Service Installations</t>
  </si>
  <si>
    <t xml:space="preserve">Labor </t>
  </si>
  <si>
    <t xml:space="preserve">Materials </t>
  </si>
  <si>
    <t>New Meter Fees Collected</t>
  </si>
  <si>
    <t>MONTHLY</t>
  </si>
  <si>
    <t>DISTRICT'S</t>
  </si>
  <si>
    <t>Allowable</t>
  </si>
  <si>
    <t>EMPLOYEE</t>
  </si>
  <si>
    <t xml:space="preserve">WATER DIST </t>
  </si>
  <si>
    <t>ANNUAL</t>
  </si>
  <si>
    <t>Employer</t>
  </si>
  <si>
    <t>PREMIUM</t>
  </si>
  <si>
    <t>CONTRIB</t>
  </si>
  <si>
    <t>CONTRIB %</t>
  </si>
  <si>
    <t>Share</t>
  </si>
  <si>
    <t>Premium</t>
  </si>
  <si>
    <t>K</t>
  </si>
  <si>
    <t>Structures and Improvements</t>
  </si>
  <si>
    <t>Water Treatment Equipment</t>
  </si>
  <si>
    <t>Source of Supply Plant</t>
  </si>
  <si>
    <t>Collecting &amp; Impounding Reservoirs</t>
  </si>
  <si>
    <t>Supply Mains</t>
  </si>
  <si>
    <t>Correct Depreciation</t>
  </si>
  <si>
    <t>Allowed Depreciation</t>
  </si>
  <si>
    <t>Less: Reported Depreciation</t>
  </si>
  <si>
    <t>Less: Correct Depreciation</t>
  </si>
  <si>
    <t>Adjustment to Allowed Depreciation</t>
  </si>
  <si>
    <t>L</t>
  </si>
  <si>
    <t>``</t>
  </si>
  <si>
    <t>Pension</t>
  </si>
  <si>
    <t>Eligible</t>
  </si>
  <si>
    <t>TABLE D</t>
  </si>
  <si>
    <t>Total Adjustment</t>
  </si>
  <si>
    <t>Monthly Surcharge Amount</t>
  </si>
  <si>
    <t>CURRENT AND PROPOSED BILLS</t>
  </si>
  <si>
    <t>/ Number of Bills</t>
  </si>
  <si>
    <t>Contractual Services - Accounting</t>
  </si>
  <si>
    <t>Contractual Services - Management</t>
  </si>
  <si>
    <t>Contractual Services - Other</t>
  </si>
  <si>
    <t>Insurance - General Liability</t>
  </si>
  <si>
    <t xml:space="preserve">   Tank Overflows</t>
  </si>
  <si>
    <t xml:space="preserve">   Line Breaks</t>
  </si>
  <si>
    <t>CURRENT BILLING ANALYSIS</t>
  </si>
  <si>
    <t>Summary</t>
  </si>
  <si>
    <t># of Bills</t>
  </si>
  <si>
    <t>Gallons Sold</t>
  </si>
  <si>
    <t>Revenue</t>
  </si>
  <si>
    <t>Residential/Commercial</t>
  </si>
  <si>
    <t>First</t>
  </si>
  <si>
    <t>Next</t>
  </si>
  <si>
    <t>Over</t>
  </si>
  <si>
    <t>Usage</t>
  </si>
  <si>
    <t>Bills</t>
  </si>
  <si>
    <t>REVENUE BY RATE INCREMENT</t>
  </si>
  <si>
    <t xml:space="preserve">Rate </t>
  </si>
  <si>
    <t>,</t>
  </si>
  <si>
    <t>Costs Subject to Water Loss Adjustment</t>
  </si>
  <si>
    <t>Computation of Water Loss Surcharge</t>
  </si>
  <si>
    <t>Net Retail</t>
  </si>
  <si>
    <t>From PSC Annual Report</t>
  </si>
  <si>
    <t>Adjustment to SAO Billed Retail Revenues</t>
  </si>
  <si>
    <t>varlies</t>
  </si>
  <si>
    <t>Computation of Adjustment:</t>
  </si>
  <si>
    <t>Medical and Dental Insurance Adjustment</t>
  </si>
  <si>
    <t>Minimum Bill</t>
  </si>
  <si>
    <t>All Over</t>
  </si>
  <si>
    <t>50,000 Gallons</t>
  </si>
  <si>
    <t>Southern Madison Water District</t>
  </si>
  <si>
    <t>SOUTHERN MADISON WATER DISTRICT</t>
  </si>
  <si>
    <t>2,000 Gallons</t>
  </si>
  <si>
    <t>3,000 Gallons</t>
  </si>
  <si>
    <t>1,000 Gallons</t>
  </si>
  <si>
    <t>4,000 Gallons</t>
  </si>
  <si>
    <t>15,000 Gallons</t>
  </si>
  <si>
    <t>25,000 Gallons</t>
  </si>
  <si>
    <t>Kentucky River Authority Withdrawal Fee</t>
  </si>
  <si>
    <t>All Gallons</t>
  </si>
  <si>
    <t>Per Thousand Gallons</t>
  </si>
  <si>
    <t>Monthly Rates for Water</t>
  </si>
  <si>
    <t>South Madison Water District</t>
  </si>
  <si>
    <t>No Outstanding Debt</t>
  </si>
  <si>
    <t>No outstanding debt.</t>
  </si>
  <si>
    <t>EW</t>
  </si>
  <si>
    <t>JA</t>
  </si>
  <si>
    <t>RM</t>
  </si>
  <si>
    <t>SW</t>
  </si>
  <si>
    <t>VF</t>
  </si>
  <si>
    <t>CERS</t>
  </si>
  <si>
    <t>No</t>
  </si>
  <si>
    <t>Officers</t>
  </si>
  <si>
    <t>LT</t>
  </si>
  <si>
    <t>LB</t>
  </si>
  <si>
    <t>RD</t>
  </si>
  <si>
    <t>Total Officer Compensation</t>
  </si>
  <si>
    <t>Less: Test Year Offier Compensation</t>
  </si>
  <si>
    <t>Officers Compensation Adjustement</t>
  </si>
  <si>
    <t>Less Leak Adjustments</t>
  </si>
  <si>
    <t>PROPOSED BILLING ANALYSIS</t>
  </si>
  <si>
    <t>Variation from Required Revenue</t>
  </si>
  <si>
    <t>From Required Revenue</t>
  </si>
  <si>
    <t>MEDICAL</t>
  </si>
  <si>
    <t>NM</t>
  </si>
  <si>
    <t>RH</t>
  </si>
  <si>
    <t>PLAN</t>
  </si>
  <si>
    <t>TYPE</t>
  </si>
  <si>
    <t>Single</t>
  </si>
  <si>
    <t>DENTAL</t>
  </si>
  <si>
    <t>Unallowed</t>
  </si>
  <si>
    <t>Cotton / Abrams</t>
  </si>
  <si>
    <t>CC / JA</t>
  </si>
  <si>
    <t>JA / HR</t>
  </si>
  <si>
    <t>Abrams / Rose</t>
  </si>
  <si>
    <t>Burrell / Robinson</t>
  </si>
  <si>
    <t>CB / WR</t>
  </si>
  <si>
    <t>VF / VF</t>
  </si>
  <si>
    <t>RM / RM</t>
  </si>
  <si>
    <t>SW / SW</t>
  </si>
  <si>
    <t>EW / EW</t>
  </si>
  <si>
    <t>CC / Vacant</t>
  </si>
  <si>
    <t>GR / JA</t>
  </si>
  <si>
    <t>Witt / Witt</t>
  </si>
  <si>
    <t>Cornett / Cornett</t>
  </si>
  <si>
    <t>Miller / Miller</t>
  </si>
  <si>
    <t>2020 / 2022</t>
  </si>
  <si>
    <t>Waddles / Waddles</t>
  </si>
  <si>
    <t>Riley / Alexander</t>
  </si>
  <si>
    <t>Parker McCollum</t>
  </si>
  <si>
    <t>Flannery / Flannery</t>
  </si>
  <si>
    <t>Yes</t>
  </si>
  <si>
    <t>Unallowed Medical</t>
  </si>
  <si>
    <t>Unallowed Dental</t>
  </si>
  <si>
    <t>Unallowed Total Premium</t>
  </si>
  <si>
    <t>Changes in salaries and wages.</t>
  </si>
  <si>
    <t>Labor used for tapping fee installations.</t>
  </si>
  <si>
    <t>Commissioners Fees for full year.</t>
  </si>
  <si>
    <t>CERS Pension contribution.</t>
  </si>
  <si>
    <t>Purchased water above allowed maximum water loss.</t>
  </si>
  <si>
    <t>Purchased power above allowed maximum water loss.</t>
  </si>
  <si>
    <t>Materials used for tapping fee installations.</t>
  </si>
  <si>
    <t>$12,000 increase in bank charges for online payments.</t>
  </si>
  <si>
    <t>Depreciation expense based upon allowed useful lives.</t>
  </si>
  <si>
    <t>Payroll taxes based upon salaries and wages.</t>
  </si>
  <si>
    <t>OPEB non-cash expenses.</t>
  </si>
  <si>
    <t>Adjustment to Correct to Annual Report</t>
  </si>
  <si>
    <t>Adjust to Annual Report</t>
  </si>
  <si>
    <t>SP / McC</t>
  </si>
  <si>
    <t>From Trial Balance Account 895</t>
  </si>
  <si>
    <t>OPEB</t>
  </si>
  <si>
    <t>Account 898 Pension Expense</t>
  </si>
  <si>
    <t>Account 980 OPEB Expense</t>
  </si>
  <si>
    <t>OPEB Adjustment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</si>
  <si>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</si>
  <si>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</si>
  <si>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</si>
  <si>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</si>
  <si>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</si>
  <si>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</si>
  <si>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</si>
  <si>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</si>
  <si>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</si>
  <si>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</si>
  <si>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Location</t>
  </si>
  <si>
    <t>Decrease metered retail sales to billing analysis total.</t>
  </si>
  <si>
    <t>Tab ExBA Cell H8</t>
  </si>
  <si>
    <t>Tab Wages Cell H24</t>
  </si>
  <si>
    <t>Tab Capital Cell C5</t>
  </si>
  <si>
    <t>Tab Capital Cell C6</t>
  </si>
  <si>
    <t>Tab Wages Cell H44</t>
  </si>
  <si>
    <t>Tab Medical Cell B31</t>
  </si>
  <si>
    <t>Tab Wages Cell H49</t>
  </si>
  <si>
    <t>Tab Wages Cell H36</t>
  </si>
  <si>
    <t>Tab Water Loss Cell D29</t>
  </si>
  <si>
    <t>Tab Water Loss Cell D30</t>
  </si>
  <si>
    <t>See File Known and Measurable Changes - Bank Charges</t>
  </si>
  <si>
    <t>Tab Depreciation Cell F52</t>
  </si>
  <si>
    <t>Tab Depreciation Cell F56</t>
  </si>
  <si>
    <t>Water Loss Surcharge</t>
  </si>
  <si>
    <t>Per Bill</t>
  </si>
  <si>
    <t>TABLE E</t>
  </si>
  <si>
    <t>SOUTHERN MADISON COUNTY WATER DISTRICT</t>
  </si>
  <si>
    <t>with Water Loss Reduction Surcharge and Kentucky River Authority Withdrawal Fee</t>
  </si>
  <si>
    <t>Unallowed medical premium.</t>
  </si>
  <si>
    <t>REVENUE REQUIREMENTS   DEBT SERVICE COVERAGE METHOD</t>
  </si>
  <si>
    <t>REVENUE REQUIREMENTS USING OPERATING RATIO METHOD</t>
  </si>
  <si>
    <t>Divided by:  Operating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</si>
</sst>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mm/dd/yy;@"/>
    <numFmt numFmtId="169" formatCode="_([$$-409]* #,##0_);_([$$-409]* \(#,##0\);_([$$-409]* &quot;-&quot;??_);_(@_)"/>
    <numFmt numFmtId="170" formatCode="[$$-409]#,##0"/>
    <numFmt numFmtId="171" formatCode="_(&quot;$&quot;* #,##0.000_);_(&quot;$&quot;* \(#,##0.000\);_(&quot;$&quot;* &quot;-&quot;??_);_(@_)"/>
    <numFmt numFmtId="172" formatCode="_(&quot;$&quot;* #,##0.0000_);_(&quot;$&quot;* \(#,##0.0000\);_(&quot;$&quot;* &quot;-&quot;??_);_(@_)"/>
  </numFmts>
  <fonts count="25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6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336">
    <xf numFmtId="0" fontId="0" fillId="0" borderId="0" xfId="0"/>
    <xf numFmtId="0" fontId="5" fillId="0" borderId="0" xfId="0" applyFont="1"/>
    <xf numFmtId="165" fontId="5" fillId="0" borderId="0" xfId="0" applyNumberFormat="1" applyFont="1"/>
    <xf numFmtId="3" fontId="5" fillId="0" borderId="0" xfId="0" applyNumberFormat="1" applyFont="1"/>
    <xf numFmtId="0" fontId="0" fillId="0" borderId="6" xfId="0" applyBorder="1"/>
    <xf numFmtId="165" fontId="5" fillId="0" borderId="1" xfId="1" applyNumberFormat="1" applyFont="1" applyBorder="1"/>
    <xf numFmtId="165" fontId="5" fillId="0" borderId="0" xfId="1" applyNumberFormat="1" applyFont="1" applyBorder="1"/>
    <xf numFmtId="165" fontId="5" fillId="0" borderId="0" xfId="1" applyNumberFormat="1" applyFont="1"/>
    <xf numFmtId="165" fontId="5" fillId="0" borderId="3" xfId="1" applyNumberFormat="1" applyFont="1" applyBorder="1"/>
    <xf numFmtId="165" fontId="5" fillId="0" borderId="2" xfId="1" applyNumberFormat="1" applyFont="1" applyBorder="1"/>
    <xf numFmtId="165" fontId="5" fillId="0" borderId="4" xfId="1" applyNumberFormat="1" applyFont="1" applyBorder="1"/>
    <xf numFmtId="165" fontId="5" fillId="0" borderId="7" xfId="1" applyNumberFormat="1" applyFont="1" applyBorder="1"/>
    <xf numFmtId="165" fontId="5" fillId="0" borderId="8" xfId="1" applyNumberFormat="1" applyFont="1" applyBorder="1"/>
    <xf numFmtId="165" fontId="5" fillId="0" borderId="5" xfId="1" applyNumberFormat="1" applyFont="1" applyBorder="1"/>
    <xf numFmtId="165" fontId="5" fillId="0" borderId="6" xfId="1" applyNumberFormat="1" applyFont="1" applyBorder="1"/>
    <xf numFmtId="43" fontId="5" fillId="0" borderId="0" xfId="1" applyFont="1"/>
    <xf numFmtId="165" fontId="11" fillId="0" borderId="0" xfId="1" applyNumberFormat="1" applyFont="1" applyBorder="1" applyAlignment="1">
      <alignment horizontal="center"/>
    </xf>
    <xf numFmtId="43" fontId="5" fillId="0" borderId="0" xfId="1" applyFont="1" applyBorder="1"/>
    <xf numFmtId="165" fontId="5" fillId="0" borderId="0" xfId="5" applyNumberFormat="1" applyFont="1"/>
    <xf numFmtId="3" fontId="5" fillId="0" borderId="0" xfId="0" applyNumberFormat="1" applyFont="1" applyAlignment="1">
      <alignment horizontal="right"/>
    </xf>
    <xf numFmtId="165" fontId="5" fillId="0" borderId="7" xfId="5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5" fontId="5" fillId="0" borderId="0" xfId="5" applyNumberFormat="1" applyFont="1" applyBorder="1"/>
    <xf numFmtId="165" fontId="11" fillId="0" borderId="0" xfId="1" applyNumberFormat="1" applyFont="1"/>
    <xf numFmtId="167" fontId="10" fillId="0" borderId="0" xfId="5" applyNumberFormat="1" applyFont="1" applyBorder="1" applyAlignment="1">
      <alignment horizontal="center"/>
    </xf>
    <xf numFmtId="43" fontId="5" fillId="0" borderId="0" xfId="1" applyFont="1" applyBorder="1" applyAlignment="1"/>
    <xf numFmtId="43" fontId="5" fillId="0" borderId="0" xfId="1" applyFont="1" applyBorder="1" applyAlignment="1">
      <alignment horizontal="right"/>
    </xf>
    <xf numFmtId="44" fontId="5" fillId="0" borderId="0" xfId="2" applyFont="1" applyBorder="1" applyAlignment="1"/>
    <xf numFmtId="165" fontId="5" fillId="0" borderId="1" xfId="0" applyNumberFormat="1" applyFont="1" applyBorder="1"/>
    <xf numFmtId="164" fontId="5" fillId="0" borderId="0" xfId="6" applyNumberFormat="1" applyFont="1"/>
    <xf numFmtId="165" fontId="8" fillId="0" borderId="0" xfId="1" applyNumberFormat="1" applyFont="1"/>
    <xf numFmtId="165" fontId="11" fillId="0" borderId="8" xfId="1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43" fontId="5" fillId="0" borderId="8" xfId="1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3" fontId="5" fillId="0" borderId="1" xfId="1" applyFont="1" applyBorder="1"/>
    <xf numFmtId="166" fontId="5" fillId="0" borderId="8" xfId="3" applyNumberFormat="1" applyFont="1" applyBorder="1"/>
    <xf numFmtId="165" fontId="5" fillId="2" borderId="0" xfId="1" applyNumberFormat="1" applyFont="1" applyFill="1" applyBorder="1"/>
    <xf numFmtId="43" fontId="5" fillId="2" borderId="8" xfId="1" quotePrefix="1" applyFont="1" applyFill="1" applyBorder="1" applyAlignment="1">
      <alignment horizontal="center"/>
    </xf>
    <xf numFmtId="43" fontId="5" fillId="2" borderId="0" xfId="1" applyFont="1" applyFill="1" applyBorder="1"/>
    <xf numFmtId="166" fontId="5" fillId="2" borderId="8" xfId="3" applyNumberFormat="1" applyFont="1" applyFill="1" applyBorder="1"/>
    <xf numFmtId="165" fontId="15" fillId="0" borderId="0" xfId="1" applyNumberFormat="1" applyFont="1"/>
    <xf numFmtId="0" fontId="21" fillId="0" borderId="0" xfId="0" applyFont="1" applyFill="1" applyBorder="1" applyAlignment="1">
      <alignment horizontal="center"/>
    </xf>
    <xf numFmtId="10" fontId="5" fillId="0" borderId="0" xfId="0" applyNumberFormat="1" applyFont="1"/>
    <xf numFmtId="44" fontId="5" fillId="0" borderId="0" xfId="2" applyFont="1" applyBorder="1"/>
    <xf numFmtId="165" fontId="5" fillId="0" borderId="0" xfId="5" quotePrefix="1" applyNumberFormat="1" applyFont="1"/>
    <xf numFmtId="0" fontId="5" fillId="0" borderId="7" xfId="0" applyFont="1" applyBorder="1"/>
    <xf numFmtId="165" fontId="18" fillId="0" borderId="0" xfId="1" applyNumberFormat="1" applyFont="1"/>
    <xf numFmtId="165" fontId="5" fillId="0" borderId="0" xfId="1" applyNumberFormat="1" applyFont="1" applyAlignment="1">
      <alignment horizontal="centerContinuous" vertical="center"/>
    </xf>
    <xf numFmtId="165" fontId="5" fillId="0" borderId="0" xfId="1" applyNumberFormat="1" applyFont="1" applyAlignment="1">
      <alignment vertical="center"/>
    </xf>
    <xf numFmtId="165" fontId="13" fillId="0" borderId="0" xfId="1" applyNumberFormat="1" applyFont="1" applyAlignment="1">
      <alignment horizontal="centerContinuous" vertical="center"/>
    </xf>
    <xf numFmtId="165" fontId="10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165" fontId="5" fillId="0" borderId="0" xfId="1" applyNumberFormat="1" applyFont="1" applyAlignment="1">
      <alignment horizontal="center" vertical="center"/>
    </xf>
    <xf numFmtId="165" fontId="14" fillId="0" borderId="0" xfId="1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9" fillId="0" borderId="0" xfId="1" applyNumberFormat="1" applyFont="1" applyAlignment="1">
      <alignment vertical="center"/>
    </xf>
    <xf numFmtId="165" fontId="9" fillId="0" borderId="0" xfId="1" applyNumberFormat="1" applyFont="1" applyAlignment="1">
      <alignment vertical="center"/>
    </xf>
    <xf numFmtId="165" fontId="5" fillId="0" borderId="0" xfId="1" applyNumberFormat="1" applyFont="1" applyAlignment="1">
      <alignment horizontal="center"/>
    </xf>
    <xf numFmtId="165" fontId="14" fillId="0" borderId="0" xfId="1" applyNumberFormat="1" applyFont="1" applyAlignment="1">
      <alignment horizontal="left"/>
    </xf>
    <xf numFmtId="165" fontId="14" fillId="0" borderId="0" xfId="1" applyNumberFormat="1" applyFont="1" applyAlignment="1">
      <alignment horizontal="center"/>
    </xf>
    <xf numFmtId="165" fontId="12" fillId="0" borderId="0" xfId="1" quotePrefix="1" applyNumberFormat="1" applyFont="1" applyAlignment="1">
      <alignment horizontal="center" vertical="center"/>
    </xf>
    <xf numFmtId="165" fontId="12" fillId="0" borderId="0" xfId="1" applyNumberFormat="1" applyFont="1" applyAlignment="1">
      <alignment horizontal="center" vertical="center"/>
    </xf>
    <xf numFmtId="165" fontId="5" fillId="0" borderId="0" xfId="1" applyNumberFormat="1" applyFont="1" applyAlignment="1"/>
    <xf numFmtId="165" fontId="12" fillId="0" borderId="0" xfId="1" applyNumberFormat="1" applyFont="1" applyAlignment="1">
      <alignment vertical="center"/>
    </xf>
    <xf numFmtId="10" fontId="5" fillId="0" borderId="0" xfId="3" applyNumberFormat="1" applyFont="1" applyAlignment="1">
      <alignment vertical="center"/>
    </xf>
    <xf numFmtId="165" fontId="5" fillId="0" borderId="6" xfId="5" applyNumberFormat="1" applyFont="1" applyBorder="1"/>
    <xf numFmtId="165" fontId="5" fillId="0" borderId="0" xfId="5" applyNumberFormat="1" applyFont="1" applyBorder="1" applyAlignment="1">
      <alignment horizontal="center"/>
    </xf>
    <xf numFmtId="10" fontId="5" fillId="0" borderId="0" xfId="3" applyNumberFormat="1" applyFont="1" applyBorder="1"/>
    <xf numFmtId="10" fontId="5" fillId="2" borderId="0" xfId="3" applyNumberFormat="1" applyFont="1" applyFill="1" applyBorder="1"/>
    <xf numFmtId="165" fontId="5" fillId="0" borderId="8" xfId="5" applyNumberFormat="1" applyFont="1" applyBorder="1"/>
    <xf numFmtId="165" fontId="9" fillId="0" borderId="7" xfId="5" applyNumberFormat="1" applyFont="1" applyBorder="1" applyAlignment="1">
      <alignment horizontal="center"/>
    </xf>
    <xf numFmtId="165" fontId="5" fillId="0" borderId="0" xfId="1" applyNumberFormat="1" applyFont="1" applyBorder="1" applyAlignment="1">
      <alignment vertical="center"/>
    </xf>
    <xf numFmtId="165" fontId="11" fillId="0" borderId="0" xfId="1" applyNumberFormat="1" applyFont="1" applyBorder="1" applyAlignment="1">
      <alignment vertical="center"/>
    </xf>
    <xf numFmtId="165" fontId="5" fillId="0" borderId="0" xfId="1" applyNumberFormat="1" applyFont="1" applyBorder="1" applyAlignment="1">
      <alignment horizontal="center" vertical="center"/>
    </xf>
    <xf numFmtId="165" fontId="11" fillId="0" borderId="0" xfId="1" applyNumberFormat="1" applyFont="1" applyAlignment="1">
      <alignment vertical="center"/>
    </xf>
    <xf numFmtId="165" fontId="5" fillId="0" borderId="3" xfId="5" applyNumberFormat="1" applyFont="1" applyBorder="1"/>
    <xf numFmtId="165" fontId="5" fillId="0" borderId="2" xfId="5" applyNumberFormat="1" applyFont="1" applyBorder="1"/>
    <xf numFmtId="165" fontId="5" fillId="0" borderId="4" xfId="5" applyNumberFormat="1" applyFont="1" applyBorder="1"/>
    <xf numFmtId="165" fontId="6" fillId="0" borderId="7" xfId="5" applyNumberFormat="1" applyFont="1" applyBorder="1" applyAlignment="1">
      <alignment horizontal="centerContinuous"/>
    </xf>
    <xf numFmtId="165" fontId="9" fillId="0" borderId="0" xfId="5" applyNumberFormat="1" applyFont="1" applyAlignment="1">
      <alignment horizontal="centerContinuous"/>
    </xf>
    <xf numFmtId="165" fontId="7" fillId="0" borderId="7" xfId="5" applyNumberFormat="1" applyFont="1" applyBorder="1" applyAlignment="1">
      <alignment horizontal="centerContinuous"/>
    </xf>
    <xf numFmtId="165" fontId="10" fillId="0" borderId="0" xfId="5" applyNumberFormat="1" applyFont="1" applyAlignment="1">
      <alignment horizontal="centerContinuous"/>
    </xf>
    <xf numFmtId="3" fontId="13" fillId="0" borderId="7" xfId="0" applyNumberFormat="1" applyFont="1" applyBorder="1" applyAlignment="1">
      <alignment horizontal="centerContinuous" vertical="center"/>
    </xf>
    <xf numFmtId="165" fontId="23" fillId="0" borderId="7" xfId="5" applyNumberFormat="1" applyFont="1" applyBorder="1" applyAlignment="1">
      <alignment horizontal="centerContinuous"/>
    </xf>
    <xf numFmtId="165" fontId="5" fillId="0" borderId="0" xfId="5" applyNumberFormat="1" applyFont="1" applyAlignment="1">
      <alignment horizontal="centerContinuous"/>
    </xf>
    <xf numFmtId="165" fontId="5" fillId="0" borderId="7" xfId="5" applyNumberFormat="1" applyFont="1" applyBorder="1" applyAlignment="1">
      <alignment horizontal="centerContinuous"/>
    </xf>
    <xf numFmtId="165" fontId="5" fillId="0" borderId="9" xfId="5" applyNumberFormat="1" applyFont="1" applyBorder="1" applyAlignment="1">
      <alignment horizontal="left"/>
    </xf>
    <xf numFmtId="165" fontId="5" fillId="0" borderId="3" xfId="5" applyNumberFormat="1" applyFont="1" applyBorder="1" applyAlignment="1">
      <alignment horizontal="left"/>
    </xf>
    <xf numFmtId="165" fontId="5" fillId="0" borderId="2" xfId="5" applyNumberFormat="1" applyFont="1" applyBorder="1" applyAlignment="1">
      <alignment horizontal="left"/>
    </xf>
    <xf numFmtId="165" fontId="5" fillId="0" borderId="4" xfId="5" applyNumberFormat="1" applyFont="1" applyBorder="1" applyAlignment="1">
      <alignment horizontal="left"/>
    </xf>
    <xf numFmtId="165" fontId="5" fillId="0" borderId="10" xfId="5" applyNumberFormat="1" applyFont="1" applyBorder="1"/>
    <xf numFmtId="165" fontId="12" fillId="0" borderId="0" xfId="5" applyNumberFormat="1" applyFont="1" applyAlignment="1">
      <alignment horizontal="center" vertical="center"/>
    </xf>
    <xf numFmtId="165" fontId="9" fillId="0" borderId="8" xfId="5" applyNumberFormat="1" applyFont="1" applyBorder="1" applyAlignment="1">
      <alignment horizontal="center" vertical="center"/>
    </xf>
    <xf numFmtId="165" fontId="9" fillId="0" borderId="0" xfId="5" applyNumberFormat="1" applyFont="1" applyAlignment="1">
      <alignment horizontal="center" vertical="center"/>
    </xf>
    <xf numFmtId="165" fontId="12" fillId="0" borderId="8" xfId="5" applyNumberFormat="1" applyFont="1" applyBorder="1" applyAlignment="1">
      <alignment horizontal="center" vertical="center"/>
    </xf>
    <xf numFmtId="165" fontId="12" fillId="0" borderId="0" xfId="5" applyNumberFormat="1" applyFont="1" applyBorder="1" applyAlignment="1">
      <alignment horizontal="center" vertical="center"/>
    </xf>
    <xf numFmtId="165" fontId="5" fillId="0" borderId="10" xfId="5" applyNumberFormat="1" applyFont="1" applyBorder="1" applyAlignment="1">
      <alignment horizontal="left"/>
    </xf>
    <xf numFmtId="165" fontId="5" fillId="0" borderId="7" xfId="5" applyNumberFormat="1" applyFont="1" applyBorder="1" applyAlignment="1">
      <alignment horizontal="center"/>
    </xf>
    <xf numFmtId="165" fontId="5" fillId="0" borderId="0" xfId="5" applyNumberFormat="1" applyFont="1" applyAlignment="1">
      <alignment horizontal="center"/>
    </xf>
    <xf numFmtId="165" fontId="5" fillId="0" borderId="8" xfId="5" applyNumberFormat="1" applyFont="1" applyBorder="1" applyAlignment="1">
      <alignment horizontal="center"/>
    </xf>
    <xf numFmtId="165" fontId="5" fillId="0" borderId="0" xfId="5" quotePrefix="1" applyNumberFormat="1" applyFont="1" applyBorder="1" applyAlignment="1">
      <alignment horizontal="center"/>
    </xf>
    <xf numFmtId="165" fontId="9" fillId="0" borderId="7" xfId="5" quotePrefix="1" applyNumberFormat="1" applyFont="1" applyBorder="1" applyAlignment="1">
      <alignment horizontal="left"/>
    </xf>
    <xf numFmtId="165" fontId="9" fillId="0" borderId="0" xfId="5" quotePrefix="1" applyNumberFormat="1" applyFont="1" applyAlignment="1">
      <alignment horizontal="left"/>
    </xf>
    <xf numFmtId="165" fontId="9" fillId="0" borderId="8" xfId="5" quotePrefix="1" applyNumberFormat="1" applyFont="1" applyBorder="1" applyAlignment="1">
      <alignment horizontal="left"/>
    </xf>
    <xf numFmtId="164" fontId="9" fillId="0" borderId="0" xfId="6" quotePrefix="1" applyNumberFormat="1" applyFont="1" applyBorder="1" applyAlignment="1">
      <alignment horizontal="left"/>
    </xf>
    <xf numFmtId="165" fontId="9" fillId="0" borderId="11" xfId="5" applyNumberFormat="1" applyFont="1" applyBorder="1" applyAlignment="1">
      <alignment horizontal="right"/>
    </xf>
    <xf numFmtId="165" fontId="9" fillId="0" borderId="5" xfId="5" applyNumberFormat="1" applyFont="1" applyBorder="1" applyAlignment="1">
      <alignment horizontal="right"/>
    </xf>
    <xf numFmtId="165" fontId="9" fillId="0" borderId="1" xfId="5" applyNumberFormat="1" applyFont="1" applyBorder="1" applyAlignment="1">
      <alignment horizontal="right"/>
    </xf>
    <xf numFmtId="165" fontId="9" fillId="0" borderId="6" xfId="5" applyNumberFormat="1" applyFont="1" applyBorder="1" applyAlignment="1">
      <alignment horizontal="right"/>
    </xf>
    <xf numFmtId="165" fontId="9" fillId="0" borderId="8" xfId="5" applyNumberFormat="1" applyFont="1" applyBorder="1" applyAlignment="1">
      <alignment horizontal="right"/>
    </xf>
    <xf numFmtId="165" fontId="9" fillId="0" borderId="7" xfId="5" applyNumberFormat="1" applyFont="1" applyBorder="1" applyAlignment="1">
      <alignment horizontal="right"/>
    </xf>
    <xf numFmtId="165" fontId="9" fillId="0" borderId="0" xfId="5" applyNumberFormat="1" applyFont="1" applyAlignment="1">
      <alignment horizontal="right"/>
    </xf>
    <xf numFmtId="165" fontId="9" fillId="0" borderId="2" xfId="5" applyNumberFormat="1" applyFont="1" applyBorder="1" applyAlignment="1">
      <alignment horizontal="right"/>
    </xf>
    <xf numFmtId="165" fontId="9" fillId="0" borderId="7" xfId="5" applyNumberFormat="1" applyFont="1" applyBorder="1"/>
    <xf numFmtId="164" fontId="9" fillId="0" borderId="0" xfId="6" applyNumberFormat="1" applyFont="1"/>
    <xf numFmtId="165" fontId="9" fillId="0" borderId="0" xfId="5" applyNumberFormat="1" applyFont="1"/>
    <xf numFmtId="165" fontId="9" fillId="0" borderId="0" xfId="5" applyNumberFormat="1" applyFont="1" applyBorder="1"/>
    <xf numFmtId="164" fontId="9" fillId="0" borderId="0" xfId="6" applyNumberFormat="1" applyFont="1" applyBorder="1"/>
    <xf numFmtId="165" fontId="5" fillId="0" borderId="5" xfId="5" applyNumberFormat="1" applyFont="1" applyBorder="1" applyAlignment="1">
      <alignment horizontal="center"/>
    </xf>
    <xf numFmtId="165" fontId="5" fillId="0" borderId="1" xfId="5" applyNumberFormat="1" applyFont="1" applyBorder="1" applyAlignment="1">
      <alignment horizontal="center"/>
    </xf>
    <xf numFmtId="0" fontId="5" fillId="0" borderId="3" xfId="0" applyFont="1" applyBorder="1"/>
    <xf numFmtId="0" fontId="5" fillId="0" borderId="5" xfId="0" applyFont="1" applyBorder="1"/>
    <xf numFmtId="3" fontId="5" fillId="0" borderId="2" xfId="0" applyNumberFormat="1" applyFont="1" applyBorder="1"/>
    <xf numFmtId="3" fontId="9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10" fillId="0" borderId="0" xfId="0" applyNumberFormat="1" applyFont="1"/>
    <xf numFmtId="3" fontId="9" fillId="0" borderId="0" xfId="0" applyNumberFormat="1" applyFont="1"/>
    <xf numFmtId="3" fontId="5" fillId="0" borderId="1" xfId="0" applyNumberFormat="1" applyFont="1" applyBorder="1"/>
    <xf numFmtId="44" fontId="12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7" fontId="5" fillId="0" borderId="0" xfId="5" applyNumberFormat="1" applyFont="1" applyAlignment="1"/>
    <xf numFmtId="167" fontId="5" fillId="0" borderId="2" xfId="5" applyNumberFormat="1" applyFont="1" applyBorder="1"/>
    <xf numFmtId="167" fontId="5" fillId="0" borderId="0" xfId="5" applyNumberFormat="1" applyFont="1" applyBorder="1" applyAlignment="1"/>
    <xf numFmtId="167" fontId="5" fillId="0" borderId="0" xfId="5" applyNumberFormat="1" applyFont="1" applyBorder="1" applyAlignment="1">
      <alignment horizontal="center"/>
    </xf>
    <xf numFmtId="167" fontId="15" fillId="0" borderId="0" xfId="5" applyNumberFormat="1" applyFont="1" applyBorder="1" applyAlignment="1"/>
    <xf numFmtId="170" fontId="5" fillId="0" borderId="0" xfId="0" applyNumberFormat="1" applyFont="1"/>
    <xf numFmtId="169" fontId="9" fillId="0" borderId="0" xfId="0" applyNumberFormat="1" applyFont="1"/>
    <xf numFmtId="167" fontId="5" fillId="0" borderId="0" xfId="5" quotePrefix="1" applyNumberFormat="1" applyFont="1" applyBorder="1" applyAlignment="1">
      <alignment horizontal="center"/>
    </xf>
    <xf numFmtId="3" fontId="5" fillId="0" borderId="4" xfId="0" applyNumberFormat="1" applyFont="1" applyBorder="1"/>
    <xf numFmtId="3" fontId="5" fillId="0" borderId="8" xfId="0" applyNumberFormat="1" applyFont="1" applyBorder="1"/>
    <xf numFmtId="3" fontId="5" fillId="0" borderId="6" xfId="0" applyNumberFormat="1" applyFont="1" applyBorder="1"/>
    <xf numFmtId="3" fontId="5" fillId="0" borderId="7" xfId="0" applyNumberFormat="1" applyFont="1" applyBorder="1"/>
    <xf numFmtId="4" fontId="5" fillId="0" borderId="7" xfId="0" applyNumberFormat="1" applyFont="1" applyBorder="1"/>
    <xf numFmtId="0" fontId="5" fillId="0" borderId="0" xfId="0" applyFont="1" applyAlignment="1">
      <alignment vertical="top"/>
    </xf>
    <xf numFmtId="0" fontId="24" fillId="0" borderId="0" xfId="0" applyFont="1"/>
    <xf numFmtId="165" fontId="24" fillId="0" borderId="0" xfId="1" applyNumberFormat="1" applyFont="1"/>
    <xf numFmtId="43" fontId="5" fillId="0" borderId="0" xfId="1" applyFont="1" applyAlignment="1">
      <alignment horizontal="right"/>
    </xf>
    <xf numFmtId="10" fontId="5" fillId="0" borderId="1" xfId="3" applyNumberFormat="1" applyFont="1" applyBorder="1"/>
    <xf numFmtId="165" fontId="5" fillId="0" borderId="0" xfId="5" applyNumberFormat="1" applyFont="1" applyBorder="1" applyAlignment="1">
      <alignment horizontal="right"/>
    </xf>
    <xf numFmtId="165" fontId="5" fillId="0" borderId="0" xfId="1" applyNumberFormat="1" applyFont="1" applyFill="1" applyAlignment="1">
      <alignment vertical="center"/>
    </xf>
    <xf numFmtId="6" fontId="5" fillId="0" borderId="0" xfId="0" applyNumberFormat="1" applyFont="1"/>
    <xf numFmtId="9" fontId="5" fillId="0" borderId="0" xfId="0" applyNumberFormat="1" applyFont="1"/>
    <xf numFmtId="165" fontId="5" fillId="0" borderId="0" xfId="9" applyNumberFormat="1" applyFont="1" applyFill="1" applyBorder="1"/>
    <xf numFmtId="165" fontId="11" fillId="0" borderId="0" xfId="9" applyNumberFormat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166" fontId="5" fillId="0" borderId="0" xfId="3" applyNumberFormat="1" applyFont="1" applyFill="1" applyBorder="1"/>
    <xf numFmtId="44" fontId="5" fillId="0" borderId="0" xfId="0" applyNumberFormat="1" applyFont="1" applyFill="1" applyBorder="1"/>
    <xf numFmtId="165" fontId="5" fillId="0" borderId="0" xfId="0" applyNumberFormat="1" applyFont="1" applyFill="1" applyBorder="1"/>
    <xf numFmtId="44" fontId="5" fillId="0" borderId="0" xfId="0" applyNumberFormat="1" applyFont="1" applyFill="1" applyBorder="1" applyAlignment="1">
      <alignment horizontal="right"/>
    </xf>
    <xf numFmtId="9" fontId="5" fillId="0" borderId="0" xfId="0" applyNumberFormat="1" applyFont="1" applyFill="1" applyBorder="1" applyAlignment="1">
      <alignment horizontal="right"/>
    </xf>
    <xf numFmtId="9" fontId="5" fillId="0" borderId="0" xfId="3" applyFont="1" applyFill="1" applyBorder="1" applyAlignment="1">
      <alignment horizontal="right"/>
    </xf>
    <xf numFmtId="44" fontId="20" fillId="0" borderId="0" xfId="0" applyNumberFormat="1" applyFont="1" applyFill="1" applyBorder="1" applyAlignment="1">
      <alignment horizontal="right"/>
    </xf>
    <xf numFmtId="44" fontId="2" fillId="0" borderId="0" xfId="0" applyNumberFormat="1" applyFont="1" applyFill="1" applyBorder="1" applyAlignment="1">
      <alignment horizontal="right"/>
    </xf>
    <xf numFmtId="44" fontId="5" fillId="0" borderId="0" xfId="10" applyNumberFormat="1" applyFont="1" applyFill="1" applyBorder="1" applyAlignment="1">
      <alignment horizontal="right"/>
    </xf>
    <xf numFmtId="44" fontId="5" fillId="0" borderId="1" xfId="0" applyNumberFormat="1" applyFont="1" applyFill="1" applyBorder="1" applyAlignment="1">
      <alignment horizontal="right"/>
    </xf>
    <xf numFmtId="44" fontId="5" fillId="0" borderId="1" xfId="10" applyNumberFormat="1" applyFont="1" applyFill="1" applyBorder="1" applyAlignment="1">
      <alignment horizontal="right"/>
    </xf>
    <xf numFmtId="166" fontId="5" fillId="0" borderId="0" xfId="3" applyNumberFormat="1" applyFont="1" applyFill="1" applyBorder="1" applyAlignment="1">
      <alignment horizontal="right"/>
    </xf>
    <xf numFmtId="166" fontId="9" fillId="0" borderId="0" xfId="3" applyNumberFormat="1" applyFont="1" applyFill="1" applyBorder="1" applyAlignment="1">
      <alignment horizontal="right"/>
    </xf>
    <xf numFmtId="9" fontId="5" fillId="0" borderId="0" xfId="3" applyNumberFormat="1" applyFont="1" applyFill="1" applyBorder="1" applyAlignment="1">
      <alignment horizontal="right"/>
    </xf>
    <xf numFmtId="9" fontId="21" fillId="0" borderId="0" xfId="4" applyNumberFormat="1" applyFont="1" applyFill="1" applyBorder="1" applyAlignment="1">
      <alignment horizontal="right"/>
    </xf>
    <xf numFmtId="9" fontId="5" fillId="0" borderId="0" xfId="9" applyNumberFormat="1" applyFont="1" applyFill="1" applyBorder="1" applyAlignment="1">
      <alignment horizontal="right"/>
    </xf>
    <xf numFmtId="9" fontId="11" fillId="0" borderId="0" xfId="9" applyNumberFormat="1" applyFont="1" applyFill="1" applyBorder="1" applyAlignment="1">
      <alignment horizontal="right"/>
    </xf>
    <xf numFmtId="9" fontId="21" fillId="0" borderId="0" xfId="3" applyFont="1" applyFill="1" applyBorder="1" applyAlignment="1">
      <alignment horizontal="right"/>
    </xf>
    <xf numFmtId="44" fontId="1" fillId="0" borderId="0" xfId="0" applyNumberFormat="1" applyFont="1" applyFill="1" applyBorder="1" applyAlignment="1">
      <alignment horizontal="right"/>
    </xf>
    <xf numFmtId="44" fontId="5" fillId="0" borderId="0" xfId="3" applyNumberFormat="1" applyFont="1" applyFill="1" applyBorder="1" applyAlignment="1">
      <alignment horizontal="right"/>
    </xf>
    <xf numFmtId="44" fontId="21" fillId="0" borderId="0" xfId="0" applyNumberFormat="1" applyFont="1" applyFill="1" applyBorder="1" applyAlignment="1">
      <alignment horizontal="right"/>
    </xf>
    <xf numFmtId="44" fontId="5" fillId="0" borderId="0" xfId="9" applyNumberFormat="1" applyFont="1" applyFill="1" applyBorder="1" applyAlignment="1">
      <alignment horizontal="right"/>
    </xf>
    <xf numFmtId="44" fontId="11" fillId="0" borderId="0" xfId="9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10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9" fontId="9" fillId="0" borderId="0" xfId="0" applyNumberFormat="1" applyFont="1" applyAlignment="1">
      <alignment horizontal="right"/>
    </xf>
    <xf numFmtId="167" fontId="5" fillId="0" borderId="1" xfId="5" applyNumberFormat="1" applyFont="1" applyBorder="1" applyAlignment="1">
      <alignment horizontal="right"/>
    </xf>
    <xf numFmtId="167" fontId="5" fillId="0" borderId="0" xfId="5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2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5" fillId="0" borderId="0" xfId="5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67" fontId="10" fillId="0" borderId="0" xfId="5" applyNumberFormat="1" applyFont="1" applyBorder="1" applyAlignment="1">
      <alignment horizontal="center"/>
    </xf>
    <xf numFmtId="164" fontId="11" fillId="0" borderId="0" xfId="0" applyNumberFormat="1" applyFont="1" applyAlignment="1">
      <alignment horizontal="right"/>
    </xf>
    <xf numFmtId="10" fontId="5" fillId="0" borderId="0" xfId="3" applyNumberFormat="1" applyFont="1" applyBorder="1" applyAlignment="1"/>
    <xf numFmtId="43" fontId="5" fillId="0" borderId="0" xfId="1" applyFont="1" applyBorder="1" applyAlignment="1">
      <alignment vertical="center"/>
    </xf>
    <xf numFmtId="44" fontId="5" fillId="0" borderId="0" xfId="1" applyNumberFormat="1" applyFont="1"/>
    <xf numFmtId="44" fontId="5" fillId="0" borderId="0" xfId="0" applyNumberFormat="1" applyFont="1"/>
    <xf numFmtId="44" fontId="5" fillId="0" borderId="0" xfId="1" applyNumberFormat="1" applyFont="1" applyBorder="1"/>
    <xf numFmtId="44" fontId="5" fillId="0" borderId="1" xfId="0" applyNumberFormat="1" applyFont="1" applyBorder="1"/>
    <xf numFmtId="44" fontId="5" fillId="0" borderId="0" xfId="0" applyNumberFormat="1" applyFont="1" applyBorder="1"/>
    <xf numFmtId="43" fontId="5" fillId="0" borderId="5" xfId="1" applyFont="1" applyFill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0" fontId="5" fillId="0" borderId="1" xfId="0" applyFont="1" applyBorder="1"/>
    <xf numFmtId="164" fontId="5" fillId="0" borderId="0" xfId="2" applyNumberFormat="1" applyFont="1"/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right" vertical="center"/>
    </xf>
    <xf numFmtId="165" fontId="5" fillId="0" borderId="1" xfId="0" applyNumberFormat="1" applyFont="1" applyBorder="1" applyAlignment="1">
      <alignment horizontal="center" vertical="center"/>
    </xf>
    <xf numFmtId="164" fontId="5" fillId="0" borderId="0" xfId="1" applyNumberFormat="1" applyFont="1"/>
    <xf numFmtId="164" fontId="5" fillId="0" borderId="1" xfId="1" applyNumberFormat="1" applyFont="1" applyBorder="1"/>
    <xf numFmtId="9" fontId="5" fillId="0" borderId="0" xfId="3" applyFont="1" applyAlignment="1">
      <alignment vertical="top"/>
    </xf>
    <xf numFmtId="10" fontId="5" fillId="0" borderId="0" xfId="3" applyNumberFormat="1" applyFont="1" applyAlignment="1">
      <alignment vertical="top"/>
    </xf>
    <xf numFmtId="164" fontId="5" fillId="0" borderId="0" xfId="0" applyNumberFormat="1" applyFont="1" applyBorder="1"/>
    <xf numFmtId="164" fontId="5" fillId="0" borderId="1" xfId="1" applyNumberFormat="1" applyFont="1" applyBorder="1" applyAlignment="1">
      <alignment horizontal="right" vertical="center"/>
    </xf>
    <xf numFmtId="10" fontId="5" fillId="0" borderId="0" xfId="3" applyNumberFormat="1" applyFont="1" applyBorder="1" applyAlignment="1">
      <alignment horizontal="center"/>
    </xf>
    <xf numFmtId="167" fontId="10" fillId="0" borderId="0" xfId="5" applyNumberFormat="1" applyFont="1" applyBorder="1" applyAlignment="1">
      <alignment horizontal="center"/>
    </xf>
    <xf numFmtId="0" fontId="5" fillId="0" borderId="0" xfId="0" applyFont="1" applyFill="1" applyBorder="1" applyAlignment="1">
      <alignment wrapText="1"/>
    </xf>
    <xf numFmtId="44" fontId="5" fillId="0" borderId="0" xfId="0" applyNumberFormat="1" applyFont="1" applyFill="1" applyBorder="1" applyAlignment="1">
      <alignment horizontal="right" wrapText="1"/>
    </xf>
    <xf numFmtId="166" fontId="5" fillId="0" borderId="0" xfId="3" applyNumberFormat="1" applyFont="1" applyFill="1" applyBorder="1" applyAlignment="1">
      <alignment horizontal="right" wrapText="1"/>
    </xf>
    <xf numFmtId="9" fontId="5" fillId="0" borderId="0" xfId="0" applyNumberFormat="1" applyFont="1" applyFill="1" applyBorder="1" applyAlignment="1">
      <alignment horizontal="right" wrapText="1"/>
    </xf>
    <xf numFmtId="9" fontId="5" fillId="0" borderId="0" xfId="3" applyFont="1" applyFill="1" applyBorder="1" applyAlignment="1">
      <alignment horizontal="right" wrapText="1"/>
    </xf>
    <xf numFmtId="44" fontId="5" fillId="0" borderId="0" xfId="0" applyNumberFormat="1" applyFont="1" applyFill="1" applyBorder="1" applyAlignment="1">
      <alignment wrapText="1"/>
    </xf>
    <xf numFmtId="43" fontId="5" fillId="0" borderId="1" xfId="1" applyFont="1" applyFill="1" applyBorder="1"/>
    <xf numFmtId="0" fontId="5" fillId="0" borderId="0" xfId="0" applyFont="1" applyFill="1"/>
    <xf numFmtId="165" fontId="5" fillId="0" borderId="0" xfId="1" applyNumberFormat="1" applyFont="1" applyFill="1"/>
    <xf numFmtId="165" fontId="5" fillId="0" borderId="2" xfId="1" applyNumberFormat="1" applyFont="1" applyFill="1" applyBorder="1"/>
    <xf numFmtId="165" fontId="5" fillId="0" borderId="1" xfId="1" applyNumberFormat="1" applyFont="1" applyFill="1" applyBorder="1"/>
    <xf numFmtId="3" fontId="13" fillId="0" borderId="7" xfId="0" applyNumberFormat="1" applyFont="1" applyFill="1" applyBorder="1" applyAlignment="1">
      <alignment horizontal="center" vertical="center"/>
    </xf>
    <xf numFmtId="165" fontId="11" fillId="0" borderId="7" xfId="1" applyNumberFormat="1" applyFont="1" applyFill="1" applyBorder="1" applyAlignment="1">
      <alignment horizontal="center"/>
    </xf>
    <xf numFmtId="43" fontId="5" fillId="0" borderId="7" xfId="1" applyFont="1" applyFill="1" applyBorder="1"/>
    <xf numFmtId="3" fontId="13" fillId="0" borderId="0" xfId="0" applyNumberFormat="1" applyFont="1" applyFill="1" applyBorder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/>
    </xf>
    <xf numFmtId="43" fontId="5" fillId="2" borderId="7" xfId="1" applyFont="1" applyFill="1" applyBorder="1"/>
    <xf numFmtId="43" fontId="5" fillId="0" borderId="15" xfId="1" applyFont="1" applyBorder="1" applyAlignment="1"/>
    <xf numFmtId="43" fontId="5" fillId="0" borderId="16" xfId="1" applyFont="1" applyBorder="1" applyAlignment="1"/>
    <xf numFmtId="43" fontId="11" fillId="0" borderId="16" xfId="1" applyFont="1" applyBorder="1" applyAlignment="1">
      <alignment horizontal="center"/>
    </xf>
    <xf numFmtId="43" fontId="5" fillId="0" borderId="15" xfId="1" applyFont="1" applyBorder="1" applyAlignment="1">
      <alignment horizontal="right"/>
    </xf>
    <xf numFmtId="44" fontId="5" fillId="0" borderId="16" xfId="2" applyFont="1" applyBorder="1" applyAlignment="1"/>
    <xf numFmtId="43" fontId="5" fillId="0" borderId="17" xfId="1" applyFont="1" applyBorder="1" applyAlignment="1"/>
    <xf numFmtId="43" fontId="5" fillId="0" borderId="18" xfId="1" applyFont="1" applyBorder="1" applyAlignment="1"/>
    <xf numFmtId="10" fontId="5" fillId="0" borderId="18" xfId="3" applyNumberFormat="1" applyFont="1" applyBorder="1" applyAlignment="1">
      <alignment horizontal="center"/>
    </xf>
    <xf numFmtId="43" fontId="5" fillId="0" borderId="19" xfId="1" applyFont="1" applyBorder="1" applyAlignment="1"/>
    <xf numFmtId="171" fontId="5" fillId="0" borderId="0" xfId="2" applyNumberFormat="1" applyFont="1" applyBorder="1" applyAlignment="1"/>
    <xf numFmtId="171" fontId="5" fillId="0" borderId="18" xfId="2" applyNumberFormat="1" applyFont="1" applyBorder="1" applyAlignment="1"/>
    <xf numFmtId="171" fontId="5" fillId="0" borderId="0" xfId="2" applyNumberFormat="1" applyFont="1" applyFill="1" applyBorder="1" applyAlignment="1"/>
    <xf numFmtId="171" fontId="5" fillId="0" borderId="0" xfId="2" applyNumberFormat="1" applyFont="1" applyFill="1" applyBorder="1" applyAlignment="1">
      <alignment vertical="center"/>
    </xf>
    <xf numFmtId="171" fontId="5" fillId="0" borderId="18" xfId="2" applyNumberFormat="1" applyFont="1" applyFill="1" applyBorder="1" applyAlignment="1"/>
    <xf numFmtId="43" fontId="5" fillId="0" borderId="15" xfId="1" applyFont="1" applyBorder="1" applyAlignment="1">
      <alignment horizontal="right" wrapText="1"/>
    </xf>
    <xf numFmtId="172" fontId="5" fillId="0" borderId="0" xfId="2" applyNumberFormat="1" applyFont="1" applyBorder="1" applyAlignment="1"/>
    <xf numFmtId="172" fontId="5" fillId="0" borderId="0" xfId="2" applyNumberFormat="1" applyFont="1" applyFill="1" applyBorder="1" applyAlignment="1"/>
    <xf numFmtId="43" fontId="5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71" fontId="5" fillId="0" borderId="0" xfId="2" applyNumberFormat="1" applyFont="1"/>
    <xf numFmtId="0" fontId="5" fillId="0" borderId="0" xfId="0" applyFont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7" fontId="5" fillId="0" borderId="1" xfId="1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0" fontId="5" fillId="0" borderId="0" xfId="1" applyNumberFormat="1" applyFont="1" applyBorder="1" applyAlignment="1">
      <alignment horizontal="right" vertical="center"/>
    </xf>
    <xf numFmtId="164" fontId="5" fillId="0" borderId="1" xfId="2" applyNumberFormat="1" applyFont="1" applyBorder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5" fillId="0" borderId="0" xfId="3" applyNumberFormat="1" applyFont="1"/>
    <xf numFmtId="0" fontId="9" fillId="0" borderId="0" xfId="0" applyFont="1"/>
    <xf numFmtId="166" fontId="5" fillId="0" borderId="0" xfId="0" applyNumberFormat="1" applyFont="1" applyFill="1" applyBorder="1" applyAlignment="1">
      <alignment horizontal="right"/>
    </xf>
    <xf numFmtId="44" fontId="5" fillId="0" borderId="0" xfId="0" applyNumberFormat="1" applyFont="1" applyFill="1" applyBorder="1" applyAlignment="1">
      <alignment horizontal="center"/>
    </xf>
    <xf numFmtId="44" fontId="5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43" fontId="5" fillId="0" borderId="0" xfId="1" applyFont="1" applyFill="1"/>
    <xf numFmtId="44" fontId="5" fillId="0" borderId="1" xfId="0" applyNumberFormat="1" applyFont="1" applyFill="1" applyBorder="1"/>
    <xf numFmtId="43" fontId="9" fillId="0" borderId="0" xfId="1" applyFont="1"/>
    <xf numFmtId="3" fontId="13" fillId="0" borderId="0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165" fontId="12" fillId="0" borderId="0" xfId="1" applyNumberFormat="1" applyFont="1"/>
    <xf numFmtId="44" fontId="5" fillId="0" borderId="0" xfId="2" applyNumberFormat="1" applyFont="1" applyBorder="1" applyAlignment="1"/>
    <xf numFmtId="44" fontId="5" fillId="0" borderId="0" xfId="2" applyNumberFormat="1" applyFont="1" applyFill="1" applyBorder="1" applyAlignment="1">
      <alignment vertical="center"/>
    </xf>
    <xf numFmtId="44" fontId="11" fillId="0" borderId="0" xfId="0" applyNumberFormat="1" applyFont="1" applyFill="1" applyBorder="1" applyAlignment="1">
      <alignment horizontal="right"/>
    </xf>
    <xf numFmtId="3" fontId="9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165" fontId="5" fillId="0" borderId="0" xfId="5" applyNumberFormat="1" applyFont="1" applyAlignment="1"/>
    <xf numFmtId="165" fontId="5" fillId="0" borderId="0" xfId="5" applyNumberFormat="1" applyFont="1" applyAlignment="1">
      <alignment vertical="center"/>
    </xf>
    <xf numFmtId="9" fontId="5" fillId="0" borderId="0" xfId="7" applyFont="1"/>
    <xf numFmtId="0" fontId="5" fillId="0" borderId="0" xfId="0" applyFont="1" applyAlignment="1">
      <alignment vertical="center"/>
    </xf>
    <xf numFmtId="0" fontId="5" fillId="0" borderId="0" xfId="5" applyNumberFormat="1" applyFont="1" applyAlignment="1">
      <alignment vertical="center"/>
    </xf>
    <xf numFmtId="165" fontId="11" fillId="0" borderId="0" xfId="5" applyNumberFormat="1" applyFont="1" applyBorder="1"/>
    <xf numFmtId="0" fontId="5" fillId="0" borderId="0" xfId="0" applyFont="1" applyAlignment="1">
      <alignment horizontal="left" vertical="center"/>
    </xf>
    <xf numFmtId="165" fontId="5" fillId="0" borderId="0" xfId="7" applyNumberFormat="1" applyFont="1" applyAlignment="1">
      <alignment vertical="center"/>
    </xf>
    <xf numFmtId="165" fontId="6" fillId="0" borderId="0" xfId="1" applyNumberFormat="1" applyFont="1" applyAlignment="1">
      <alignment horizontal="center" vertical="center"/>
    </xf>
    <xf numFmtId="165" fontId="6" fillId="0" borderId="0" xfId="5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 vertical="center"/>
    </xf>
    <xf numFmtId="167" fontId="10" fillId="0" borderId="0" xfId="5" applyNumberFormat="1" applyFont="1" applyBorder="1" applyAlignment="1">
      <alignment horizontal="center"/>
    </xf>
    <xf numFmtId="165" fontId="12" fillId="0" borderId="7" xfId="5" applyNumberFormat="1" applyFont="1" applyBorder="1" applyAlignment="1">
      <alignment horizontal="center" vertical="center"/>
    </xf>
    <xf numFmtId="165" fontId="12" fillId="0" borderId="8" xfId="5" applyNumberFormat="1" applyFont="1" applyBorder="1" applyAlignment="1">
      <alignment horizontal="center" vertical="center"/>
    </xf>
    <xf numFmtId="43" fontId="6" fillId="0" borderId="15" xfId="1" applyFont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16" xfId="1" applyFont="1" applyBorder="1" applyAlignment="1">
      <alignment horizontal="center"/>
    </xf>
    <xf numFmtId="43" fontId="11" fillId="0" borderId="0" xfId="1" applyFont="1" applyBorder="1" applyAlignment="1">
      <alignment horizontal="center"/>
    </xf>
    <xf numFmtId="0" fontId="0" fillId="0" borderId="0" xfId="0" applyBorder="1" applyAlignment="1">
      <alignment horizontal="center"/>
    </xf>
    <xf numFmtId="43" fontId="6" fillId="0" borderId="12" xfId="1" applyFont="1" applyBorder="1" applyAlignment="1">
      <alignment horizontal="center"/>
    </xf>
    <xf numFmtId="43" fontId="6" fillId="0" borderId="13" xfId="1" applyFont="1" applyBorder="1" applyAlignment="1">
      <alignment horizontal="center"/>
    </xf>
    <xf numFmtId="43" fontId="6" fillId="0" borderId="14" xfId="1" applyFont="1" applyBorder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3" fontId="22" fillId="0" borderId="0" xfId="0" applyNumberFormat="1" applyFont="1" applyBorder="1" applyAlignment="1">
      <alignment horizontal="center"/>
    </xf>
    <xf numFmtId="3" fontId="22" fillId="0" borderId="16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43" fontId="11" fillId="0" borderId="15" xfId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8" xfId="0" applyNumberFormat="1" applyFont="1" applyBorder="1" applyAlignment="1">
      <alignment horizontal="center"/>
    </xf>
    <xf numFmtId="3" fontId="13" fillId="0" borderId="0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165" fontId="6" fillId="0" borderId="0" xfId="1" applyNumberFormat="1" applyFont="1" applyBorder="1" applyAlignment="1">
      <alignment horizontal="center"/>
    </xf>
    <xf numFmtId="165" fontId="6" fillId="0" borderId="8" xfId="1" applyNumberFormat="1" applyFont="1" applyBorder="1" applyAlignment="1">
      <alignment horizontal="center"/>
    </xf>
    <xf numFmtId="0" fontId="9" fillId="0" borderId="7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9" fillId="0" borderId="8" xfId="0" applyNumberFormat="1" applyFont="1" applyBorder="1" applyAlignment="1">
      <alignment horizontal="center"/>
    </xf>
    <xf numFmtId="165" fontId="6" fillId="0" borderId="7" xfId="1" applyNumberFormat="1" applyFont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3" fontId="13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</cellXfs>
  <cellStyles count="11">
    <cellStyle name="Comma" xfId="1" builtinId="3"/>
    <cellStyle name="Comma 2" xfId="5" xr:uid="{00000000-0005-0000-0000-000001000000}"/>
    <cellStyle name="Comma 3" xfId="9" xr:uid="{00000000-0005-0000-0000-000002000000}"/>
    <cellStyle name="Currency" xfId="2" builtinId="4"/>
    <cellStyle name="Currency 2" xfId="6" xr:uid="{00000000-0005-0000-0000-000004000000}"/>
    <cellStyle name="Currency 3" xfId="10" xr:uid="{00000000-0005-0000-0000-000005000000}"/>
    <cellStyle name="Normal" xfId="0" builtinId="0"/>
    <cellStyle name="Normal 2" xfId="4" xr:uid="{00000000-0005-0000-0000-000007000000}"/>
    <cellStyle name="Normal 3" xfId="8" xr:uid="{00000000-0005-0000-0000-000008000000}"/>
    <cellStyle name="Percent" xfId="3" builtinId="5"/>
    <cellStyle name="Percent 2" xfId="7" xr:uid="{00000000-0005-0000-0000-00000A000000}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620783bd5d64abe/Union%20County%20WD/Rate%20Stud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O"/>
      <sheetName val="Revenue Requirements"/>
      <sheetName val="Wages"/>
      <sheetName val="Medical"/>
      <sheetName val="Depreciation"/>
      <sheetName val="Debt Service"/>
      <sheetName val="Capital"/>
      <sheetName val="Water Loss"/>
      <sheetName val="Rates"/>
      <sheetName val="Bills"/>
      <sheetName val="ExBA"/>
      <sheetName val="PrB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9"/>
  <sheetViews>
    <sheetView showGridLines="0" workbookViewId="0">
      <selection activeCell="K60" sqref="K60"/>
    </sheetView>
  </sheetViews>
  <sheetFormatPr defaultColWidth="8.77734375" defaultRowHeight="14.25" x14ac:dyDescent="0.45"/>
  <cols>
    <col min="1" max="1" width="3.6640625" style="7" customWidth="1"/>
    <col min="2" max="2" width="2.6640625" style="7" customWidth="1"/>
    <col min="3" max="3" width="29.44140625" style="7" customWidth="1"/>
    <col min="4" max="4" width="11.33203125" style="7" customWidth="1"/>
    <col min="5" max="5" width="11.5546875" style="7" customWidth="1"/>
    <col min="6" max="6" width="5.33203125" style="7" customWidth="1"/>
    <col min="7" max="7" width="11.5546875" style="7" customWidth="1"/>
    <col min="8" max="8" width="3.5546875" style="7" customWidth="1"/>
    <col min="9" max="11" width="11.33203125" style="7" customWidth="1"/>
    <col min="12" max="12" width="10.88671875" style="7" customWidth="1"/>
    <col min="13" max="16384" width="8.77734375" style="7"/>
  </cols>
  <sheetData>
    <row r="1" spans="1:13" ht="18" x14ac:dyDescent="0.45">
      <c r="A1" s="297" t="s">
        <v>29</v>
      </c>
      <c r="B1" s="297"/>
      <c r="C1" s="297"/>
      <c r="D1" s="297"/>
      <c r="E1" s="297"/>
      <c r="F1" s="297"/>
      <c r="G1" s="297"/>
      <c r="H1" s="52"/>
      <c r="I1" s="52"/>
      <c r="J1" s="52"/>
      <c r="K1" s="52"/>
    </row>
    <row r="2" spans="1:13" ht="15.75" x14ac:dyDescent="0.45">
      <c r="A2" s="53" t="s">
        <v>228</v>
      </c>
      <c r="B2" s="51"/>
      <c r="C2" s="51"/>
      <c r="D2" s="51"/>
      <c r="E2" s="51"/>
      <c r="F2" s="51"/>
      <c r="G2" s="51"/>
      <c r="H2" s="52"/>
      <c r="I2" s="52"/>
      <c r="J2" s="52"/>
      <c r="K2" s="52"/>
      <c r="L2" s="52"/>
    </row>
    <row r="3" spans="1:13" x14ac:dyDescent="0.45">
      <c r="A3" s="44"/>
      <c r="B3" s="51"/>
      <c r="C3" s="51"/>
      <c r="D3" s="51"/>
      <c r="E3" s="51"/>
      <c r="F3" s="51"/>
      <c r="G3" s="51"/>
      <c r="H3" s="52"/>
      <c r="I3" s="52"/>
      <c r="J3" s="52"/>
      <c r="K3" s="52"/>
    </row>
    <row r="4" spans="1:13" ht="16.5" x14ac:dyDescent="0.75">
      <c r="A4" s="52"/>
      <c r="B4" s="52"/>
      <c r="C4" s="52"/>
      <c r="D4" s="54" t="s">
        <v>30</v>
      </c>
      <c r="E4" s="54" t="s">
        <v>31</v>
      </c>
      <c r="F4" s="54" t="s">
        <v>32</v>
      </c>
      <c r="G4" s="54" t="s">
        <v>33</v>
      </c>
      <c r="H4" s="52"/>
      <c r="I4" s="67" t="s">
        <v>38</v>
      </c>
      <c r="J4" s="52"/>
      <c r="K4" s="52"/>
      <c r="M4" s="283" t="s">
        <v>322</v>
      </c>
    </row>
    <row r="5" spans="1:13" x14ac:dyDescent="0.45">
      <c r="A5" s="55" t="s">
        <v>14</v>
      </c>
      <c r="B5" s="52"/>
      <c r="C5" s="52"/>
      <c r="D5" s="52"/>
      <c r="F5" s="52"/>
      <c r="G5" s="52"/>
      <c r="H5" s="52"/>
      <c r="J5" s="52"/>
      <c r="K5" s="52"/>
    </row>
    <row r="6" spans="1:13" x14ac:dyDescent="0.45">
      <c r="A6" s="52"/>
      <c r="B6" s="52" t="s">
        <v>40</v>
      </c>
      <c r="C6" s="52"/>
      <c r="D6" s="52">
        <v>1895469</v>
      </c>
      <c r="E6" s="52">
        <f>ExBA!H8</f>
        <v>-35641.303400000092</v>
      </c>
      <c r="F6" s="56" t="s">
        <v>312</v>
      </c>
      <c r="G6" s="52">
        <f>D6+E6</f>
        <v>1859827.6965999999</v>
      </c>
      <c r="H6" s="57"/>
      <c r="I6" s="52" t="s">
        <v>323</v>
      </c>
      <c r="J6" s="52"/>
      <c r="K6" s="52"/>
      <c r="M6" s="7" t="s">
        <v>324</v>
      </c>
    </row>
    <row r="7" spans="1:13" x14ac:dyDescent="0.45">
      <c r="A7" s="52"/>
      <c r="B7" s="52" t="s">
        <v>52</v>
      </c>
      <c r="C7" s="52"/>
      <c r="D7" s="52">
        <v>0</v>
      </c>
      <c r="E7" s="52"/>
      <c r="F7" s="56"/>
      <c r="G7" s="52">
        <f>D7+E7</f>
        <v>0</v>
      </c>
      <c r="H7" s="58"/>
      <c r="I7" s="50"/>
      <c r="J7" s="52"/>
      <c r="K7" s="52"/>
    </row>
    <row r="8" spans="1:13" x14ac:dyDescent="0.45">
      <c r="A8" s="52"/>
      <c r="B8" s="52" t="s">
        <v>15</v>
      </c>
      <c r="C8" s="52"/>
      <c r="D8" s="52">
        <v>0</v>
      </c>
      <c r="E8" s="52"/>
      <c r="F8" s="56"/>
      <c r="G8" s="52">
        <f>D8+E8</f>
        <v>0</v>
      </c>
      <c r="H8" s="57"/>
      <c r="I8" s="52"/>
      <c r="J8" s="52"/>
    </row>
    <row r="9" spans="1:13" x14ac:dyDescent="0.45">
      <c r="A9" s="52"/>
      <c r="B9" s="52"/>
      <c r="C9" s="52"/>
      <c r="D9" s="52"/>
      <c r="E9" s="52"/>
      <c r="F9" s="56"/>
      <c r="G9" s="52"/>
      <c r="H9" s="57"/>
      <c r="I9" s="52"/>
      <c r="J9" s="52"/>
    </row>
    <row r="10" spans="1:13" x14ac:dyDescent="0.45">
      <c r="A10" s="52"/>
      <c r="B10" s="52" t="s">
        <v>16</v>
      </c>
      <c r="C10" s="52"/>
      <c r="D10" s="52"/>
      <c r="E10" s="52"/>
      <c r="F10" s="56"/>
      <c r="G10" s="52"/>
      <c r="H10" s="59"/>
      <c r="I10" s="52"/>
      <c r="J10" s="52"/>
      <c r="K10" s="52"/>
    </row>
    <row r="11" spans="1:13" x14ac:dyDescent="0.45">
      <c r="A11" s="52"/>
      <c r="B11" s="52"/>
      <c r="C11" s="52" t="s">
        <v>39</v>
      </c>
      <c r="D11" s="52">
        <v>0</v>
      </c>
      <c r="E11" s="52"/>
      <c r="F11" s="56"/>
      <c r="G11" s="52">
        <f>D11+E11</f>
        <v>0</v>
      </c>
      <c r="H11" s="57"/>
      <c r="I11" s="52"/>
      <c r="J11" s="52"/>
      <c r="K11" s="52"/>
    </row>
    <row r="12" spans="1:13" x14ac:dyDescent="0.45">
      <c r="A12" s="52"/>
      <c r="C12" s="52" t="s">
        <v>17</v>
      </c>
      <c r="D12" s="52">
        <v>0</v>
      </c>
      <c r="E12" s="52"/>
      <c r="F12" s="56"/>
      <c r="G12" s="52">
        <f>D12+E12</f>
        <v>0</v>
      </c>
      <c r="H12" s="57"/>
      <c r="J12" s="52"/>
      <c r="K12" s="52"/>
    </row>
    <row r="13" spans="1:13" ht="16.5" x14ac:dyDescent="0.45">
      <c r="A13" s="52"/>
      <c r="C13" s="52" t="s">
        <v>53</v>
      </c>
      <c r="D13" s="76">
        <v>0</v>
      </c>
      <c r="E13" s="52"/>
      <c r="F13" s="56"/>
      <c r="G13" s="76">
        <f>D13+E13</f>
        <v>0</v>
      </c>
      <c r="H13" s="58"/>
      <c r="I13" s="52"/>
      <c r="J13" s="52"/>
      <c r="K13" s="52"/>
    </row>
    <row r="14" spans="1:13" x14ac:dyDescent="0.45">
      <c r="A14" s="60" t="s">
        <v>18</v>
      </c>
      <c r="B14" s="52"/>
      <c r="C14" s="52"/>
      <c r="D14" s="52">
        <f>SUM(D6:D13)</f>
        <v>1895469</v>
      </c>
      <c r="E14" s="52"/>
      <c r="F14" s="56"/>
      <c r="G14" s="52">
        <f>SUM(G6:G13)</f>
        <v>1859827.6965999999</v>
      </c>
      <c r="H14" s="59"/>
      <c r="J14" s="52"/>
      <c r="K14" s="52"/>
    </row>
    <row r="15" spans="1:13" x14ac:dyDescent="0.45">
      <c r="A15" s="52"/>
      <c r="B15" s="52"/>
      <c r="C15" s="52"/>
      <c r="D15" s="52"/>
      <c r="E15" s="52"/>
      <c r="F15" s="56"/>
      <c r="G15" s="52"/>
      <c r="H15" s="59"/>
      <c r="I15" s="52"/>
      <c r="J15" s="52"/>
      <c r="K15" s="52"/>
    </row>
    <row r="16" spans="1:13" x14ac:dyDescent="0.45">
      <c r="A16" s="55" t="s">
        <v>19</v>
      </c>
      <c r="B16" s="52"/>
      <c r="C16" s="52"/>
      <c r="D16" s="52"/>
      <c r="E16" s="52"/>
      <c r="F16" s="56"/>
      <c r="G16" s="52"/>
      <c r="H16" s="59"/>
      <c r="I16" s="52"/>
      <c r="J16" s="52"/>
      <c r="K16" s="52"/>
    </row>
    <row r="17" spans="1:13" x14ac:dyDescent="0.45">
      <c r="A17" s="52"/>
      <c r="B17" s="52" t="s">
        <v>34</v>
      </c>
      <c r="C17" s="52"/>
      <c r="D17" s="52"/>
      <c r="E17" s="52"/>
      <c r="F17" s="56"/>
      <c r="G17" s="52"/>
      <c r="H17" s="59"/>
      <c r="I17" s="52"/>
      <c r="J17" s="52"/>
      <c r="K17" s="52"/>
    </row>
    <row r="18" spans="1:13" x14ac:dyDescent="0.45">
      <c r="A18" s="52"/>
      <c r="B18" s="52"/>
      <c r="C18" s="52" t="s">
        <v>2</v>
      </c>
      <c r="D18" s="52">
        <v>330111.81</v>
      </c>
      <c r="E18" s="153">
        <f>Wages!H24</f>
        <v>-19781.809999999998</v>
      </c>
      <c r="F18" s="61" t="s">
        <v>313</v>
      </c>
      <c r="G18" s="52"/>
      <c r="H18" s="57"/>
      <c r="I18" s="52" t="s">
        <v>293</v>
      </c>
      <c r="J18" s="52"/>
      <c r="K18" s="52"/>
      <c r="M18" s="7" t="s">
        <v>325</v>
      </c>
    </row>
    <row r="19" spans="1:13" x14ac:dyDescent="0.45">
      <c r="A19" s="52"/>
      <c r="B19" s="52"/>
      <c r="C19" s="52"/>
      <c r="D19" s="52"/>
      <c r="E19" s="153">
        <f>-Capital!C5</f>
        <v>-20955</v>
      </c>
      <c r="F19" s="61" t="s">
        <v>319</v>
      </c>
      <c r="G19" s="52">
        <f>D18+E18+E19</f>
        <v>289375</v>
      </c>
      <c r="H19" s="57"/>
      <c r="I19" s="52" t="s">
        <v>294</v>
      </c>
      <c r="J19" s="52"/>
      <c r="K19" s="52"/>
      <c r="M19" s="7" t="s">
        <v>326</v>
      </c>
    </row>
    <row r="20" spans="1:13" x14ac:dyDescent="0.45">
      <c r="A20" s="52"/>
      <c r="B20" s="52"/>
      <c r="C20" s="52" t="s">
        <v>3</v>
      </c>
      <c r="D20" s="52">
        <v>13421</v>
      </c>
      <c r="E20" s="153">
        <f>Wages!H44</f>
        <v>979</v>
      </c>
      <c r="F20" s="56" t="s">
        <v>314</v>
      </c>
      <c r="G20" s="52">
        <f t="shared" ref="G20:G36" si="0">D20+E20</f>
        <v>14400</v>
      </c>
      <c r="H20" s="57"/>
      <c r="I20" s="7" t="s">
        <v>295</v>
      </c>
      <c r="M20" s="7" t="s">
        <v>328</v>
      </c>
    </row>
    <row r="21" spans="1:13" x14ac:dyDescent="0.45">
      <c r="A21" s="52"/>
      <c r="B21" s="52"/>
      <c r="C21" s="153" t="s">
        <v>4</v>
      </c>
      <c r="D21" s="52">
        <v>227093.92</v>
      </c>
      <c r="E21" s="153">
        <f>-Medical!B31</f>
        <v>-5403</v>
      </c>
      <c r="F21" s="61" t="s">
        <v>315</v>
      </c>
      <c r="G21" s="52"/>
      <c r="H21" s="57"/>
      <c r="I21" s="52" t="s">
        <v>342</v>
      </c>
      <c r="J21" s="52"/>
      <c r="K21" s="52"/>
      <c r="M21" s="7" t="s">
        <v>329</v>
      </c>
    </row>
    <row r="22" spans="1:13" x14ac:dyDescent="0.45">
      <c r="A22" s="52"/>
      <c r="B22" s="52"/>
      <c r="C22" s="153"/>
      <c r="D22" s="52"/>
      <c r="E22" s="153">
        <f>-Wages!H49</f>
        <v>-97070</v>
      </c>
      <c r="F22" s="61" t="s">
        <v>316</v>
      </c>
      <c r="G22" s="52"/>
      <c r="H22" s="57"/>
      <c r="I22" s="52" t="s">
        <v>303</v>
      </c>
      <c r="J22" s="52"/>
      <c r="K22" s="52"/>
      <c r="M22" s="7" t="s">
        <v>330</v>
      </c>
    </row>
    <row r="23" spans="1:13" x14ac:dyDescent="0.45">
      <c r="A23" s="52"/>
      <c r="B23" s="52"/>
      <c r="C23" s="153"/>
      <c r="D23" s="52"/>
      <c r="E23" s="153">
        <f>Wages!H36</f>
        <v>6116.695000000007</v>
      </c>
      <c r="F23" s="61" t="s">
        <v>317</v>
      </c>
      <c r="G23" s="52">
        <f>D21+E21+E22+E23</f>
        <v>130737.61500000002</v>
      </c>
      <c r="H23" s="57"/>
      <c r="I23" s="52" t="s">
        <v>296</v>
      </c>
      <c r="J23" s="52"/>
      <c r="K23" s="52"/>
      <c r="M23" s="7" t="s">
        <v>331</v>
      </c>
    </row>
    <row r="24" spans="1:13" x14ac:dyDescent="0.45">
      <c r="A24" s="52"/>
      <c r="B24" s="52"/>
      <c r="C24" s="52" t="s">
        <v>5</v>
      </c>
      <c r="D24" s="52">
        <v>1068504.58</v>
      </c>
      <c r="E24" s="153">
        <f>'Water Loss'!D29</f>
        <v>-123771.25001533719</v>
      </c>
      <c r="F24" s="61" t="s">
        <v>318</v>
      </c>
      <c r="G24" s="52">
        <f t="shared" si="0"/>
        <v>944733.32998466282</v>
      </c>
      <c r="H24" s="62"/>
      <c r="I24" s="7" t="s">
        <v>297</v>
      </c>
      <c r="M24" s="7" t="s">
        <v>332</v>
      </c>
    </row>
    <row r="25" spans="1:13" x14ac:dyDescent="0.45">
      <c r="A25" s="52"/>
      <c r="B25" s="52"/>
      <c r="C25" s="52" t="s">
        <v>6</v>
      </c>
      <c r="D25" s="52">
        <v>38093.25</v>
      </c>
      <c r="E25" s="52">
        <f>'Water Loss'!D30</f>
        <v>-4412.5680487459804</v>
      </c>
      <c r="F25" s="61" t="s">
        <v>318</v>
      </c>
      <c r="G25" s="52">
        <f t="shared" si="0"/>
        <v>33680.681951254017</v>
      </c>
      <c r="H25" s="63"/>
      <c r="I25" s="7" t="s">
        <v>298</v>
      </c>
      <c r="J25" s="52"/>
      <c r="K25" s="52"/>
      <c r="M25" s="7" t="s">
        <v>333</v>
      </c>
    </row>
    <row r="26" spans="1:13" x14ac:dyDescent="0.45">
      <c r="A26" s="52"/>
      <c r="B26" s="52"/>
      <c r="C26" s="52" t="s">
        <v>72</v>
      </c>
      <c r="D26" s="52">
        <v>0</v>
      </c>
      <c r="E26" s="52"/>
      <c r="F26" s="61"/>
      <c r="G26" s="52">
        <f t="shared" si="0"/>
        <v>0</v>
      </c>
      <c r="H26" s="63"/>
      <c r="J26" s="52"/>
      <c r="K26" s="52"/>
    </row>
    <row r="27" spans="1:13" x14ac:dyDescent="0.45">
      <c r="A27" s="52"/>
      <c r="B27" s="52"/>
      <c r="C27" s="153" t="s">
        <v>7</v>
      </c>
      <c r="D27" s="52">
        <v>174805.84</v>
      </c>
      <c r="E27" s="52">
        <f>-Capital!C6</f>
        <v>-48895</v>
      </c>
      <c r="F27" s="61" t="s">
        <v>319</v>
      </c>
      <c r="G27" s="52">
        <f t="shared" si="0"/>
        <v>125910.84</v>
      </c>
      <c r="H27" s="57"/>
      <c r="I27" s="52" t="s">
        <v>299</v>
      </c>
      <c r="J27" s="52"/>
      <c r="K27" s="52"/>
      <c r="M27" s="7" t="s">
        <v>327</v>
      </c>
    </row>
    <row r="28" spans="1:13" x14ac:dyDescent="0.45">
      <c r="A28" s="52"/>
      <c r="B28" s="52"/>
      <c r="C28" s="52" t="s">
        <v>197</v>
      </c>
      <c r="D28" s="52">
        <v>11424</v>
      </c>
      <c r="E28" s="52"/>
      <c r="F28" s="61"/>
      <c r="G28" s="52">
        <f t="shared" si="0"/>
        <v>11424</v>
      </c>
      <c r="H28" s="57"/>
      <c r="I28" s="52"/>
      <c r="J28" s="52"/>
      <c r="K28" s="52"/>
    </row>
    <row r="29" spans="1:13" x14ac:dyDescent="0.45">
      <c r="A29" s="52"/>
      <c r="B29" s="52"/>
      <c r="C29" s="153" t="s">
        <v>198</v>
      </c>
      <c r="D29" s="52">
        <v>0</v>
      </c>
      <c r="E29" s="153"/>
      <c r="F29" s="61"/>
      <c r="G29" s="52">
        <f t="shared" si="0"/>
        <v>0</v>
      </c>
      <c r="H29" s="57"/>
      <c r="I29" s="52"/>
      <c r="J29" s="52"/>
      <c r="K29" s="52"/>
    </row>
    <row r="30" spans="1:13" x14ac:dyDescent="0.45">
      <c r="A30" s="52"/>
      <c r="B30" s="52"/>
      <c r="C30" s="153" t="s">
        <v>199</v>
      </c>
      <c r="D30" s="52">
        <v>7200</v>
      </c>
      <c r="E30" s="52"/>
      <c r="F30" s="61"/>
      <c r="G30" s="52">
        <f t="shared" si="0"/>
        <v>7200</v>
      </c>
      <c r="H30" s="57"/>
      <c r="I30" s="52"/>
      <c r="J30" s="52"/>
      <c r="K30" s="52"/>
    </row>
    <row r="31" spans="1:13" x14ac:dyDescent="0.45">
      <c r="A31" s="52"/>
      <c r="B31" s="52"/>
      <c r="C31" s="52" t="s">
        <v>54</v>
      </c>
      <c r="D31" s="52">
        <v>0</v>
      </c>
      <c r="E31" s="52"/>
      <c r="F31" s="61"/>
      <c r="G31" s="52">
        <f t="shared" si="0"/>
        <v>0</v>
      </c>
      <c r="H31" s="57"/>
      <c r="I31" s="52"/>
      <c r="J31" s="52"/>
      <c r="K31" s="52"/>
    </row>
    <row r="32" spans="1:13" x14ac:dyDescent="0.45">
      <c r="A32" s="52"/>
      <c r="B32" s="52"/>
      <c r="C32" s="52" t="s">
        <v>9</v>
      </c>
      <c r="D32" s="52">
        <v>0</v>
      </c>
      <c r="E32" s="52"/>
      <c r="F32" s="61"/>
      <c r="G32" s="52">
        <f t="shared" si="0"/>
        <v>0</v>
      </c>
      <c r="H32" s="59"/>
      <c r="I32" s="52"/>
      <c r="J32" s="52"/>
      <c r="K32" s="52"/>
    </row>
    <row r="33" spans="1:13" x14ac:dyDescent="0.45">
      <c r="A33" s="52"/>
      <c r="B33" s="52"/>
      <c r="C33" s="153" t="s">
        <v>200</v>
      </c>
      <c r="D33" s="52">
        <v>20248.060000000001</v>
      </c>
      <c r="E33" s="52"/>
      <c r="F33" s="61"/>
      <c r="G33" s="52">
        <f t="shared" si="0"/>
        <v>20248.060000000001</v>
      </c>
      <c r="H33" s="59"/>
      <c r="I33" s="52"/>
      <c r="J33" s="52"/>
      <c r="K33" s="52"/>
    </row>
    <row r="34" spans="1:13" x14ac:dyDescent="0.45">
      <c r="A34" s="52"/>
      <c r="B34" s="52"/>
      <c r="C34" s="52" t="s">
        <v>55</v>
      </c>
      <c r="D34" s="52">
        <f>4432.78+23161.03</f>
        <v>27593.809999999998</v>
      </c>
      <c r="E34" s="52"/>
      <c r="F34" s="61"/>
      <c r="G34" s="52">
        <f t="shared" si="0"/>
        <v>27593.809999999998</v>
      </c>
      <c r="H34" s="59"/>
      <c r="I34" s="52"/>
      <c r="J34" s="52"/>
      <c r="K34" s="52"/>
    </row>
    <row r="35" spans="1:13" x14ac:dyDescent="0.45">
      <c r="A35" s="52"/>
      <c r="B35" s="52"/>
      <c r="C35" s="52" t="s">
        <v>56</v>
      </c>
      <c r="D35" s="52">
        <v>0</v>
      </c>
      <c r="E35" s="52"/>
      <c r="F35" s="56"/>
      <c r="G35" s="52">
        <f t="shared" si="0"/>
        <v>0</v>
      </c>
      <c r="H35" s="59"/>
      <c r="I35" s="52"/>
      <c r="J35" s="52"/>
      <c r="K35" s="52"/>
    </row>
    <row r="36" spans="1:13" ht="16.5" x14ac:dyDescent="0.45">
      <c r="A36" s="52"/>
      <c r="B36" s="52"/>
      <c r="C36" s="153" t="s">
        <v>8</v>
      </c>
      <c r="D36" s="76">
        <v>72412.73</v>
      </c>
      <c r="E36" s="75">
        <v>12000</v>
      </c>
      <c r="F36" s="61" t="s">
        <v>320</v>
      </c>
      <c r="G36" s="76">
        <f t="shared" si="0"/>
        <v>84412.73</v>
      </c>
      <c r="H36" s="59"/>
      <c r="I36" s="52" t="s">
        <v>300</v>
      </c>
      <c r="J36" s="52"/>
      <c r="K36" s="52"/>
      <c r="M36" s="7" t="s">
        <v>334</v>
      </c>
    </row>
    <row r="37" spans="1:13" x14ac:dyDescent="0.45">
      <c r="A37" s="52"/>
      <c r="B37" s="52" t="s">
        <v>35</v>
      </c>
      <c r="C37" s="52"/>
      <c r="D37" s="52">
        <f>SUM(D18:D36)</f>
        <v>1990909.0000000002</v>
      </c>
      <c r="E37" s="52"/>
      <c r="F37" s="56"/>
      <c r="G37" s="52">
        <f>SUM(G18:G36)</f>
        <v>1689716.0669359169</v>
      </c>
      <c r="H37" s="59"/>
      <c r="I37" s="52"/>
      <c r="J37" s="52"/>
      <c r="K37" s="52"/>
    </row>
    <row r="38" spans="1:13" ht="4.05" customHeight="1" x14ac:dyDescent="0.45">
      <c r="A38" s="52"/>
      <c r="B38" s="52"/>
      <c r="C38" s="52"/>
      <c r="D38" s="52"/>
      <c r="E38" s="52"/>
      <c r="F38" s="56"/>
      <c r="G38" s="52"/>
      <c r="H38" s="59"/>
      <c r="I38" s="52"/>
      <c r="J38" s="52"/>
      <c r="K38" s="52"/>
    </row>
    <row r="39" spans="1:13" x14ac:dyDescent="0.45">
      <c r="A39" s="52"/>
      <c r="B39" s="52" t="s">
        <v>20</v>
      </c>
      <c r="C39" s="52"/>
      <c r="D39" s="52">
        <v>229388</v>
      </c>
      <c r="E39" s="153">
        <f>Depreciation!F52</f>
        <v>-51</v>
      </c>
      <c r="F39" s="56" t="s">
        <v>321</v>
      </c>
      <c r="G39" s="52"/>
      <c r="H39" s="59"/>
      <c r="I39" s="7" t="s">
        <v>305</v>
      </c>
      <c r="J39" s="52"/>
      <c r="M39" s="7" t="s">
        <v>335</v>
      </c>
    </row>
    <row r="40" spans="1:13" x14ac:dyDescent="0.45">
      <c r="A40" s="52"/>
      <c r="B40" s="52"/>
      <c r="C40" s="52"/>
      <c r="D40" s="52"/>
      <c r="E40" s="153">
        <f>Depreciation!F56</f>
        <v>3434.5201587301563</v>
      </c>
      <c r="F40" s="56" t="s">
        <v>177</v>
      </c>
      <c r="G40" s="52">
        <f>D39+E39+E40</f>
        <v>232771.52015873016</v>
      </c>
      <c r="H40" s="59"/>
      <c r="I40" s="52" t="s">
        <v>301</v>
      </c>
      <c r="J40" s="52"/>
      <c r="M40" s="7" t="s">
        <v>336</v>
      </c>
    </row>
    <row r="41" spans="1:13" ht="16.5" x14ac:dyDescent="0.45">
      <c r="A41" s="52"/>
      <c r="B41" s="153" t="s">
        <v>1</v>
      </c>
      <c r="C41" s="153"/>
      <c r="D41" s="76">
        <v>24832</v>
      </c>
      <c r="E41" s="75">
        <f>Wages!H30</f>
        <v>-1091.755000000001</v>
      </c>
      <c r="F41" s="77" t="s">
        <v>188</v>
      </c>
      <c r="G41" s="76">
        <f t="shared" ref="G41" si="1">D41+E41</f>
        <v>23740.244999999999</v>
      </c>
      <c r="H41" s="59"/>
      <c r="I41" s="52" t="s">
        <v>302</v>
      </c>
      <c r="J41" s="52"/>
    </row>
    <row r="42" spans="1:13" ht="16.5" x14ac:dyDescent="0.45">
      <c r="A42" s="60" t="s">
        <v>0</v>
      </c>
      <c r="B42" s="52"/>
      <c r="C42" s="52"/>
      <c r="D42" s="76">
        <f>SUM(D37:D41)</f>
        <v>2245129</v>
      </c>
      <c r="E42" s="75"/>
      <c r="F42" s="77"/>
      <c r="G42" s="76">
        <f>SUM(G37:G41)</f>
        <v>1946227.8320946472</v>
      </c>
      <c r="H42" s="59"/>
      <c r="I42" s="52"/>
      <c r="J42" s="52"/>
      <c r="K42" s="52"/>
    </row>
    <row r="43" spans="1:13" ht="4.05" customHeight="1" x14ac:dyDescent="0.45">
      <c r="A43" s="60"/>
      <c r="B43" s="52"/>
      <c r="C43" s="52"/>
      <c r="D43" s="78"/>
      <c r="E43" s="52"/>
      <c r="F43" s="56"/>
      <c r="G43" s="52"/>
      <c r="H43" s="52"/>
      <c r="I43" s="52"/>
      <c r="J43" s="52"/>
      <c r="K43" s="52"/>
    </row>
    <row r="44" spans="1:13" x14ac:dyDescent="0.45">
      <c r="A44" s="60" t="s">
        <v>36</v>
      </c>
      <c r="B44" s="52"/>
      <c r="C44" s="52"/>
      <c r="D44" s="52">
        <f>D14-D42</f>
        <v>-349660</v>
      </c>
      <c r="E44" s="52"/>
      <c r="F44" s="56"/>
      <c r="G44" s="52">
        <f>G14-G42</f>
        <v>-86400.135494647315</v>
      </c>
      <c r="H44" s="52"/>
      <c r="I44" s="52"/>
      <c r="K44" s="52"/>
    </row>
    <row r="45" spans="1:13" x14ac:dyDescent="0.45">
      <c r="A45" s="52"/>
      <c r="B45" s="52"/>
      <c r="C45" s="52"/>
      <c r="D45" s="52"/>
      <c r="E45" s="52"/>
      <c r="F45" s="56"/>
      <c r="G45" s="52"/>
      <c r="H45" s="52"/>
      <c r="I45" s="52"/>
      <c r="J45" s="52"/>
      <c r="K45" s="52"/>
    </row>
    <row r="46" spans="1:13" ht="18" x14ac:dyDescent="0.45">
      <c r="A46" s="297" t="s">
        <v>343</v>
      </c>
      <c r="B46" s="297"/>
      <c r="C46" s="297"/>
      <c r="D46" s="297"/>
      <c r="E46" s="297"/>
      <c r="F46" s="297"/>
      <c r="G46" s="297"/>
      <c r="H46" s="52"/>
      <c r="I46" s="64"/>
      <c r="J46" s="65"/>
      <c r="K46" s="52"/>
    </row>
    <row r="47" spans="1:13" x14ac:dyDescent="0.45">
      <c r="A47" s="60" t="s">
        <v>37</v>
      </c>
      <c r="B47" s="52"/>
      <c r="C47" s="52"/>
      <c r="D47" s="66"/>
      <c r="E47" s="52"/>
      <c r="F47" s="61"/>
      <c r="G47" s="7">
        <f>G42</f>
        <v>1946227.8320946472</v>
      </c>
      <c r="H47" s="52"/>
      <c r="J47" s="52"/>
      <c r="K47" s="52"/>
    </row>
    <row r="48" spans="1:13" x14ac:dyDescent="0.45">
      <c r="A48" s="52" t="s">
        <v>21</v>
      </c>
      <c r="B48" s="52"/>
      <c r="C48" s="52" t="s">
        <v>97</v>
      </c>
      <c r="D48" s="66"/>
      <c r="E48" s="52"/>
      <c r="F48" s="61"/>
      <c r="G48" s="233">
        <f>'Debt Service'!M16</f>
        <v>0</v>
      </c>
      <c r="H48" s="52"/>
      <c r="I48" s="7" t="s">
        <v>242</v>
      </c>
      <c r="J48" s="52"/>
      <c r="K48" s="52"/>
    </row>
    <row r="49" spans="1:11" x14ac:dyDescent="0.45">
      <c r="A49" s="52"/>
      <c r="B49" s="52"/>
      <c r="C49" s="52" t="s">
        <v>98</v>
      </c>
      <c r="D49" s="66"/>
      <c r="E49" s="52"/>
      <c r="F49" s="61"/>
      <c r="G49" s="7">
        <f>'Debt Service'!M18</f>
        <v>0</v>
      </c>
      <c r="H49" s="52"/>
      <c r="I49" s="7" t="s">
        <v>242</v>
      </c>
      <c r="J49" s="52"/>
      <c r="K49" s="52"/>
    </row>
    <row r="50" spans="1:11" x14ac:dyDescent="0.45">
      <c r="A50" s="60" t="s">
        <v>59</v>
      </c>
      <c r="B50" s="52"/>
      <c r="C50" s="52"/>
      <c r="D50" s="66"/>
      <c r="E50" s="52"/>
      <c r="F50" s="61"/>
      <c r="G50" s="7">
        <f>G47+G48+G49</f>
        <v>1946227.8320946472</v>
      </c>
      <c r="H50" s="52"/>
      <c r="J50" s="52"/>
      <c r="K50" s="52"/>
    </row>
    <row r="51" spans="1:11" x14ac:dyDescent="0.45">
      <c r="A51" s="52" t="s">
        <v>22</v>
      </c>
      <c r="B51" s="52"/>
      <c r="C51" s="52" t="s">
        <v>23</v>
      </c>
      <c r="D51" s="66"/>
      <c r="E51" s="52"/>
      <c r="F51" s="61"/>
      <c r="G51" s="7">
        <f>SUM(G11:G13)</f>
        <v>0</v>
      </c>
      <c r="H51" s="52"/>
      <c r="J51" s="52"/>
      <c r="K51" s="52"/>
    </row>
    <row r="52" spans="1:11" x14ac:dyDescent="0.45">
      <c r="A52" s="52"/>
      <c r="B52" s="52"/>
      <c r="C52" s="52" t="s">
        <v>52</v>
      </c>
      <c r="D52" s="66"/>
      <c r="E52" s="52"/>
      <c r="F52" s="61"/>
      <c r="G52" s="7">
        <f>G7</f>
        <v>0</v>
      </c>
      <c r="H52" s="52"/>
      <c r="J52" s="52"/>
      <c r="K52" s="52"/>
    </row>
    <row r="53" spans="1:11" x14ac:dyDescent="0.45">
      <c r="A53" s="52"/>
      <c r="B53" s="52"/>
      <c r="C53" s="52" t="s">
        <v>11</v>
      </c>
      <c r="D53" s="66"/>
      <c r="E53" s="52"/>
      <c r="F53" s="61"/>
      <c r="G53" s="31">
        <v>15428</v>
      </c>
      <c r="H53" s="52"/>
      <c r="I53" s="31"/>
      <c r="J53" s="52"/>
      <c r="K53" s="52"/>
    </row>
    <row r="54" spans="1:11" x14ac:dyDescent="0.45">
      <c r="A54" s="60" t="s">
        <v>57</v>
      </c>
      <c r="B54" s="52"/>
      <c r="C54" s="52"/>
      <c r="D54" s="66"/>
      <c r="E54" s="52"/>
      <c r="F54" s="61"/>
      <c r="G54" s="7">
        <f>G50-G51-G52-G53</f>
        <v>1930799.8320946472</v>
      </c>
      <c r="H54" s="52"/>
      <c r="J54" s="52"/>
      <c r="K54" s="52"/>
    </row>
    <row r="55" spans="1:11" ht="16.5" x14ac:dyDescent="0.75">
      <c r="A55" s="52" t="s">
        <v>22</v>
      </c>
      <c r="B55" s="52"/>
      <c r="C55" s="52" t="s">
        <v>58</v>
      </c>
      <c r="D55" s="66"/>
      <c r="E55" s="52"/>
      <c r="F55" s="61"/>
      <c r="G55" s="24">
        <f>ExBA!H6</f>
        <v>1859827.6965999999</v>
      </c>
      <c r="H55" s="52"/>
      <c r="I55" s="31"/>
      <c r="J55" s="52"/>
      <c r="K55" s="52"/>
    </row>
    <row r="56" spans="1:11" x14ac:dyDescent="0.45">
      <c r="A56" s="60" t="s">
        <v>60</v>
      </c>
      <c r="B56" s="52"/>
      <c r="C56" s="52"/>
      <c r="D56" s="66"/>
      <c r="E56" s="52"/>
      <c r="F56" s="61"/>
      <c r="G56" s="52">
        <f>G54-G55</f>
        <v>70972.135494647315</v>
      </c>
      <c r="H56" s="52"/>
      <c r="I56" s="52"/>
      <c r="J56" s="52"/>
      <c r="K56" s="52"/>
    </row>
    <row r="57" spans="1:11" ht="4.05" customHeight="1" x14ac:dyDescent="0.45">
      <c r="A57" s="52"/>
      <c r="B57" s="52"/>
      <c r="C57" s="52"/>
      <c r="D57" s="66"/>
      <c r="E57" s="52"/>
      <c r="F57" s="61"/>
      <c r="G57" s="52"/>
      <c r="H57" s="52"/>
      <c r="I57" s="52"/>
      <c r="J57" s="52"/>
      <c r="K57" s="52"/>
    </row>
    <row r="58" spans="1:11" x14ac:dyDescent="0.45">
      <c r="A58" s="60" t="s">
        <v>61</v>
      </c>
      <c r="B58" s="52"/>
      <c r="C58" s="52"/>
      <c r="D58" s="66"/>
      <c r="E58" s="52"/>
      <c r="F58" s="61"/>
      <c r="G58" s="68">
        <f>G56/G55</f>
        <v>3.8160597148001046E-2</v>
      </c>
      <c r="H58" s="52"/>
      <c r="I58" s="52"/>
      <c r="J58" s="52"/>
      <c r="K58" s="52"/>
    </row>
    <row r="60" spans="1:11" ht="18" x14ac:dyDescent="0.45">
      <c r="A60" s="298" t="s">
        <v>344</v>
      </c>
      <c r="B60" s="298"/>
      <c r="C60" s="298"/>
      <c r="D60" s="298"/>
      <c r="E60" s="298"/>
      <c r="F60" s="298"/>
      <c r="G60" s="298"/>
    </row>
    <row r="61" spans="1:11" x14ac:dyDescent="0.45">
      <c r="A61" s="287" t="s">
        <v>37</v>
      </c>
      <c r="B61" s="288"/>
      <c r="C61" s="288"/>
      <c r="D61" s="289"/>
      <c r="E61" s="290"/>
      <c r="F61" s="102"/>
      <c r="G61" s="18">
        <f>G47</f>
        <v>1946227.8320946472</v>
      </c>
    </row>
    <row r="62" spans="1:11" x14ac:dyDescent="0.45">
      <c r="A62" s="288" t="s">
        <v>345</v>
      </c>
      <c r="B62" s="288"/>
      <c r="C62" s="288"/>
      <c r="D62" s="289"/>
      <c r="E62" s="290"/>
      <c r="F62" s="102"/>
      <c r="G62" s="291">
        <v>0.88</v>
      </c>
    </row>
    <row r="63" spans="1:11" x14ac:dyDescent="0.45">
      <c r="A63" s="287" t="s">
        <v>59</v>
      </c>
      <c r="B63" s="288"/>
      <c r="C63" s="288"/>
      <c r="D63" s="289"/>
      <c r="E63" s="290"/>
      <c r="F63" s="102"/>
      <c r="G63" s="18">
        <f>G61/G62</f>
        <v>2211622.5364711899</v>
      </c>
    </row>
    <row r="64" spans="1:11" x14ac:dyDescent="0.45">
      <c r="A64" s="288" t="s">
        <v>22</v>
      </c>
      <c r="B64" s="288"/>
      <c r="C64" s="292" t="s">
        <v>23</v>
      </c>
      <c r="D64" s="289"/>
      <c r="E64" s="290"/>
      <c r="F64" s="102"/>
      <c r="G64" s="18">
        <f>[1]SAO!G58</f>
        <v>0</v>
      </c>
    </row>
    <row r="65" spans="1:7" ht="16.5" x14ac:dyDescent="0.75">
      <c r="A65" s="288"/>
      <c r="B65" s="288"/>
      <c r="C65" s="293" t="s">
        <v>11</v>
      </c>
      <c r="D65" s="289"/>
      <c r="E65" s="290"/>
      <c r="F65" s="102"/>
      <c r="G65" s="294">
        <v>1944</v>
      </c>
    </row>
    <row r="66" spans="1:7" x14ac:dyDescent="0.45">
      <c r="A66" s="287" t="s">
        <v>57</v>
      </c>
      <c r="B66" s="288"/>
      <c r="C66" s="288"/>
      <c r="D66" s="289"/>
      <c r="E66" s="290"/>
      <c r="F66" s="102"/>
      <c r="G66" s="18">
        <f>G63-G64-G65</f>
        <v>2209678.5364711899</v>
      </c>
    </row>
    <row r="67" spans="1:7" ht="16.5" x14ac:dyDescent="0.75">
      <c r="A67" s="288" t="s">
        <v>22</v>
      </c>
      <c r="B67" s="288"/>
      <c r="C67" s="295" t="s">
        <v>58</v>
      </c>
      <c r="D67" s="289"/>
      <c r="E67" s="290"/>
      <c r="F67" s="102"/>
      <c r="G67" s="294">
        <f>G55</f>
        <v>1859827.6965999999</v>
      </c>
    </row>
    <row r="68" spans="1:7" x14ac:dyDescent="0.45">
      <c r="A68" s="287" t="s">
        <v>60</v>
      </c>
      <c r="B68" s="288"/>
      <c r="C68" s="288"/>
      <c r="D68" s="289"/>
      <c r="E68" s="290"/>
      <c r="F68" s="102"/>
      <c r="G68" s="296">
        <f>G66-G67</f>
        <v>349850.83987119002</v>
      </c>
    </row>
    <row r="69" spans="1:7" x14ac:dyDescent="0.45">
      <c r="A69" s="287" t="s">
        <v>61</v>
      </c>
      <c r="B69" s="288"/>
      <c r="C69" s="288"/>
      <c r="D69" s="18"/>
      <c r="E69" s="18"/>
      <c r="F69" s="18"/>
      <c r="G69" s="272">
        <f>G68/G67</f>
        <v>0.18810927512842268</v>
      </c>
    </row>
  </sheetData>
  <mergeCells count="3">
    <mergeCell ref="A46:G46"/>
    <mergeCell ref="A1:G1"/>
    <mergeCell ref="A60:G60"/>
  </mergeCells>
  <printOptions horizontalCentered="1"/>
  <pageMargins left="0.45" right="0.25" top="0.5" bottom="0.5" header="0.3" footer="0.3"/>
  <pageSetup scale="90" orientation="portrait" horizontalDpi="4294967293" r:id="rId1"/>
  <rowBreaks count="2" manualBreakCount="2">
    <brk id="44" max="16383" man="1"/>
    <brk id="4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3E93C-42CC-459D-BB55-EB7041DDE4DA}">
  <dimension ref="B1:O28"/>
  <sheetViews>
    <sheetView showGridLines="0" workbookViewId="0">
      <selection activeCell="I28" sqref="B1:I28"/>
    </sheetView>
  </sheetViews>
  <sheetFormatPr defaultColWidth="8.88671875" defaultRowHeight="14.25" x14ac:dyDescent="0.45"/>
  <cols>
    <col min="1" max="1" width="2.609375" style="7" customWidth="1"/>
    <col min="2" max="2" width="1.77734375" style="7" customWidth="1"/>
    <col min="3" max="4" width="9.77734375" style="7" customWidth="1"/>
    <col min="5" max="6" width="9.77734375" style="233" customWidth="1"/>
    <col min="7" max="8" width="9.77734375" style="7" customWidth="1"/>
    <col min="9" max="9" width="1.77734375" style="7" customWidth="1"/>
    <col min="10" max="10" width="2.5" style="7" customWidth="1"/>
    <col min="11" max="16384" width="8.88671875" style="7"/>
  </cols>
  <sheetData>
    <row r="1" spans="2:14" x14ac:dyDescent="0.45">
      <c r="B1" s="8"/>
      <c r="C1" s="9"/>
      <c r="D1" s="9"/>
      <c r="E1" s="234"/>
      <c r="F1" s="234"/>
      <c r="G1" s="9"/>
      <c r="H1" s="9"/>
      <c r="I1" s="10"/>
    </row>
    <row r="2" spans="2:14" ht="18" hidden="1" x14ac:dyDescent="0.55000000000000004">
      <c r="B2" s="329" t="s">
        <v>339</v>
      </c>
      <c r="C2" s="324"/>
      <c r="D2" s="324"/>
      <c r="E2" s="324"/>
      <c r="F2" s="324"/>
      <c r="G2" s="324"/>
      <c r="H2" s="324"/>
      <c r="I2" s="325"/>
    </row>
    <row r="3" spans="2:14" ht="18" x14ac:dyDescent="0.55000000000000004">
      <c r="B3" s="330" t="s">
        <v>195</v>
      </c>
      <c r="C3" s="320"/>
      <c r="D3" s="320"/>
      <c r="E3" s="320"/>
      <c r="F3" s="320"/>
      <c r="G3" s="320"/>
      <c r="H3" s="320"/>
      <c r="I3" s="321"/>
    </row>
    <row r="4" spans="2:14" x14ac:dyDescent="0.45">
      <c r="B4" s="326" t="s">
        <v>341</v>
      </c>
      <c r="C4" s="327"/>
      <c r="D4" s="327"/>
      <c r="E4" s="327"/>
      <c r="F4" s="327"/>
      <c r="G4" s="327"/>
      <c r="H4" s="327"/>
      <c r="I4" s="328"/>
    </row>
    <row r="5" spans="2:14" ht="15.75" x14ac:dyDescent="0.45">
      <c r="B5" s="331" t="s">
        <v>229</v>
      </c>
      <c r="C5" s="322"/>
      <c r="D5" s="322"/>
      <c r="E5" s="322"/>
      <c r="F5" s="322"/>
      <c r="G5" s="322"/>
      <c r="H5" s="322"/>
      <c r="I5" s="323"/>
    </row>
    <row r="6" spans="2:14" x14ac:dyDescent="0.45">
      <c r="B6" s="13"/>
      <c r="C6" s="5"/>
      <c r="D6" s="5"/>
      <c r="E6" s="235"/>
      <c r="F6" s="235"/>
      <c r="G6" s="5"/>
      <c r="H6" s="5"/>
      <c r="I6" s="14"/>
    </row>
    <row r="7" spans="2:14" ht="6" customHeight="1" x14ac:dyDescent="0.45">
      <c r="B7" s="11"/>
      <c r="C7" s="6"/>
      <c r="D7" s="12"/>
      <c r="E7" s="236"/>
      <c r="F7" s="239"/>
      <c r="G7" s="281"/>
      <c r="H7" s="281"/>
      <c r="I7" s="282"/>
      <c r="J7" s="33"/>
      <c r="K7" s="33"/>
    </row>
    <row r="8" spans="2:14" ht="16.5" x14ac:dyDescent="0.75">
      <c r="B8" s="11"/>
      <c r="C8" s="16" t="s">
        <v>13</v>
      </c>
      <c r="D8" s="32" t="s">
        <v>62</v>
      </c>
      <c r="E8" s="237" t="s">
        <v>24</v>
      </c>
      <c r="F8" s="240" t="s">
        <v>10</v>
      </c>
      <c r="G8" s="16"/>
      <c r="H8" s="16"/>
      <c r="I8" s="32"/>
    </row>
    <row r="9" spans="2:14" ht="16.5" x14ac:dyDescent="0.75">
      <c r="B9" s="11"/>
      <c r="C9" s="16" t="s">
        <v>70</v>
      </c>
      <c r="D9" s="32" t="s">
        <v>66</v>
      </c>
      <c r="E9" s="237" t="s">
        <v>64</v>
      </c>
      <c r="F9" s="240" t="s">
        <v>64</v>
      </c>
      <c r="G9" s="16" t="s">
        <v>25</v>
      </c>
      <c r="H9" s="16" t="s">
        <v>65</v>
      </c>
      <c r="I9" s="32"/>
    </row>
    <row r="10" spans="2:14" x14ac:dyDescent="0.45">
      <c r="B10" s="11"/>
      <c r="C10" s="17">
        <v>0</v>
      </c>
      <c r="D10" s="36" t="s">
        <v>67</v>
      </c>
      <c r="E10" s="238">
        <f>ROUND(Rates!$D$9+Rates!$D$17,2)</f>
        <v>13.45</v>
      </c>
      <c r="F10" s="159">
        <f>ROUND(Rates!$F$9+Rates!$F$17,2)</f>
        <v>15.9</v>
      </c>
      <c r="G10" s="47">
        <f>F10-E10</f>
        <v>2.4500000000000011</v>
      </c>
      <c r="H10" s="71">
        <f>G10/E10</f>
        <v>0.18215613382899637</v>
      </c>
      <c r="I10" s="39"/>
      <c r="K10" s="15"/>
      <c r="L10" s="15"/>
      <c r="M10" s="15"/>
      <c r="N10" s="15"/>
    </row>
    <row r="11" spans="2:14" x14ac:dyDescent="0.45">
      <c r="B11" s="11"/>
      <c r="C11" s="6">
        <v>2000</v>
      </c>
      <c r="D11" s="36" t="s">
        <v>67</v>
      </c>
      <c r="E11" s="238">
        <f>ROUND(Rates!$D$9+Rates!$D$17+C11/1000*Rates!$D$19,2)</f>
        <v>13.5</v>
      </c>
      <c r="F11" s="238">
        <f>ROUND(Rates!$F$9+Rates!$F$17+C11/1000*Rates!$F$19,2)</f>
        <v>15.95</v>
      </c>
      <c r="G11" s="17">
        <f t="shared" ref="G11:G25" si="0">F11-E11</f>
        <v>2.4499999999999993</v>
      </c>
      <c r="H11" s="71">
        <f t="shared" ref="H11:H25" si="1">G11/E11</f>
        <v>0.18148148148148144</v>
      </c>
      <c r="I11" s="39"/>
      <c r="K11" s="15"/>
      <c r="L11" s="15"/>
      <c r="M11" s="15"/>
      <c r="N11" s="15"/>
    </row>
    <row r="12" spans="2:14" x14ac:dyDescent="0.45">
      <c r="B12" s="11"/>
      <c r="C12" s="40">
        <v>4000</v>
      </c>
      <c r="D12" s="41" t="s">
        <v>67</v>
      </c>
      <c r="E12" s="241">
        <f>ROUND(Rates!$D$9+1*Rates!$D$10+1*Rates!$D$11+Rates!$D$17+C12/1000*Rates!$D$19,2)</f>
        <v>26.4</v>
      </c>
      <c r="F12" s="241">
        <f>ROUND(Rates!$F$9+1*Rates!$F$10+1*Rates!$F$11+Rates!$F$17+C12/1000*Rates!$F$19,2)</f>
        <v>29.35</v>
      </c>
      <c r="G12" s="42">
        <f t="shared" si="0"/>
        <v>2.9500000000000028</v>
      </c>
      <c r="H12" s="72">
        <f t="shared" si="1"/>
        <v>0.11174242424242435</v>
      </c>
      <c r="I12" s="43"/>
      <c r="K12" s="15"/>
      <c r="L12" s="15"/>
      <c r="M12" s="15"/>
      <c r="N12" s="15"/>
    </row>
    <row r="13" spans="2:14" x14ac:dyDescent="0.45">
      <c r="B13" s="11"/>
      <c r="C13" s="6">
        <v>6000</v>
      </c>
      <c r="D13" s="36" t="s">
        <v>67</v>
      </c>
      <c r="E13" s="238">
        <f>ROUND(Rates!$D$9+1*Rates!$D$10+3*Rates!$D$11+Rates!$D$17+C13/1000*Rates!$D$19,2)</f>
        <v>38.9</v>
      </c>
      <c r="F13" s="238">
        <f>ROUND(Rates!$F$9+1*Rates!$F$10+3*Rates!$F$11+Rates!$F$17+C13/1000*Rates!$F$19,2)</f>
        <v>42.32</v>
      </c>
      <c r="G13" s="17">
        <f t="shared" si="0"/>
        <v>3.4200000000000017</v>
      </c>
      <c r="H13" s="71">
        <f t="shared" si="1"/>
        <v>8.7917737789203129E-2</v>
      </c>
      <c r="I13" s="39"/>
      <c r="K13" s="15"/>
      <c r="L13" s="15"/>
      <c r="M13" s="15"/>
      <c r="N13" s="15"/>
    </row>
    <row r="14" spans="2:14" x14ac:dyDescent="0.45">
      <c r="B14" s="11"/>
      <c r="C14" s="6">
        <v>8000</v>
      </c>
      <c r="D14" s="36" t="s">
        <v>67</v>
      </c>
      <c r="E14" s="238">
        <f>ROUND(Rates!$D$9+1*Rates!$D$10+3*Rates!$D$11+2*Rates!$D$12+Rates!$D$17+C14/1000*Rates!$D$19,2)</f>
        <v>50.48</v>
      </c>
      <c r="F14" s="238">
        <f>ROUND(Rates!$F$9+1*Rates!$F$10+3*Rates!$F$11+2*Rates!$F$12+Rates!$F$17+C14/1000*Rates!$F$19,2)</f>
        <v>54.33</v>
      </c>
      <c r="G14" s="17">
        <f t="shared" si="0"/>
        <v>3.8500000000000014</v>
      </c>
      <c r="H14" s="71">
        <f t="shared" si="1"/>
        <v>7.626782884310622E-2</v>
      </c>
      <c r="I14" s="39"/>
      <c r="K14" s="15"/>
      <c r="L14" s="15"/>
      <c r="M14" s="15"/>
      <c r="N14" s="15"/>
    </row>
    <row r="15" spans="2:14" x14ac:dyDescent="0.45">
      <c r="B15" s="11"/>
      <c r="C15" s="6">
        <v>10000</v>
      </c>
      <c r="D15" s="36" t="s">
        <v>67</v>
      </c>
      <c r="E15" s="238">
        <f>ROUND(Rates!$D$9+1*Rates!$D$10+3*Rates!$D$11+4*Rates!$D$12+Rates!$D$17+C15/1000*Rates!$D$19,2)</f>
        <v>62.05</v>
      </c>
      <c r="F15" s="238">
        <f>ROUND(Rates!$F$9+1*Rates!$F$10+3*Rates!$F$11+4*Rates!$F$12+Rates!$F$17+C15/1000*Rates!$F$19,2)</f>
        <v>66.349999999999994</v>
      </c>
      <c r="G15" s="17">
        <f t="shared" si="0"/>
        <v>4.2999999999999972</v>
      </c>
      <c r="H15" s="71">
        <f t="shared" si="1"/>
        <v>6.9298952457695365E-2</v>
      </c>
      <c r="I15" s="39"/>
      <c r="K15" s="15"/>
      <c r="L15" s="15"/>
      <c r="M15" s="15"/>
      <c r="N15" s="15"/>
    </row>
    <row r="16" spans="2:14" x14ac:dyDescent="0.45">
      <c r="B16" s="11"/>
      <c r="C16" s="6">
        <v>15000</v>
      </c>
      <c r="D16" s="36" t="s">
        <v>67</v>
      </c>
      <c r="E16" s="238">
        <f>ROUND(Rates!$D$9+1*Rates!$D$10+3*Rates!$D$11+4*Rates!$D$12+5*Rates!$D13+Rates!$D$17+C16/1000*Rates!$D$19,2)</f>
        <v>86.59</v>
      </c>
      <c r="F16" s="238">
        <f>ROUND(Rates!$F$9+1*Rates!$F$10+3*Rates!$F$11+4*Rates!$F$12+5*Rates!$F$13+Rates!$F$17+C16/1000*Rates!$F$19,2)</f>
        <v>91.82</v>
      </c>
      <c r="G16" s="17">
        <f t="shared" si="0"/>
        <v>5.2299999999999898</v>
      </c>
      <c r="H16" s="71">
        <f t="shared" si="1"/>
        <v>6.0399584247603527E-2</v>
      </c>
      <c r="I16" s="39"/>
      <c r="K16" s="15"/>
      <c r="L16" s="15"/>
      <c r="M16" s="15"/>
      <c r="N16" s="15"/>
    </row>
    <row r="17" spans="2:15" x14ac:dyDescent="0.45">
      <c r="B17" s="11"/>
      <c r="C17" s="6">
        <v>20000</v>
      </c>
      <c r="D17" s="36" t="s">
        <v>67</v>
      </c>
      <c r="E17" s="238">
        <f>ROUND(Rates!$D$9+1*Rates!$D$10+3*Rates!$D$11+4*Rates!$D$12+10*Rates!$D$13+Rates!$D$17+C17/1000*Rates!$D$19,2)</f>
        <v>111.14</v>
      </c>
      <c r="F17" s="238">
        <f>ROUND(Rates!$F$9+1*Rates!$F$10+3*Rates!$F$11+4*Rates!$F$12+10*Rates!$F$13+Rates!$F$17+C17/1000*Rates!$F$19,2)</f>
        <v>117.29</v>
      </c>
      <c r="G17" s="17">
        <f t="shared" si="0"/>
        <v>6.1500000000000057</v>
      </c>
      <c r="H17" s="71">
        <f t="shared" si="1"/>
        <v>5.5335612740687469E-2</v>
      </c>
      <c r="I17" s="39"/>
      <c r="K17" s="15"/>
      <c r="L17" s="15"/>
      <c r="M17" s="15"/>
      <c r="N17" s="15"/>
    </row>
    <row r="18" spans="2:15" x14ac:dyDescent="0.45">
      <c r="B18" s="11"/>
      <c r="C18" s="6">
        <v>25000</v>
      </c>
      <c r="D18" s="37" t="s">
        <v>26</v>
      </c>
      <c r="E18" s="238">
        <f>ROUND(Rates!$D$9+1*Rates!$D$10+3*Rates!$D$11+4*Rates!$D$12+15*Rates!$D$13+Rates!$D$17+C18/1000*Rates!$D$19,2)</f>
        <v>135.68</v>
      </c>
      <c r="F18" s="238">
        <f>ROUND(Rates!$F$9+1*Rates!$F$10+3*Rates!$F$11+4*Rates!$F$12+15*Rates!$F$13+Rates!$F$17+C18/1000*Rates!$F$19,2)</f>
        <v>142.77000000000001</v>
      </c>
      <c r="G18" s="17">
        <f t="shared" si="0"/>
        <v>7.0900000000000034</v>
      </c>
      <c r="H18" s="71">
        <f t="shared" si="1"/>
        <v>5.2255306603773609E-2</v>
      </c>
      <c r="I18" s="39"/>
      <c r="K18" s="15"/>
      <c r="L18" s="15"/>
      <c r="M18" s="15"/>
      <c r="N18" s="15"/>
    </row>
    <row r="19" spans="2:15" x14ac:dyDescent="0.45">
      <c r="B19" s="11"/>
      <c r="C19" s="6">
        <v>30000</v>
      </c>
      <c r="D19" s="37" t="s">
        <v>26</v>
      </c>
      <c r="E19" s="238">
        <f>ROUND(Rates!$D$9+1*Rates!$D$10+3*Rates!$D$11+4*Rates!$D$12+15*Rates!$D$13+5*Rates!$D$14+Rates!$D$17+C19/1000*Rates!$D$19,2)</f>
        <v>158.72</v>
      </c>
      <c r="F19" s="238">
        <f>ROUND(Rates!$F$9+1*Rates!$F$10+3*Rates!$F$11+4*Rates!$F$12+15*Rates!$F$13+5*Rates!$F$14+Rates!$F$17+C19/1000*Rates!$F$19,2)</f>
        <v>166.68</v>
      </c>
      <c r="G19" s="17">
        <f t="shared" si="0"/>
        <v>7.960000000000008</v>
      </c>
      <c r="H19" s="71">
        <f t="shared" si="1"/>
        <v>5.0151209677419407E-2</v>
      </c>
      <c r="I19" s="39"/>
      <c r="K19" s="15"/>
      <c r="L19" s="15"/>
      <c r="M19" s="15"/>
      <c r="N19" s="15"/>
      <c r="O19" s="6"/>
    </row>
    <row r="20" spans="2:15" x14ac:dyDescent="0.45">
      <c r="B20" s="11"/>
      <c r="C20" s="6">
        <v>40000</v>
      </c>
      <c r="D20" s="37" t="s">
        <v>26</v>
      </c>
      <c r="E20" s="238">
        <f>ROUND(Rates!$D$9+1*Rates!$D$10+3*Rates!$D$11+4*Rates!$D$12+15*Rates!$D$13+15*Rates!$D$14+Rates!$D$17+C20/1000*Rates!$D$19,2)</f>
        <v>204.8</v>
      </c>
      <c r="F20" s="238">
        <f>ROUND(Rates!$F$9+1*Rates!$F$10+3*Rates!$F$11+4*Rates!$F$12+15*Rates!$F$13+15*Rates!$F$14+Rates!$F$17+C201/1000*Rates!$F$19,2)</f>
        <v>213.5</v>
      </c>
      <c r="G20" s="17">
        <f t="shared" si="0"/>
        <v>8.6999999999999886</v>
      </c>
      <c r="H20" s="71">
        <f t="shared" si="1"/>
        <v>4.2480468749999944E-2</v>
      </c>
      <c r="I20" s="39"/>
      <c r="K20" s="15"/>
      <c r="L20" s="15"/>
      <c r="M20" s="15"/>
      <c r="N20" s="15"/>
    </row>
    <row r="21" spans="2:15" x14ac:dyDescent="0.45">
      <c r="B21" s="11"/>
      <c r="C21" s="6">
        <v>50000</v>
      </c>
      <c r="D21" s="37" t="s">
        <v>26</v>
      </c>
      <c r="E21" s="238">
        <f>ROUND(Rates!$D$9+1*Rates!$D$10+3*Rates!$D$11+4*Rates!$D$12+15*Rates!$D$13+25*Rates!$D$14+Rates!$D$17+C21/1000*Rates!$D$19,2)</f>
        <v>250.89</v>
      </c>
      <c r="F21" s="238">
        <f>ROUND(Rates!$F$9+1*Rates!$F$10+3*Rates!$F$11+4*Rates!$F$12+15*Rates!$F$13+25*Rates!$F$14+Rates!$F$17+C21/1000*Rates!$F$19,2)</f>
        <v>262.35000000000002</v>
      </c>
      <c r="G21" s="17">
        <f t="shared" si="0"/>
        <v>11.460000000000036</v>
      </c>
      <c r="H21" s="71">
        <f t="shared" si="1"/>
        <v>4.5677388496951001E-2</v>
      </c>
      <c r="I21" s="39"/>
      <c r="K21" s="15"/>
      <c r="L21" s="15"/>
      <c r="M21" s="15"/>
      <c r="N21" s="15"/>
    </row>
    <row r="22" spans="2:15" x14ac:dyDescent="0.45">
      <c r="B22" s="11"/>
      <c r="C22" s="6">
        <v>75000</v>
      </c>
      <c r="D22" s="37" t="s">
        <v>27</v>
      </c>
      <c r="E22" s="238">
        <f>ROUND(Rates!$D$9+1*Rates!$D$10+3*Rates!$D$11+4*Rates!$D$12+15*Rates!$D$13+25*Rates!$D$14+25*Rates!$D$15+Rates!$D$17+C22/1000*Rates!$D$19,2)</f>
        <v>352.34</v>
      </c>
      <c r="F22" s="238">
        <f>ROUND(Rates!$F$9+1*Rates!$F$10+3*Rates!$F$11+4*Rates!$F$12+15*Rates!$F$13+25*Rates!$F$14+25*Rates!$F$15+Rates!$F$17+C22/1000*Rates!$F$19,2)</f>
        <v>367.66</v>
      </c>
      <c r="G22" s="17">
        <f t="shared" si="0"/>
        <v>15.32000000000005</v>
      </c>
      <c r="H22" s="71">
        <f t="shared" si="1"/>
        <v>4.3480728841460099E-2</v>
      </c>
      <c r="I22" s="39"/>
      <c r="K22" s="15"/>
      <c r="L22" s="15"/>
      <c r="M22" s="15"/>
      <c r="N22" s="15"/>
    </row>
    <row r="23" spans="2:15" x14ac:dyDescent="0.45">
      <c r="B23" s="11"/>
      <c r="C23" s="6">
        <v>100000</v>
      </c>
      <c r="D23" s="37" t="s">
        <v>27</v>
      </c>
      <c r="E23" s="238">
        <f>ROUND(Rates!$D$9+1*Rates!$D$10+3*Rates!$D$11+4*Rates!$D$12+15*Rates!$D$13+25*Rates!$D$14+50*Rates!$D$15+Rates!$D$17+C23/1000*Rates!$D$19,2)</f>
        <v>453.8</v>
      </c>
      <c r="F23" s="238">
        <f>ROUND(Rates!$F$9+1*Rates!$F$10+3*Rates!$F$11+4*Rates!$F$12+15*Rates!$F$13+25*Rates!$F$14+50*Rates!$F$15+Rates!$F$17+C23/1000*Rates!$F$19,2)</f>
        <v>472.96</v>
      </c>
      <c r="G23" s="17">
        <f t="shared" si="0"/>
        <v>19.159999999999968</v>
      </c>
      <c r="H23" s="71">
        <f t="shared" si="1"/>
        <v>4.2221242838254666E-2</v>
      </c>
      <c r="I23" s="39"/>
      <c r="K23" s="15"/>
      <c r="L23" s="15"/>
      <c r="M23" s="15"/>
      <c r="N23" s="15"/>
    </row>
    <row r="24" spans="2:15" x14ac:dyDescent="0.45">
      <c r="B24" s="11"/>
      <c r="C24" s="6">
        <v>200000</v>
      </c>
      <c r="D24" s="37" t="s">
        <v>27</v>
      </c>
      <c r="E24" s="238">
        <f>ROUND(Rates!$D$9+1*Rates!$D$10+3*Rates!$D$11+4*Rates!$D$12+15*Rates!$D$13+25*Rates!$D$14+150*Rates!$D$15+Rates!$D$17+C24/1000*Rates!$D$19,2)</f>
        <v>859.63</v>
      </c>
      <c r="F24" s="238">
        <f>ROUND(Rates!$F$9+1*Rates!$F$10+3*Rates!$F$11+4*Rates!$F$12+15*Rates!$F$13+25*Rates!$F$14+150*Rates!$F$15+Rates!$F$17+C24/1000*Rates!$F$19,2)</f>
        <v>894.19</v>
      </c>
      <c r="G24" s="17">
        <f t="shared" si="0"/>
        <v>34.560000000000059</v>
      </c>
      <c r="H24" s="71">
        <f t="shared" si="1"/>
        <v>4.0203343298861209E-2</v>
      </c>
      <c r="I24" s="39"/>
      <c r="K24" s="15"/>
      <c r="L24" s="15"/>
      <c r="M24" s="15"/>
      <c r="N24" s="15"/>
    </row>
    <row r="25" spans="2:15" x14ac:dyDescent="0.45">
      <c r="B25" s="11"/>
      <c r="C25" s="6">
        <v>500000</v>
      </c>
      <c r="D25" s="37" t="s">
        <v>27</v>
      </c>
      <c r="E25" s="238">
        <f>ROUND(Rates!$D$9+1*Rates!$D$10+3*Rates!$D$11+4*Rates!$D$12+15*Rates!$D$13+25*Rates!$D$14+450*Rates!$D$15+Rates!$D$17+C26/1000*Rates!$D$19,2)</f>
        <v>2064.4699999999998</v>
      </c>
      <c r="F25" s="238">
        <f>ROUND(Rates!$F$9+1*Rates!$F$10+3*Rates!$F$11+4*Rates!$F$12+15*Rates!$F$13+25*Rates!$F$14+450*Rates!$F$15+Rates!$F$17+C25/1000*Rates!$F$19,2)</f>
        <v>2157.88</v>
      </c>
      <c r="G25" s="17">
        <f t="shared" si="0"/>
        <v>93.410000000000309</v>
      </c>
      <c r="H25" s="71">
        <f t="shared" si="1"/>
        <v>4.5246479726031533E-2</v>
      </c>
      <c r="I25" s="39"/>
      <c r="K25" s="15"/>
      <c r="L25" s="15"/>
      <c r="M25" s="15"/>
      <c r="N25" s="15"/>
    </row>
    <row r="26" spans="2:15" ht="6" customHeight="1" x14ac:dyDescent="0.45">
      <c r="B26" s="13"/>
      <c r="C26" s="5"/>
      <c r="D26" s="4"/>
      <c r="E26" s="206"/>
      <c r="F26" s="231"/>
      <c r="G26" s="38"/>
      <c r="H26" s="5"/>
      <c r="I26" s="14"/>
    </row>
    <row r="28" spans="2:15" x14ac:dyDescent="0.45">
      <c r="D28" s="48" t="s">
        <v>71</v>
      </c>
    </row>
  </sheetData>
  <mergeCells count="4">
    <mergeCell ref="B4:I4"/>
    <mergeCell ref="B2:I2"/>
    <mergeCell ref="B3:I3"/>
    <mergeCell ref="B5:I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EF004-73BD-4C2A-85DA-B682B48EA656}">
  <sheetPr>
    <pageSetUpPr fitToPage="1"/>
  </sheetPr>
  <dimension ref="A1:N34"/>
  <sheetViews>
    <sheetView tabSelected="1" workbookViewId="0">
      <selection activeCell="H5" sqref="H5"/>
    </sheetView>
  </sheetViews>
  <sheetFormatPr defaultRowHeight="14.25" x14ac:dyDescent="0.4"/>
  <cols>
    <col min="1" max="2" width="8.88671875" style="147"/>
    <col min="3" max="3" width="9.27734375" style="147" bestFit="1" customWidth="1"/>
    <col min="4" max="4" width="7.609375" style="147" bestFit="1" customWidth="1"/>
    <col min="5" max="5" width="20.44140625" style="147" bestFit="1" customWidth="1"/>
    <col min="6" max="9" width="11.38671875" style="147" bestFit="1" customWidth="1"/>
    <col min="10" max="11" width="11.38671875" style="147" customWidth="1"/>
    <col min="12" max="12" width="10.44140625" style="147" bestFit="1" customWidth="1"/>
    <col min="13" max="13" width="11.38671875" style="147" bestFit="1" customWidth="1"/>
    <col min="14" max="16384" width="8.88671875" style="147"/>
  </cols>
  <sheetData>
    <row r="1" spans="1:14" x14ac:dyDescent="0.45">
      <c r="A1" s="1"/>
      <c r="B1" s="1"/>
      <c r="C1" s="1"/>
      <c r="D1" s="273">
        <v>2020</v>
      </c>
      <c r="E1" s="273" t="s">
        <v>203</v>
      </c>
      <c r="F1" s="334" t="s">
        <v>228</v>
      </c>
      <c r="G1" s="334"/>
      <c r="H1" s="334"/>
      <c r="I1" s="1"/>
      <c r="J1" s="1"/>
      <c r="K1" s="1"/>
      <c r="L1" s="1"/>
      <c r="M1" s="1"/>
    </row>
    <row r="2" spans="1:14" x14ac:dyDescent="0.45">
      <c r="A2" s="1"/>
      <c r="B2" s="1"/>
      <c r="C2" s="1"/>
      <c r="F2" s="209"/>
      <c r="G2" s="209"/>
      <c r="H2" s="56"/>
      <c r="I2" s="1"/>
      <c r="J2" s="1"/>
      <c r="K2" s="1"/>
      <c r="L2" s="1"/>
      <c r="M2" s="1"/>
    </row>
    <row r="3" spans="1:14" x14ac:dyDescent="0.45">
      <c r="A3" s="1"/>
      <c r="B3" s="1"/>
      <c r="C3" s="1"/>
      <c r="D3" s="332" t="s">
        <v>204</v>
      </c>
      <c r="E3" s="332"/>
      <c r="F3" s="208" t="s">
        <v>205</v>
      </c>
      <c r="G3" s="208" t="s">
        <v>206</v>
      </c>
      <c r="H3" s="211" t="s">
        <v>207</v>
      </c>
      <c r="I3" s="1"/>
      <c r="J3" s="1"/>
      <c r="K3" s="1"/>
      <c r="L3" s="1"/>
      <c r="M3" s="1"/>
    </row>
    <row r="4" spans="1:14" x14ac:dyDescent="0.45">
      <c r="A4" s="1"/>
      <c r="B4" s="1"/>
      <c r="C4" s="1"/>
      <c r="D4" s="335" t="s">
        <v>208</v>
      </c>
      <c r="E4" s="335"/>
      <c r="F4" s="210">
        <f>D34</f>
        <v>66076</v>
      </c>
      <c r="G4" s="210">
        <f>E34</f>
        <v>283801250</v>
      </c>
      <c r="H4" s="214">
        <f>G34</f>
        <v>1868655.3166</v>
      </c>
      <c r="I4" s="1"/>
      <c r="J4" s="1"/>
      <c r="K4" s="1"/>
      <c r="L4" s="1"/>
      <c r="M4" s="1"/>
    </row>
    <row r="5" spans="1:14" x14ac:dyDescent="0.45">
      <c r="A5" s="1"/>
      <c r="B5" s="1"/>
      <c r="C5" s="1"/>
      <c r="D5" s="332" t="s">
        <v>257</v>
      </c>
      <c r="E5" s="332"/>
      <c r="F5" s="209"/>
      <c r="G5" s="209"/>
      <c r="H5" s="222">
        <v>-8827.6200000000008</v>
      </c>
      <c r="I5" s="1"/>
      <c r="J5" s="1"/>
      <c r="K5" s="1"/>
      <c r="L5" s="1"/>
      <c r="M5" s="1"/>
    </row>
    <row r="6" spans="1:14" x14ac:dyDescent="0.45">
      <c r="A6" s="1"/>
      <c r="B6" s="1"/>
      <c r="C6" s="1"/>
      <c r="D6" s="332" t="s">
        <v>219</v>
      </c>
      <c r="E6" s="332"/>
      <c r="F6" s="209"/>
      <c r="G6" s="209"/>
      <c r="H6" s="215">
        <f>H4+H5</f>
        <v>1859827.6965999999</v>
      </c>
      <c r="I6" s="1"/>
      <c r="J6" s="1"/>
      <c r="K6" s="1"/>
      <c r="L6" s="1"/>
      <c r="M6" s="1"/>
    </row>
    <row r="7" spans="1:14" x14ac:dyDescent="0.45">
      <c r="A7" s="1"/>
      <c r="B7" s="1"/>
      <c r="C7" s="1"/>
      <c r="D7" s="332" t="s">
        <v>220</v>
      </c>
      <c r="E7" s="332"/>
      <c r="F7" s="209"/>
      <c r="G7" s="209"/>
      <c r="H7" s="222">
        <f>SAO!D6</f>
        <v>1895469</v>
      </c>
      <c r="I7" s="1"/>
      <c r="J7" s="1"/>
      <c r="K7" s="1"/>
      <c r="L7" s="1"/>
      <c r="M7" s="1"/>
    </row>
    <row r="8" spans="1:14" x14ac:dyDescent="0.45">
      <c r="A8" s="1"/>
      <c r="B8" s="1"/>
      <c r="C8" s="1"/>
      <c r="D8" s="332" t="s">
        <v>63</v>
      </c>
      <c r="E8" s="332"/>
      <c r="F8" s="209"/>
      <c r="G8" s="209"/>
      <c r="H8" s="215">
        <f>H6-H7</f>
        <v>-35641.303400000092</v>
      </c>
      <c r="I8" s="1" t="s">
        <v>221</v>
      </c>
      <c r="J8" s="1"/>
      <c r="K8" s="1"/>
      <c r="L8" s="272">
        <f>H8/H7</f>
        <v>-1.8803421949923786E-2</v>
      </c>
      <c r="M8" s="1"/>
      <c r="N8" s="220">
        <f>H8/H7</f>
        <v>-1.8803421949923786E-2</v>
      </c>
    </row>
    <row r="9" spans="1:14" x14ac:dyDescent="0.45">
      <c r="A9" s="1"/>
      <c r="B9" s="1"/>
      <c r="C9" s="1"/>
      <c r="D9" s="332"/>
      <c r="E9" s="332"/>
      <c r="F9" s="209"/>
      <c r="G9" s="209"/>
      <c r="H9" s="77"/>
      <c r="I9" s="1"/>
      <c r="J9" s="1"/>
      <c r="K9" s="1"/>
      <c r="L9" s="1"/>
      <c r="M9" s="1"/>
      <c r="N9" s="219"/>
    </row>
    <row r="10" spans="1:14" x14ac:dyDescent="0.45">
      <c r="A10" s="1"/>
      <c r="B10" s="1"/>
      <c r="C10" s="1"/>
      <c r="D10" s="333"/>
      <c r="E10" s="333"/>
      <c r="F10" s="1"/>
      <c r="G10" s="1"/>
      <c r="H10" s="7"/>
      <c r="I10" s="1"/>
      <c r="J10" s="1"/>
      <c r="K10" s="1"/>
      <c r="L10" s="1"/>
      <c r="M10" s="1"/>
    </row>
    <row r="11" spans="1:14" x14ac:dyDescent="0.45">
      <c r="A11" s="1"/>
      <c r="B11" s="1"/>
      <c r="C11" s="1"/>
      <c r="D11" s="1"/>
      <c r="E11" s="1"/>
      <c r="F11" s="1"/>
      <c r="G11" s="1"/>
      <c r="H11" s="7"/>
      <c r="I11" s="1"/>
      <c r="J11" s="1"/>
      <c r="K11" s="1"/>
      <c r="L11" s="1"/>
      <c r="M11" s="1"/>
    </row>
    <row r="12" spans="1:14" x14ac:dyDescent="0.45">
      <c r="A12" s="1"/>
      <c r="B12" s="1"/>
      <c r="C12" s="1"/>
      <c r="D12" s="1"/>
      <c r="E12" s="1"/>
      <c r="F12" s="1"/>
      <c r="G12" s="1"/>
      <c r="H12" s="7"/>
      <c r="I12" s="1"/>
      <c r="J12" s="1"/>
      <c r="K12" s="1"/>
      <c r="L12" s="1"/>
      <c r="M12" s="1"/>
    </row>
    <row r="13" spans="1:14" x14ac:dyDescent="0.45">
      <c r="A13" s="1"/>
      <c r="B13" s="209"/>
      <c r="C13" s="209"/>
      <c r="D13" s="209"/>
      <c r="E13" s="209"/>
      <c r="F13" s="267" t="str">
        <f>B15</f>
        <v>First</v>
      </c>
      <c r="G13" s="267" t="str">
        <f>B16</f>
        <v>Next</v>
      </c>
      <c r="H13" s="268" t="str">
        <f>B17</f>
        <v>Next</v>
      </c>
      <c r="I13" s="267" t="str">
        <f>B18</f>
        <v>Next</v>
      </c>
      <c r="J13" s="267" t="str">
        <f>B19</f>
        <v>Next</v>
      </c>
      <c r="K13" s="267" t="str">
        <f>B20</f>
        <v>Next</v>
      </c>
      <c r="L13" s="267" t="str">
        <f>B21</f>
        <v>Over</v>
      </c>
      <c r="M13" s="264" t="s">
        <v>12</v>
      </c>
    </row>
    <row r="14" spans="1:14" x14ac:dyDescent="0.45">
      <c r="A14" s="1"/>
      <c r="B14" s="209"/>
      <c r="C14" s="208" t="s">
        <v>212</v>
      </c>
      <c r="D14" s="208" t="s">
        <v>213</v>
      </c>
      <c r="E14" s="208" t="s">
        <v>13</v>
      </c>
      <c r="F14" s="266">
        <f>C15</f>
        <v>2000</v>
      </c>
      <c r="G14" s="266">
        <f>C16</f>
        <v>1000</v>
      </c>
      <c r="H14" s="266">
        <f>C17</f>
        <v>3000</v>
      </c>
      <c r="I14" s="265">
        <f>C18</f>
        <v>4000</v>
      </c>
      <c r="J14" s="265">
        <f>C19</f>
        <v>15000</v>
      </c>
      <c r="K14" s="265">
        <f>C20</f>
        <v>25000</v>
      </c>
      <c r="L14" s="265">
        <f>C21</f>
        <v>50000</v>
      </c>
      <c r="M14" s="261"/>
    </row>
    <row r="15" spans="1:14" x14ac:dyDescent="0.45">
      <c r="A15" s="1"/>
      <c r="B15" s="209" t="s">
        <v>209</v>
      </c>
      <c r="C15" s="77">
        <v>2000</v>
      </c>
      <c r="D15" s="210">
        <v>18573</v>
      </c>
      <c r="E15" s="210">
        <v>18868050</v>
      </c>
      <c r="F15" s="210">
        <f>E15</f>
        <v>18868050</v>
      </c>
      <c r="G15" s="210">
        <v>0</v>
      </c>
      <c r="H15" s="56">
        <v>0</v>
      </c>
      <c r="I15" s="210">
        <v>0</v>
      </c>
      <c r="J15" s="210">
        <v>0</v>
      </c>
      <c r="K15" s="210">
        <v>0</v>
      </c>
      <c r="L15" s="210"/>
      <c r="M15" s="210">
        <f>SUM(F15:L15)</f>
        <v>18868050</v>
      </c>
    </row>
    <row r="16" spans="1:14" x14ac:dyDescent="0.45">
      <c r="A16" s="1"/>
      <c r="B16" s="209" t="s">
        <v>210</v>
      </c>
      <c r="C16" s="77">
        <v>1000</v>
      </c>
      <c r="D16" s="210">
        <v>12799</v>
      </c>
      <c r="E16" s="210">
        <v>31368100</v>
      </c>
      <c r="F16" s="210">
        <f t="shared" ref="F16:F21" si="0">D16*$C$15</f>
        <v>25598000</v>
      </c>
      <c r="G16" s="210">
        <f>E16-F16</f>
        <v>5770100</v>
      </c>
      <c r="H16" s="56">
        <v>0</v>
      </c>
      <c r="I16" s="210">
        <v>0</v>
      </c>
      <c r="J16" s="210">
        <v>0</v>
      </c>
      <c r="K16" s="210">
        <v>0</v>
      </c>
      <c r="L16" s="210">
        <v>0</v>
      </c>
      <c r="M16" s="210">
        <f t="shared" ref="M16:M21" si="1">SUM(F16:L16)</f>
        <v>31368100</v>
      </c>
    </row>
    <row r="17" spans="1:13" x14ac:dyDescent="0.45">
      <c r="A17" s="1"/>
      <c r="B17" s="209" t="s">
        <v>210</v>
      </c>
      <c r="C17" s="77">
        <v>3000</v>
      </c>
      <c r="D17" s="210">
        <v>24454</v>
      </c>
      <c r="E17" s="210">
        <v>101910900</v>
      </c>
      <c r="F17" s="210">
        <f t="shared" si="0"/>
        <v>48908000</v>
      </c>
      <c r="G17" s="210">
        <f>D17*$C$16</f>
        <v>24454000</v>
      </c>
      <c r="H17" s="56">
        <f>E17-F17-G17</f>
        <v>28548900</v>
      </c>
      <c r="I17" s="210">
        <v>0</v>
      </c>
      <c r="J17" s="210">
        <v>0</v>
      </c>
      <c r="K17" s="210">
        <v>0</v>
      </c>
      <c r="L17" s="210">
        <v>0</v>
      </c>
      <c r="M17" s="210">
        <f t="shared" si="1"/>
        <v>101910900</v>
      </c>
    </row>
    <row r="18" spans="1:13" x14ac:dyDescent="0.45">
      <c r="A18" s="1"/>
      <c r="B18" s="209" t="s">
        <v>210</v>
      </c>
      <c r="C18" s="77">
        <v>4000</v>
      </c>
      <c r="D18" s="210">
        <v>7126</v>
      </c>
      <c r="E18" s="210">
        <v>52633900</v>
      </c>
      <c r="F18" s="210">
        <f t="shared" si="0"/>
        <v>14252000</v>
      </c>
      <c r="G18" s="210">
        <f>D18*$C$16</f>
        <v>7126000</v>
      </c>
      <c r="H18" s="56">
        <f>D18*$C$17</f>
        <v>21378000</v>
      </c>
      <c r="I18" s="210">
        <f>E18-F18-G18-H18</f>
        <v>9877900</v>
      </c>
      <c r="J18" s="210">
        <v>0</v>
      </c>
      <c r="K18" s="210">
        <v>0</v>
      </c>
      <c r="L18" s="210">
        <v>0</v>
      </c>
      <c r="M18" s="210">
        <f t="shared" si="1"/>
        <v>52633900</v>
      </c>
    </row>
    <row r="19" spans="1:13" x14ac:dyDescent="0.45">
      <c r="A19" s="1"/>
      <c r="B19" s="260" t="s">
        <v>210</v>
      </c>
      <c r="C19" s="77">
        <v>15000</v>
      </c>
      <c r="D19" s="210">
        <v>2527</v>
      </c>
      <c r="E19" s="210">
        <v>35573400</v>
      </c>
      <c r="F19" s="210">
        <f t="shared" si="0"/>
        <v>5054000</v>
      </c>
      <c r="G19" s="210">
        <f>D19*$C$16</f>
        <v>2527000</v>
      </c>
      <c r="H19" s="56">
        <f>D19*$C$17</f>
        <v>7581000</v>
      </c>
      <c r="I19" s="210">
        <f>D19*$C$18</f>
        <v>10108000</v>
      </c>
      <c r="J19" s="210">
        <f>E19-F19-G19-H19-I19</f>
        <v>10303400</v>
      </c>
      <c r="K19" s="210">
        <v>0</v>
      </c>
      <c r="L19" s="210">
        <v>0</v>
      </c>
      <c r="M19" s="210">
        <f t="shared" si="1"/>
        <v>35573400</v>
      </c>
    </row>
    <row r="20" spans="1:13" x14ac:dyDescent="0.45">
      <c r="A20" s="1"/>
      <c r="B20" s="260" t="s">
        <v>210</v>
      </c>
      <c r="C20" s="77">
        <v>25000</v>
      </c>
      <c r="D20" s="210">
        <v>380</v>
      </c>
      <c r="E20" s="210">
        <v>12633700</v>
      </c>
      <c r="F20" s="210">
        <f t="shared" si="0"/>
        <v>760000</v>
      </c>
      <c r="G20" s="210">
        <f>D20*$C$16</f>
        <v>380000</v>
      </c>
      <c r="H20" s="56">
        <f>D20*$C$17</f>
        <v>1140000</v>
      </c>
      <c r="I20" s="210">
        <f>D20*$C$18</f>
        <v>1520000</v>
      </c>
      <c r="J20" s="210">
        <f>D20*$C$19</f>
        <v>5700000</v>
      </c>
      <c r="K20" s="210">
        <f>E20-F20-G20-H20-I20-J20</f>
        <v>3133700</v>
      </c>
      <c r="L20" s="210">
        <v>0</v>
      </c>
      <c r="M20" s="210">
        <f t="shared" si="1"/>
        <v>12633700</v>
      </c>
    </row>
    <row r="21" spans="1:13" x14ac:dyDescent="0.45">
      <c r="A21" s="1"/>
      <c r="B21" s="209" t="s">
        <v>211</v>
      </c>
      <c r="C21" s="211">
        <v>50000</v>
      </c>
      <c r="D21" s="216">
        <v>217</v>
      </c>
      <c r="E21" s="216">
        <v>30813200</v>
      </c>
      <c r="F21" s="216">
        <f t="shared" si="0"/>
        <v>434000</v>
      </c>
      <c r="G21" s="216">
        <f>D21*$C$16</f>
        <v>217000</v>
      </c>
      <c r="H21" s="211">
        <f>D21*$C$17</f>
        <v>651000</v>
      </c>
      <c r="I21" s="216">
        <f>D21*$C$18</f>
        <v>868000</v>
      </c>
      <c r="J21" s="216">
        <f>D21*$C$19</f>
        <v>3255000</v>
      </c>
      <c r="K21" s="216">
        <f>D21*$C$20</f>
        <v>5425000</v>
      </c>
      <c r="L21" s="216">
        <f>E21-F21-G21-H21-I21-J21-K21</f>
        <v>19963200</v>
      </c>
      <c r="M21" s="216">
        <f t="shared" si="1"/>
        <v>30813200</v>
      </c>
    </row>
    <row r="22" spans="1:13" x14ac:dyDescent="0.45">
      <c r="A22" s="1"/>
      <c r="B22" s="209"/>
      <c r="C22" s="1" t="s">
        <v>68</v>
      </c>
      <c r="D22" s="2">
        <f t="shared" ref="D22:M22" si="2">SUM(D15:D21)</f>
        <v>66076</v>
      </c>
      <c r="E22" s="2">
        <f t="shared" si="2"/>
        <v>283801250</v>
      </c>
      <c r="F22" s="2">
        <f t="shared" si="2"/>
        <v>113874050</v>
      </c>
      <c r="G22" s="2">
        <f t="shared" si="2"/>
        <v>40474100</v>
      </c>
      <c r="H22" s="7">
        <f t="shared" si="2"/>
        <v>59298900</v>
      </c>
      <c r="I22" s="2">
        <f t="shared" si="2"/>
        <v>22373900</v>
      </c>
      <c r="J22" s="2">
        <f t="shared" si="2"/>
        <v>19258400</v>
      </c>
      <c r="K22" s="2">
        <f t="shared" si="2"/>
        <v>8558700</v>
      </c>
      <c r="L22" s="2">
        <f t="shared" si="2"/>
        <v>19963200</v>
      </c>
      <c r="M22" s="2">
        <f t="shared" si="2"/>
        <v>283801250</v>
      </c>
    </row>
    <row r="23" spans="1:13" x14ac:dyDescent="0.45">
      <c r="A23" s="1"/>
      <c r="B23" s="1"/>
      <c r="C23" s="1"/>
      <c r="D23" s="1"/>
      <c r="E23" s="1"/>
      <c r="F23" s="1"/>
      <c r="G23" s="1"/>
      <c r="H23" s="7"/>
      <c r="I23" s="1"/>
      <c r="J23" s="1"/>
      <c r="K23" s="1"/>
      <c r="L23" s="1"/>
      <c r="M23" s="1"/>
    </row>
    <row r="24" spans="1:13" x14ac:dyDescent="0.45">
      <c r="A24" s="1"/>
      <c r="B24" s="1"/>
      <c r="C24" s="1" t="s">
        <v>214</v>
      </c>
      <c r="D24" s="1"/>
      <c r="E24" s="1"/>
      <c r="F24" s="1"/>
      <c r="G24" s="1"/>
      <c r="H24" s="7"/>
      <c r="I24" s="1"/>
      <c r="J24" s="1"/>
      <c r="K24" s="1"/>
      <c r="L24" s="1"/>
      <c r="M24" s="1"/>
    </row>
    <row r="25" spans="1:13" x14ac:dyDescent="0.45">
      <c r="A25" s="1"/>
      <c r="B25" s="1"/>
      <c r="C25" s="1"/>
      <c r="D25" s="1"/>
      <c r="E25" s="1"/>
      <c r="F25" s="1"/>
      <c r="G25" s="1"/>
      <c r="H25" s="7"/>
      <c r="I25" s="1"/>
      <c r="J25" s="1"/>
      <c r="K25" s="1"/>
      <c r="L25" s="1"/>
      <c r="M25" s="1"/>
    </row>
    <row r="26" spans="1:13" x14ac:dyDescent="0.45">
      <c r="A26" s="1"/>
      <c r="B26" s="1"/>
      <c r="C26" s="262" t="s">
        <v>212</v>
      </c>
      <c r="D26" s="262" t="s">
        <v>213</v>
      </c>
      <c r="E26" s="262" t="s">
        <v>13</v>
      </c>
      <c r="F26" s="262" t="s">
        <v>215</v>
      </c>
      <c r="G26" s="262" t="s">
        <v>207</v>
      </c>
      <c r="H26" s="7"/>
      <c r="I26" s="1"/>
      <c r="J26" s="1"/>
      <c r="K26" s="1"/>
      <c r="L26" s="1"/>
      <c r="M26" s="1"/>
    </row>
    <row r="27" spans="1:13" x14ac:dyDescent="0.45">
      <c r="A27" s="1"/>
      <c r="B27" s="260" t="s">
        <v>209</v>
      </c>
      <c r="C27" s="77">
        <v>2000</v>
      </c>
      <c r="D27" s="2">
        <f>D22</f>
        <v>66076</v>
      </c>
      <c r="E27" s="2">
        <f>F22</f>
        <v>113874050</v>
      </c>
      <c r="F27" s="263">
        <f>Rates!D9</f>
        <v>13.446</v>
      </c>
      <c r="G27" s="213">
        <f>F27*D27</f>
        <v>888457.89599999995</v>
      </c>
      <c r="H27" s="7"/>
      <c r="I27" s="1"/>
      <c r="J27" s="1"/>
      <c r="K27" s="1"/>
      <c r="L27" s="1"/>
      <c r="M27" s="1"/>
    </row>
    <row r="28" spans="1:13" x14ac:dyDescent="0.45">
      <c r="A28" s="1"/>
      <c r="B28" s="260" t="s">
        <v>210</v>
      </c>
      <c r="C28" s="77">
        <v>1000</v>
      </c>
      <c r="D28" s="1"/>
      <c r="E28" s="2">
        <f>G22</f>
        <v>40474100</v>
      </c>
      <c r="F28" s="263">
        <f>Rates!D10</f>
        <v>6.633</v>
      </c>
      <c r="G28" s="213">
        <f>(E28/1000)*F28</f>
        <v>268464.70529999997</v>
      </c>
      <c r="H28" s="7"/>
      <c r="I28" s="1"/>
      <c r="J28" s="1"/>
      <c r="K28" s="1"/>
      <c r="L28" s="1"/>
      <c r="M28" s="1"/>
    </row>
    <row r="29" spans="1:13" x14ac:dyDescent="0.45">
      <c r="A29" s="1"/>
      <c r="B29" s="260" t="s">
        <v>210</v>
      </c>
      <c r="C29" s="77">
        <v>3000</v>
      </c>
      <c r="D29" s="1"/>
      <c r="E29" s="2">
        <f>H22</f>
        <v>59298900</v>
      </c>
      <c r="F29" s="263">
        <f>Rates!D11</f>
        <v>6.2229999999999999</v>
      </c>
      <c r="G29" s="213">
        <f t="shared" ref="G29:G33" si="3">(E29/1000)*F29</f>
        <v>369017.05469999998</v>
      </c>
      <c r="H29" s="7"/>
      <c r="I29" s="1"/>
      <c r="J29" s="1"/>
      <c r="K29" s="1"/>
      <c r="L29" s="1"/>
      <c r="M29" s="1"/>
    </row>
    <row r="30" spans="1:13" x14ac:dyDescent="0.45">
      <c r="A30" s="1"/>
      <c r="B30" s="260" t="s">
        <v>210</v>
      </c>
      <c r="C30" s="77">
        <v>4000</v>
      </c>
      <c r="D30" s="1"/>
      <c r="E30" s="2">
        <f>I22</f>
        <v>22373900</v>
      </c>
      <c r="F30" s="263">
        <f>Rates!D12</f>
        <v>5.7629999999999999</v>
      </c>
      <c r="G30" s="213">
        <f t="shared" si="3"/>
        <v>128940.78570000001</v>
      </c>
      <c r="H30" s="7"/>
      <c r="I30" s="1"/>
      <c r="J30" s="1"/>
      <c r="K30" s="1"/>
      <c r="L30" s="1"/>
      <c r="M30" s="1"/>
    </row>
    <row r="31" spans="1:13" x14ac:dyDescent="0.45">
      <c r="A31" s="1"/>
      <c r="B31" s="260" t="s">
        <v>210</v>
      </c>
      <c r="C31" s="77">
        <v>15000</v>
      </c>
      <c r="D31" s="1"/>
      <c r="E31" s="2">
        <f>J22</f>
        <v>19258400</v>
      </c>
      <c r="F31" s="263">
        <f>Rates!D13</f>
        <v>4.883</v>
      </c>
      <c r="G31" s="213">
        <f t="shared" si="3"/>
        <v>94038.767200000002</v>
      </c>
      <c r="H31" s="7"/>
      <c r="I31" s="1"/>
      <c r="J31" s="1"/>
      <c r="K31" s="1"/>
      <c r="L31" s="1"/>
      <c r="M31" s="1"/>
    </row>
    <row r="32" spans="1:13" x14ac:dyDescent="0.45">
      <c r="A32" s="1"/>
      <c r="B32" s="260" t="s">
        <v>210</v>
      </c>
      <c r="C32" s="77">
        <v>25000</v>
      </c>
      <c r="D32" s="1"/>
      <c r="E32" s="2">
        <f>K22</f>
        <v>8558700</v>
      </c>
      <c r="F32" s="263">
        <f>Rates!D14</f>
        <v>4.5830000000000002</v>
      </c>
      <c r="G32" s="213">
        <f t="shared" si="3"/>
        <v>39224.522100000002</v>
      </c>
      <c r="H32" s="7"/>
      <c r="I32" s="1"/>
      <c r="J32" s="1"/>
      <c r="K32" s="1"/>
      <c r="L32" s="1"/>
      <c r="M32" s="1"/>
    </row>
    <row r="33" spans="1:13" x14ac:dyDescent="0.45">
      <c r="A33" s="1"/>
      <c r="B33" s="260" t="s">
        <v>211</v>
      </c>
      <c r="C33" s="211">
        <v>50000</v>
      </c>
      <c r="D33" s="212"/>
      <c r="E33" s="29">
        <f>L22</f>
        <v>19963200</v>
      </c>
      <c r="F33" s="263">
        <f>Rates!D15</f>
        <v>4.0330000000000004</v>
      </c>
      <c r="G33" s="269">
        <f t="shared" si="3"/>
        <v>80511.585600000006</v>
      </c>
      <c r="H33" s="7"/>
      <c r="I33" s="1"/>
      <c r="J33" s="1"/>
      <c r="K33" s="1"/>
      <c r="L33" s="1"/>
      <c r="M33" s="1"/>
    </row>
    <row r="34" spans="1:13" x14ac:dyDescent="0.45">
      <c r="A34" s="1"/>
      <c r="B34" s="1"/>
      <c r="C34" s="1" t="s">
        <v>49</v>
      </c>
      <c r="D34" s="2">
        <f>SUM(D27:D33)</f>
        <v>66076</v>
      </c>
      <c r="E34" s="2">
        <f>SUM(E27:E33)</f>
        <v>283801250</v>
      </c>
      <c r="F34" s="1"/>
      <c r="G34" s="213">
        <f>SUM(G27:G33)</f>
        <v>1868655.3166</v>
      </c>
      <c r="H34" s="7"/>
      <c r="I34" s="1"/>
      <c r="J34" s="1"/>
      <c r="K34" s="1"/>
      <c r="L34" s="1"/>
      <c r="M34" s="1" t="s">
        <v>216</v>
      </c>
    </row>
  </sheetData>
  <mergeCells count="9">
    <mergeCell ref="D8:E8"/>
    <mergeCell ref="D9:E9"/>
    <mergeCell ref="D10:E10"/>
    <mergeCell ref="F1:H1"/>
    <mergeCell ref="D3:E3"/>
    <mergeCell ref="D4:E4"/>
    <mergeCell ref="D5:E5"/>
    <mergeCell ref="D6:E6"/>
    <mergeCell ref="D7:E7"/>
  </mergeCells>
  <pageMargins left="0.7" right="0.7" top="0.75" bottom="0.75" header="0.3" footer="0.3"/>
  <pageSetup scale="75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B1388-AB01-4CAE-A21B-D2708C228A39}">
  <sheetPr>
    <pageSetUpPr fitToPage="1"/>
  </sheetPr>
  <dimension ref="A1:N34"/>
  <sheetViews>
    <sheetView showGridLines="0" workbookViewId="0">
      <selection activeCell="B1" sqref="B1:M34"/>
    </sheetView>
  </sheetViews>
  <sheetFormatPr defaultRowHeight="14.25" x14ac:dyDescent="0.4"/>
  <cols>
    <col min="1" max="2" width="8.88671875" style="147"/>
    <col min="3" max="3" width="9.27734375" style="147" bestFit="1" customWidth="1"/>
    <col min="4" max="4" width="7.609375" style="147" bestFit="1" customWidth="1"/>
    <col min="5" max="5" width="20.44140625" style="147" bestFit="1" customWidth="1"/>
    <col min="6" max="9" width="11.38671875" style="147" bestFit="1" customWidth="1"/>
    <col min="10" max="11" width="11.38671875" style="147" customWidth="1"/>
    <col min="12" max="12" width="10.44140625" style="147" bestFit="1" customWidth="1"/>
    <col min="13" max="13" width="11.38671875" style="147" bestFit="1" customWidth="1"/>
    <col min="14" max="16384" width="8.88671875" style="147"/>
  </cols>
  <sheetData>
    <row r="1" spans="1:14" x14ac:dyDescent="0.45">
      <c r="A1" s="1"/>
      <c r="B1" s="1"/>
      <c r="C1" s="1"/>
      <c r="D1" s="273">
        <v>2020</v>
      </c>
      <c r="E1" s="273" t="s">
        <v>258</v>
      </c>
      <c r="F1" s="334" t="s">
        <v>228</v>
      </c>
      <c r="G1" s="334"/>
      <c r="H1" s="334"/>
      <c r="I1" s="1"/>
      <c r="J1" s="1"/>
      <c r="K1" s="1"/>
      <c r="L1" s="1"/>
      <c r="M1" s="1"/>
    </row>
    <row r="2" spans="1:14" x14ac:dyDescent="0.45">
      <c r="A2" s="1"/>
      <c r="B2" s="1"/>
      <c r="C2" s="1"/>
      <c r="F2" s="270"/>
      <c r="G2" s="270"/>
      <c r="H2" s="56"/>
      <c r="I2" s="1"/>
      <c r="J2" s="1"/>
      <c r="K2" s="1"/>
      <c r="L2" s="1"/>
      <c r="M2" s="1"/>
    </row>
    <row r="3" spans="1:14" x14ac:dyDescent="0.45">
      <c r="A3" s="1"/>
      <c r="B3" s="1"/>
      <c r="C3" s="1"/>
      <c r="D3" s="332" t="s">
        <v>204</v>
      </c>
      <c r="E3" s="332"/>
      <c r="F3" s="271" t="s">
        <v>205</v>
      </c>
      <c r="G3" s="271" t="s">
        <v>206</v>
      </c>
      <c r="H3" s="211" t="s">
        <v>207</v>
      </c>
      <c r="I3" s="1"/>
      <c r="J3" s="1"/>
      <c r="K3" s="1"/>
      <c r="L3" s="1"/>
      <c r="M3" s="1"/>
    </row>
    <row r="4" spans="1:14" x14ac:dyDescent="0.45">
      <c r="A4" s="1"/>
      <c r="B4" s="1"/>
      <c r="C4" s="1"/>
      <c r="D4" s="335" t="s">
        <v>208</v>
      </c>
      <c r="E4" s="335"/>
      <c r="F4" s="210">
        <f>D34</f>
        <v>66076</v>
      </c>
      <c r="G4" s="210">
        <f>E34</f>
        <v>283801250</v>
      </c>
      <c r="H4" s="214">
        <f>G34</f>
        <v>1939988.5929000003</v>
      </c>
      <c r="I4" s="1"/>
      <c r="J4" s="1"/>
      <c r="K4" s="1"/>
      <c r="L4" s="1"/>
      <c r="M4" s="1"/>
    </row>
    <row r="5" spans="1:14" x14ac:dyDescent="0.45">
      <c r="A5" s="1"/>
      <c r="B5" s="1"/>
      <c r="C5" s="1"/>
      <c r="D5" s="332" t="s">
        <v>257</v>
      </c>
      <c r="E5" s="332"/>
      <c r="F5" s="270"/>
      <c r="G5" s="270"/>
      <c r="H5" s="222">
        <v>-8827.6200000000008</v>
      </c>
      <c r="I5" s="1"/>
      <c r="J5" s="1"/>
      <c r="K5" s="1"/>
      <c r="L5" s="1"/>
      <c r="M5" s="1"/>
    </row>
    <row r="6" spans="1:14" x14ac:dyDescent="0.45">
      <c r="A6" s="1"/>
      <c r="B6" s="1"/>
      <c r="C6" s="1"/>
      <c r="D6" s="332" t="s">
        <v>219</v>
      </c>
      <c r="E6" s="332"/>
      <c r="F6" s="270"/>
      <c r="G6" s="270"/>
      <c r="H6" s="215">
        <f>H4+H5</f>
        <v>1931160.9729000002</v>
      </c>
      <c r="I6" s="1"/>
      <c r="J6" s="1"/>
      <c r="K6" s="1"/>
      <c r="L6" s="1"/>
      <c r="M6" s="1"/>
    </row>
    <row r="7" spans="1:14" x14ac:dyDescent="0.45">
      <c r="A7" s="1"/>
      <c r="B7" s="1"/>
      <c r="C7" s="1"/>
      <c r="D7" s="332" t="s">
        <v>260</v>
      </c>
      <c r="E7" s="332"/>
      <c r="F7" s="270"/>
      <c r="G7" s="270"/>
      <c r="H7" s="222">
        <f>SAO!G54</f>
        <v>1930799.8320946472</v>
      </c>
      <c r="I7" s="1"/>
      <c r="J7" s="1"/>
      <c r="K7" s="1"/>
      <c r="L7" s="1"/>
      <c r="M7" s="1"/>
    </row>
    <row r="8" spans="1:14" x14ac:dyDescent="0.45">
      <c r="A8" s="1"/>
      <c r="B8" s="1"/>
      <c r="C8" s="1"/>
      <c r="D8" s="332" t="s">
        <v>63</v>
      </c>
      <c r="E8" s="332"/>
      <c r="F8" s="270"/>
      <c r="G8" s="270"/>
      <c r="H8" s="215">
        <f>H6-H7</f>
        <v>361.14080535294488</v>
      </c>
      <c r="I8" s="1" t="s">
        <v>259</v>
      </c>
      <c r="J8" s="1"/>
      <c r="K8" s="1"/>
      <c r="L8" s="272">
        <f>H8/H7</f>
        <v>1.8704207414455682E-4</v>
      </c>
      <c r="M8" s="1"/>
      <c r="N8" s="220">
        <f>H8/H7</f>
        <v>1.8704207414455682E-4</v>
      </c>
    </row>
    <row r="9" spans="1:14" x14ac:dyDescent="0.45">
      <c r="A9" s="1"/>
      <c r="B9" s="1"/>
      <c r="C9" s="1"/>
      <c r="D9" s="332"/>
      <c r="E9" s="332"/>
      <c r="F9" s="270"/>
      <c r="G9" s="270"/>
      <c r="H9" s="77"/>
      <c r="I9" s="1"/>
      <c r="J9" s="1"/>
      <c r="K9" s="1"/>
      <c r="L9" s="1"/>
      <c r="M9" s="1"/>
      <c r="N9" s="219"/>
    </row>
    <row r="10" spans="1:14" x14ac:dyDescent="0.45">
      <c r="A10" s="1"/>
      <c r="B10" s="1"/>
      <c r="C10" s="1"/>
      <c r="D10" s="333"/>
      <c r="E10" s="333"/>
      <c r="F10" s="1"/>
      <c r="G10" s="1"/>
      <c r="H10" s="7"/>
      <c r="I10" s="1"/>
      <c r="J10" s="1"/>
      <c r="K10" s="1"/>
      <c r="L10" s="1"/>
      <c r="M10" s="1"/>
    </row>
    <row r="11" spans="1:14" x14ac:dyDescent="0.45">
      <c r="A11" s="1"/>
      <c r="B11" s="1"/>
      <c r="C11" s="1"/>
      <c r="D11" s="1"/>
      <c r="E11" s="1"/>
      <c r="F11" s="1"/>
      <c r="G11" s="1"/>
      <c r="H11" s="7"/>
      <c r="I11" s="1"/>
      <c r="J11" s="1"/>
      <c r="K11" s="1"/>
      <c r="L11" s="1"/>
      <c r="M11" s="1"/>
    </row>
    <row r="12" spans="1:14" x14ac:dyDescent="0.45">
      <c r="A12" s="1"/>
      <c r="B12" s="1"/>
      <c r="C12" s="1"/>
      <c r="D12" s="1"/>
      <c r="E12" s="1"/>
      <c r="F12" s="1"/>
      <c r="G12" s="1"/>
      <c r="H12" s="7"/>
      <c r="I12" s="1"/>
      <c r="J12" s="1"/>
      <c r="K12" s="1"/>
      <c r="L12" s="1"/>
      <c r="M12" s="1"/>
    </row>
    <row r="13" spans="1:14" x14ac:dyDescent="0.45">
      <c r="A13" s="1"/>
      <c r="B13" s="270"/>
      <c r="C13" s="270"/>
      <c r="D13" s="270"/>
      <c r="E13" s="270"/>
      <c r="F13" s="267" t="str">
        <f>B15</f>
        <v>First</v>
      </c>
      <c r="G13" s="267" t="str">
        <f>B16</f>
        <v>Next</v>
      </c>
      <c r="H13" s="268" t="str">
        <f>B17</f>
        <v>Next</v>
      </c>
      <c r="I13" s="267" t="str">
        <f>B18</f>
        <v>Next</v>
      </c>
      <c r="J13" s="267" t="str">
        <f>B19</f>
        <v>Next</v>
      </c>
      <c r="K13" s="267" t="str">
        <f>B20</f>
        <v>Next</v>
      </c>
      <c r="L13" s="267" t="str">
        <f>B21</f>
        <v>Over</v>
      </c>
      <c r="M13" s="264" t="s">
        <v>12</v>
      </c>
    </row>
    <row r="14" spans="1:14" x14ac:dyDescent="0.45">
      <c r="A14" s="1"/>
      <c r="B14" s="270"/>
      <c r="C14" s="271" t="s">
        <v>212</v>
      </c>
      <c r="D14" s="271" t="s">
        <v>213</v>
      </c>
      <c r="E14" s="271" t="s">
        <v>13</v>
      </c>
      <c r="F14" s="266">
        <f>C15</f>
        <v>2000</v>
      </c>
      <c r="G14" s="266">
        <f>C16</f>
        <v>1000</v>
      </c>
      <c r="H14" s="266">
        <f>C17</f>
        <v>3000</v>
      </c>
      <c r="I14" s="265">
        <f>C18</f>
        <v>4000</v>
      </c>
      <c r="J14" s="265">
        <f>C19</f>
        <v>15000</v>
      </c>
      <c r="K14" s="265">
        <f>C20</f>
        <v>25000</v>
      </c>
      <c r="L14" s="265">
        <f>C21</f>
        <v>50000</v>
      </c>
      <c r="M14" s="271"/>
    </row>
    <row r="15" spans="1:14" x14ac:dyDescent="0.45">
      <c r="A15" s="1"/>
      <c r="B15" s="270" t="s">
        <v>209</v>
      </c>
      <c r="C15" s="77">
        <v>2000</v>
      </c>
      <c r="D15" s="210">
        <f>ExBA!D15</f>
        <v>18573</v>
      </c>
      <c r="E15" s="210">
        <f>ExBA!E15</f>
        <v>18868050</v>
      </c>
      <c r="F15" s="210">
        <f>E15</f>
        <v>18868050</v>
      </c>
      <c r="G15" s="210">
        <v>0</v>
      </c>
      <c r="H15" s="56">
        <v>0</v>
      </c>
      <c r="I15" s="210">
        <v>0</v>
      </c>
      <c r="J15" s="210">
        <v>0</v>
      </c>
      <c r="K15" s="210">
        <v>0</v>
      </c>
      <c r="L15" s="210"/>
      <c r="M15" s="210">
        <f>SUM(F15:L15)</f>
        <v>18868050</v>
      </c>
    </row>
    <row r="16" spans="1:14" x14ac:dyDescent="0.45">
      <c r="A16" s="1"/>
      <c r="B16" s="270" t="s">
        <v>210</v>
      </c>
      <c r="C16" s="77">
        <v>1000</v>
      </c>
      <c r="D16" s="210">
        <f>ExBA!D16</f>
        <v>12799</v>
      </c>
      <c r="E16" s="210">
        <f>ExBA!E16</f>
        <v>31368100</v>
      </c>
      <c r="F16" s="210">
        <f t="shared" ref="F16:F21" si="0">D16*$C$15</f>
        <v>25598000</v>
      </c>
      <c r="G16" s="210">
        <f>E16-F16</f>
        <v>5770100</v>
      </c>
      <c r="H16" s="56">
        <v>0</v>
      </c>
      <c r="I16" s="210">
        <v>0</v>
      </c>
      <c r="J16" s="210">
        <v>0</v>
      </c>
      <c r="K16" s="210">
        <v>0</v>
      </c>
      <c r="L16" s="210">
        <v>0</v>
      </c>
      <c r="M16" s="210">
        <f t="shared" ref="M16:M21" si="1">SUM(F16:L16)</f>
        <v>31368100</v>
      </c>
    </row>
    <row r="17" spans="1:13" x14ac:dyDescent="0.45">
      <c r="A17" s="1"/>
      <c r="B17" s="270" t="s">
        <v>210</v>
      </c>
      <c r="C17" s="77">
        <v>3000</v>
      </c>
      <c r="D17" s="210">
        <f>ExBA!D17</f>
        <v>24454</v>
      </c>
      <c r="E17" s="210">
        <f>ExBA!E17</f>
        <v>101910900</v>
      </c>
      <c r="F17" s="210">
        <f t="shared" si="0"/>
        <v>48908000</v>
      </c>
      <c r="G17" s="210">
        <f>D17*$C$16</f>
        <v>24454000</v>
      </c>
      <c r="H17" s="56">
        <f>E17-F17-G17</f>
        <v>28548900</v>
      </c>
      <c r="I17" s="210">
        <v>0</v>
      </c>
      <c r="J17" s="210">
        <v>0</v>
      </c>
      <c r="K17" s="210">
        <v>0</v>
      </c>
      <c r="L17" s="210">
        <v>0</v>
      </c>
      <c r="M17" s="210">
        <f t="shared" si="1"/>
        <v>101910900</v>
      </c>
    </row>
    <row r="18" spans="1:13" x14ac:dyDescent="0.45">
      <c r="A18" s="1"/>
      <c r="B18" s="270" t="s">
        <v>210</v>
      </c>
      <c r="C18" s="77">
        <v>4000</v>
      </c>
      <c r="D18" s="210">
        <f>ExBA!D18</f>
        <v>7126</v>
      </c>
      <c r="E18" s="210">
        <f>ExBA!E18</f>
        <v>52633900</v>
      </c>
      <c r="F18" s="210">
        <f t="shared" si="0"/>
        <v>14252000</v>
      </c>
      <c r="G18" s="210">
        <f>D18*$C$16</f>
        <v>7126000</v>
      </c>
      <c r="H18" s="56">
        <f>D18*$C$17</f>
        <v>21378000</v>
      </c>
      <c r="I18" s="210">
        <f>E18-F18-G18-H18</f>
        <v>9877900</v>
      </c>
      <c r="J18" s="210">
        <v>0</v>
      </c>
      <c r="K18" s="210">
        <v>0</v>
      </c>
      <c r="L18" s="210">
        <v>0</v>
      </c>
      <c r="M18" s="210">
        <f t="shared" si="1"/>
        <v>52633900</v>
      </c>
    </row>
    <row r="19" spans="1:13" x14ac:dyDescent="0.45">
      <c r="A19" s="1"/>
      <c r="B19" s="270" t="s">
        <v>210</v>
      </c>
      <c r="C19" s="77">
        <v>15000</v>
      </c>
      <c r="D19" s="210">
        <f>ExBA!D19</f>
        <v>2527</v>
      </c>
      <c r="E19" s="210">
        <f>ExBA!E19</f>
        <v>35573400</v>
      </c>
      <c r="F19" s="210">
        <f t="shared" si="0"/>
        <v>5054000</v>
      </c>
      <c r="G19" s="210">
        <f>D19*$C$16</f>
        <v>2527000</v>
      </c>
      <c r="H19" s="56">
        <f>D19*$C$17</f>
        <v>7581000</v>
      </c>
      <c r="I19" s="210">
        <f>D19*$C$18</f>
        <v>10108000</v>
      </c>
      <c r="J19" s="210">
        <f>E19-F19-G19-H19-I19</f>
        <v>10303400</v>
      </c>
      <c r="K19" s="210">
        <v>0</v>
      </c>
      <c r="L19" s="210">
        <v>0</v>
      </c>
      <c r="M19" s="210">
        <f t="shared" si="1"/>
        <v>35573400</v>
      </c>
    </row>
    <row r="20" spans="1:13" x14ac:dyDescent="0.45">
      <c r="A20" s="1"/>
      <c r="B20" s="270" t="s">
        <v>210</v>
      </c>
      <c r="C20" s="77">
        <v>25000</v>
      </c>
      <c r="D20" s="210">
        <f>ExBA!D20</f>
        <v>380</v>
      </c>
      <c r="E20" s="210">
        <f>ExBA!E20</f>
        <v>12633700</v>
      </c>
      <c r="F20" s="210">
        <f t="shared" si="0"/>
        <v>760000</v>
      </c>
      <c r="G20" s="210">
        <f>D20*$C$16</f>
        <v>380000</v>
      </c>
      <c r="H20" s="56">
        <f>D20*$C$17</f>
        <v>1140000</v>
      </c>
      <c r="I20" s="210">
        <f>D20*$C$18</f>
        <v>1520000</v>
      </c>
      <c r="J20" s="210">
        <f>D20*$C$19</f>
        <v>5700000</v>
      </c>
      <c r="K20" s="210">
        <f>E20-F20-G20-H20-I20-J20</f>
        <v>3133700</v>
      </c>
      <c r="L20" s="210">
        <v>0</v>
      </c>
      <c r="M20" s="210">
        <f t="shared" si="1"/>
        <v>12633700</v>
      </c>
    </row>
    <row r="21" spans="1:13" x14ac:dyDescent="0.45">
      <c r="A21" s="1"/>
      <c r="B21" s="270" t="s">
        <v>211</v>
      </c>
      <c r="C21" s="211">
        <v>50000</v>
      </c>
      <c r="D21" s="210">
        <f>ExBA!D21</f>
        <v>217</v>
      </c>
      <c r="E21" s="210">
        <f>ExBA!E21</f>
        <v>30813200</v>
      </c>
      <c r="F21" s="216">
        <f t="shared" si="0"/>
        <v>434000</v>
      </c>
      <c r="G21" s="216">
        <f>D21*$C$16</f>
        <v>217000</v>
      </c>
      <c r="H21" s="211">
        <f>D21*$C$17</f>
        <v>651000</v>
      </c>
      <c r="I21" s="216">
        <f>D21*$C$18</f>
        <v>868000</v>
      </c>
      <c r="J21" s="216">
        <f>D21*$C$19</f>
        <v>3255000</v>
      </c>
      <c r="K21" s="216">
        <f>D21*$C$20</f>
        <v>5425000</v>
      </c>
      <c r="L21" s="216">
        <f>E21-F21-G21-H21-I21-J21-K21</f>
        <v>19963200</v>
      </c>
      <c r="M21" s="216">
        <f t="shared" si="1"/>
        <v>30813200</v>
      </c>
    </row>
    <row r="22" spans="1:13" x14ac:dyDescent="0.45">
      <c r="A22" s="1"/>
      <c r="B22" s="270"/>
      <c r="C22" s="1" t="s">
        <v>68</v>
      </c>
      <c r="D22" s="2">
        <f t="shared" ref="D22:M22" si="2">SUM(D15:D21)</f>
        <v>66076</v>
      </c>
      <c r="E22" s="2">
        <f t="shared" si="2"/>
        <v>283801250</v>
      </c>
      <c r="F22" s="2">
        <f t="shared" si="2"/>
        <v>113874050</v>
      </c>
      <c r="G22" s="2">
        <f t="shared" si="2"/>
        <v>40474100</v>
      </c>
      <c r="H22" s="7">
        <f t="shared" si="2"/>
        <v>59298900</v>
      </c>
      <c r="I22" s="2">
        <f t="shared" si="2"/>
        <v>22373900</v>
      </c>
      <c r="J22" s="2">
        <f t="shared" si="2"/>
        <v>19258400</v>
      </c>
      <c r="K22" s="2">
        <f t="shared" si="2"/>
        <v>8558700</v>
      </c>
      <c r="L22" s="2">
        <f t="shared" si="2"/>
        <v>19963200</v>
      </c>
      <c r="M22" s="2">
        <f t="shared" si="2"/>
        <v>283801250</v>
      </c>
    </row>
    <row r="23" spans="1:13" x14ac:dyDescent="0.45">
      <c r="A23" s="1"/>
      <c r="B23" s="1"/>
      <c r="C23" s="1"/>
      <c r="D23" s="1"/>
      <c r="E23" s="1"/>
      <c r="F23" s="1"/>
      <c r="G23" s="1"/>
      <c r="H23" s="7"/>
      <c r="I23" s="1"/>
      <c r="J23" s="1"/>
      <c r="K23" s="1"/>
      <c r="L23" s="1"/>
      <c r="M23" s="1"/>
    </row>
    <row r="24" spans="1:13" x14ac:dyDescent="0.45">
      <c r="A24" s="1"/>
      <c r="B24" s="1"/>
      <c r="C24" s="1" t="s">
        <v>214</v>
      </c>
      <c r="D24" s="1"/>
      <c r="E24" s="1"/>
      <c r="F24" s="1"/>
      <c r="G24" s="1"/>
      <c r="H24" s="7"/>
      <c r="I24" s="1"/>
      <c r="J24" s="1"/>
      <c r="K24" s="1"/>
      <c r="L24" s="1"/>
      <c r="M24" s="1"/>
    </row>
    <row r="25" spans="1:13" x14ac:dyDescent="0.45">
      <c r="A25" s="1"/>
      <c r="B25" s="1"/>
      <c r="C25" s="1"/>
      <c r="D25" s="1"/>
      <c r="E25" s="1"/>
      <c r="F25" s="1"/>
      <c r="G25" s="1"/>
      <c r="H25" s="7"/>
      <c r="I25" s="1"/>
      <c r="J25" s="1"/>
      <c r="K25" s="1"/>
      <c r="L25" s="1"/>
      <c r="M25" s="1"/>
    </row>
    <row r="26" spans="1:13" x14ac:dyDescent="0.45">
      <c r="A26" s="1"/>
      <c r="B26" s="1"/>
      <c r="C26" s="262" t="s">
        <v>212</v>
      </c>
      <c r="D26" s="262" t="s">
        <v>213</v>
      </c>
      <c r="E26" s="262" t="s">
        <v>13</v>
      </c>
      <c r="F26" s="262" t="s">
        <v>215</v>
      </c>
      <c r="G26" s="262" t="s">
        <v>207</v>
      </c>
      <c r="H26" s="7"/>
      <c r="I26" s="1"/>
      <c r="J26" s="1"/>
      <c r="K26" s="1"/>
      <c r="L26" s="1"/>
      <c r="M26" s="1"/>
    </row>
    <row r="27" spans="1:13" x14ac:dyDescent="0.45">
      <c r="A27" s="1"/>
      <c r="B27" s="270" t="s">
        <v>209</v>
      </c>
      <c r="C27" s="77">
        <v>2000</v>
      </c>
      <c r="D27" s="2">
        <f>D22</f>
        <v>66076</v>
      </c>
      <c r="E27" s="2">
        <f>F22</f>
        <v>113874050</v>
      </c>
      <c r="F27" s="263">
        <f>Rates!F9</f>
        <v>13.96</v>
      </c>
      <c r="G27" s="213">
        <f>F27*D27</f>
        <v>922420.96000000008</v>
      </c>
      <c r="H27" s="7"/>
      <c r="I27" s="1"/>
      <c r="J27" s="1"/>
      <c r="K27" s="1"/>
      <c r="L27" s="1"/>
      <c r="M27" s="1"/>
    </row>
    <row r="28" spans="1:13" x14ac:dyDescent="0.45">
      <c r="A28" s="1"/>
      <c r="B28" s="270" t="s">
        <v>210</v>
      </c>
      <c r="C28" s="77">
        <v>1000</v>
      </c>
      <c r="D28" s="1"/>
      <c r="E28" s="2">
        <f>G22</f>
        <v>40474100</v>
      </c>
      <c r="F28" s="263">
        <f>Rates!F10</f>
        <v>6.8860000000000001</v>
      </c>
      <c r="G28" s="213">
        <f>(E28/1000)*F28</f>
        <v>278704.65259999997</v>
      </c>
      <c r="H28" s="7"/>
      <c r="I28" s="1"/>
      <c r="J28" s="1"/>
      <c r="K28" s="1"/>
      <c r="L28" s="1"/>
      <c r="M28" s="1"/>
    </row>
    <row r="29" spans="1:13" x14ac:dyDescent="0.45">
      <c r="A29" s="1"/>
      <c r="B29" s="270" t="s">
        <v>210</v>
      </c>
      <c r="C29" s="77">
        <v>3000</v>
      </c>
      <c r="D29" s="1"/>
      <c r="E29" s="2">
        <f>H22</f>
        <v>59298900</v>
      </c>
      <c r="F29" s="263">
        <f>Rates!F11</f>
        <v>6.46</v>
      </c>
      <c r="G29" s="213">
        <f t="shared" ref="G29:G33" si="3">(E29/1000)*F29</f>
        <v>383070.89400000003</v>
      </c>
      <c r="H29" s="7"/>
      <c r="I29" s="1"/>
      <c r="J29" s="1"/>
      <c r="K29" s="1"/>
      <c r="L29" s="1"/>
      <c r="M29" s="1"/>
    </row>
    <row r="30" spans="1:13" x14ac:dyDescent="0.45">
      <c r="A30" s="1"/>
      <c r="B30" s="270" t="s">
        <v>210</v>
      </c>
      <c r="C30" s="77">
        <v>4000</v>
      </c>
      <c r="D30" s="1"/>
      <c r="E30" s="2">
        <f>I22</f>
        <v>22373900</v>
      </c>
      <c r="F30" s="263">
        <f>Rates!F12</f>
        <v>5.9829999999999997</v>
      </c>
      <c r="G30" s="213">
        <f t="shared" si="3"/>
        <v>133863.04370000001</v>
      </c>
      <c r="H30" s="7"/>
      <c r="I30" s="1"/>
      <c r="J30" s="1"/>
      <c r="K30" s="1"/>
      <c r="L30" s="1"/>
      <c r="M30" s="1"/>
    </row>
    <row r="31" spans="1:13" x14ac:dyDescent="0.45">
      <c r="A31" s="1"/>
      <c r="B31" s="270" t="s">
        <v>210</v>
      </c>
      <c r="C31" s="77">
        <v>15000</v>
      </c>
      <c r="D31" s="1"/>
      <c r="E31" s="2">
        <f>J22</f>
        <v>19258400</v>
      </c>
      <c r="F31" s="263">
        <f>Rates!F13</f>
        <v>5.069</v>
      </c>
      <c r="G31" s="213">
        <f t="shared" si="3"/>
        <v>97620.829600000012</v>
      </c>
      <c r="H31" s="7"/>
      <c r="I31" s="1"/>
      <c r="J31" s="1"/>
      <c r="K31" s="1"/>
      <c r="L31" s="1"/>
      <c r="M31" s="1"/>
    </row>
    <row r="32" spans="1:13" x14ac:dyDescent="0.45">
      <c r="A32" s="1"/>
      <c r="B32" s="270" t="s">
        <v>210</v>
      </c>
      <c r="C32" s="77">
        <v>25000</v>
      </c>
      <c r="D32" s="1"/>
      <c r="E32" s="2">
        <f>K22</f>
        <v>8558700</v>
      </c>
      <c r="F32" s="263">
        <f>Rates!F14</f>
        <v>4.758</v>
      </c>
      <c r="G32" s="213">
        <f t="shared" si="3"/>
        <v>40722.294600000001</v>
      </c>
      <c r="H32" s="7"/>
      <c r="I32" s="1"/>
      <c r="J32" s="1"/>
      <c r="K32" s="1"/>
      <c r="L32" s="1"/>
      <c r="M32" s="1"/>
    </row>
    <row r="33" spans="1:13" x14ac:dyDescent="0.45">
      <c r="A33" s="1"/>
      <c r="B33" s="270" t="s">
        <v>211</v>
      </c>
      <c r="C33" s="211">
        <v>50000</v>
      </c>
      <c r="D33" s="212"/>
      <c r="E33" s="29">
        <f>L22</f>
        <v>19963200</v>
      </c>
      <c r="F33" s="263">
        <f>Rates!F15</f>
        <v>4.1870000000000003</v>
      </c>
      <c r="G33" s="269">
        <f t="shared" si="3"/>
        <v>83585.91840000001</v>
      </c>
      <c r="H33" s="7"/>
      <c r="I33" s="1"/>
      <c r="J33" s="1"/>
      <c r="K33" s="1"/>
      <c r="L33" s="1"/>
      <c r="M33" s="1"/>
    </row>
    <row r="34" spans="1:13" x14ac:dyDescent="0.45">
      <c r="A34" s="1"/>
      <c r="B34" s="1"/>
      <c r="C34" s="1" t="s">
        <v>49</v>
      </c>
      <c r="D34" s="2">
        <f>SUM(D27:D33)</f>
        <v>66076</v>
      </c>
      <c r="E34" s="2">
        <f>SUM(E27:E33)</f>
        <v>283801250</v>
      </c>
      <c r="F34" s="1"/>
      <c r="G34" s="213">
        <f>SUM(G27:G33)</f>
        <v>1939988.5929000003</v>
      </c>
      <c r="H34" s="7"/>
      <c r="I34" s="1"/>
      <c r="J34" s="1"/>
      <c r="K34" s="1"/>
      <c r="L34" s="1"/>
      <c r="M34" s="1" t="s">
        <v>216</v>
      </c>
    </row>
  </sheetData>
  <mergeCells count="9">
    <mergeCell ref="F1:H1"/>
    <mergeCell ref="D3:E3"/>
    <mergeCell ref="D9:E9"/>
    <mergeCell ref="D10:E10"/>
    <mergeCell ref="D4:E4"/>
    <mergeCell ref="D5:E5"/>
    <mergeCell ref="D6:E6"/>
    <mergeCell ref="D7:E7"/>
    <mergeCell ref="D8:E8"/>
  </mergeCells>
  <pageMargins left="0.7" right="0.7" top="0.75" bottom="0.75" header="0.3" footer="0.3"/>
  <pageSetup scale="7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7A01C-7852-4E95-BD91-257134D74ABD}">
  <sheetPr>
    <pageSetUpPr fitToPage="1"/>
  </sheetPr>
  <dimension ref="A1:J49"/>
  <sheetViews>
    <sheetView topLeftCell="A21" workbookViewId="0">
      <selection activeCell="H49" sqref="H49"/>
    </sheetView>
  </sheetViews>
  <sheetFormatPr defaultRowHeight="14.25" x14ac:dyDescent="0.45"/>
  <cols>
    <col min="1" max="1" width="16.94140625" style="1" customWidth="1"/>
    <col min="2" max="2" width="13.38671875" style="1" hidden="1" customWidth="1"/>
    <col min="3" max="8" width="12.609375" style="15" customWidth="1"/>
    <col min="9" max="9" width="8.88671875" style="22"/>
    <col min="10" max="10" width="9.0546875" style="1" bestFit="1" customWidth="1"/>
    <col min="11" max="16384" width="8.88671875" style="1"/>
  </cols>
  <sheetData>
    <row r="1" spans="1:9" x14ac:dyDescent="0.45">
      <c r="A1" s="1" t="s">
        <v>73</v>
      </c>
    </row>
    <row r="2" spans="1:9" x14ac:dyDescent="0.45">
      <c r="C2" s="150"/>
      <c r="D2" s="150"/>
      <c r="E2" s="150"/>
      <c r="F2" s="150"/>
      <c r="G2" s="150"/>
      <c r="H2" s="150" t="s">
        <v>12</v>
      </c>
      <c r="I2" s="22" t="s">
        <v>248</v>
      </c>
    </row>
    <row r="3" spans="1:9" x14ac:dyDescent="0.45">
      <c r="B3" s="1" t="s">
        <v>284</v>
      </c>
      <c r="C3" s="150" t="s">
        <v>74</v>
      </c>
      <c r="D3" s="150" t="s">
        <v>74</v>
      </c>
      <c r="E3" s="150" t="s">
        <v>75</v>
      </c>
      <c r="F3" s="150" t="s">
        <v>74</v>
      </c>
      <c r="G3" s="150" t="s">
        <v>74</v>
      </c>
      <c r="H3" s="150" t="s">
        <v>74</v>
      </c>
      <c r="I3" s="22" t="s">
        <v>190</v>
      </c>
    </row>
    <row r="4" spans="1:9" x14ac:dyDescent="0.45">
      <c r="A4" s="1" t="s">
        <v>76</v>
      </c>
      <c r="C4" s="150" t="s">
        <v>77</v>
      </c>
      <c r="D4" s="150" t="s">
        <v>78</v>
      </c>
      <c r="E4" s="150" t="s">
        <v>79</v>
      </c>
      <c r="F4" s="150" t="s">
        <v>80</v>
      </c>
      <c r="G4" s="150" t="s">
        <v>81</v>
      </c>
      <c r="H4" s="150" t="s">
        <v>82</v>
      </c>
      <c r="I4" s="22" t="s">
        <v>191</v>
      </c>
    </row>
    <row r="5" spans="1:9" x14ac:dyDescent="0.45">
      <c r="A5" s="1" t="s">
        <v>270</v>
      </c>
      <c r="B5" s="1" t="s">
        <v>269</v>
      </c>
      <c r="C5" s="15">
        <f>2112-40</f>
        <v>2072</v>
      </c>
      <c r="D5" s="15">
        <v>40</v>
      </c>
      <c r="E5" s="278">
        <v>18</v>
      </c>
      <c r="F5" s="15">
        <f t="shared" ref="F5:F14" si="0">C5*E5</f>
        <v>37296</v>
      </c>
      <c r="G5" s="15">
        <f t="shared" ref="G5:G14" si="1">D5*E5*1.5</f>
        <v>1080</v>
      </c>
      <c r="H5" s="15">
        <f>F5+G5</f>
        <v>38376</v>
      </c>
      <c r="I5" s="22" t="s">
        <v>289</v>
      </c>
    </row>
    <row r="6" spans="1:9" x14ac:dyDescent="0.45">
      <c r="A6" s="1" t="s">
        <v>274</v>
      </c>
      <c r="B6" s="1" t="s">
        <v>273</v>
      </c>
      <c r="C6" s="15">
        <v>2080</v>
      </c>
      <c r="D6" s="15">
        <v>0</v>
      </c>
      <c r="E6" s="278">
        <v>31.25</v>
      </c>
      <c r="F6" s="15">
        <f t="shared" si="0"/>
        <v>65000</v>
      </c>
      <c r="G6" s="15">
        <f t="shared" si="1"/>
        <v>0</v>
      </c>
      <c r="H6" s="15">
        <f>F6+G6</f>
        <v>65000</v>
      </c>
      <c r="I6" s="22" t="s">
        <v>289</v>
      </c>
    </row>
    <row r="7" spans="1:9" x14ac:dyDescent="0.45">
      <c r="A7" s="1" t="s">
        <v>279</v>
      </c>
      <c r="B7" s="1" t="s">
        <v>282</v>
      </c>
      <c r="C7" s="15">
        <f>88+750</f>
        <v>838</v>
      </c>
      <c r="D7" s="15">
        <v>98.5</v>
      </c>
      <c r="E7" s="278">
        <v>0</v>
      </c>
      <c r="F7" s="15">
        <f t="shared" si="0"/>
        <v>0</v>
      </c>
      <c r="G7" s="15">
        <f t="shared" si="1"/>
        <v>0</v>
      </c>
      <c r="H7" s="15">
        <f>F7+G7</f>
        <v>0</v>
      </c>
      <c r="I7" s="22" t="s">
        <v>249</v>
      </c>
    </row>
    <row r="8" spans="1:9" x14ac:dyDescent="0.45">
      <c r="A8" s="1" t="s">
        <v>278</v>
      </c>
      <c r="B8" s="1" t="s">
        <v>281</v>
      </c>
      <c r="C8" s="15">
        <f>1304-160</f>
        <v>1144</v>
      </c>
      <c r="D8" s="15">
        <v>160</v>
      </c>
      <c r="E8" s="278">
        <v>18</v>
      </c>
      <c r="F8" s="15">
        <f t="shared" si="0"/>
        <v>20592</v>
      </c>
      <c r="G8" s="15">
        <f t="shared" si="1"/>
        <v>4320</v>
      </c>
      <c r="H8" s="15">
        <f t="shared" ref="H8:H11" si="2">F8+G8</f>
        <v>24912</v>
      </c>
      <c r="I8" s="22" t="s">
        <v>289</v>
      </c>
    </row>
    <row r="9" spans="1:9" x14ac:dyDescent="0.45">
      <c r="A9" s="1" t="s">
        <v>280</v>
      </c>
      <c r="B9" s="1" t="s">
        <v>286</v>
      </c>
      <c r="C9" s="15">
        <f>1087.5-101.5</f>
        <v>986</v>
      </c>
      <c r="D9" s="15">
        <v>101.5</v>
      </c>
      <c r="E9" s="278">
        <v>14</v>
      </c>
      <c r="F9" s="15">
        <f t="shared" si="0"/>
        <v>13804</v>
      </c>
      <c r="G9" s="15">
        <f t="shared" si="1"/>
        <v>2131.5</v>
      </c>
      <c r="H9" s="15">
        <f t="shared" si="2"/>
        <v>15935.5</v>
      </c>
      <c r="I9" s="22" t="s">
        <v>289</v>
      </c>
    </row>
    <row r="10" spans="1:9" x14ac:dyDescent="0.45">
      <c r="A10" s="1" t="s">
        <v>271</v>
      </c>
      <c r="B10" s="1" t="s">
        <v>272</v>
      </c>
      <c r="C10" s="15">
        <f>2108.5-46</f>
        <v>2062.5</v>
      </c>
      <c r="D10" s="15">
        <v>46</v>
      </c>
      <c r="E10" s="278">
        <v>13</v>
      </c>
      <c r="F10" s="15">
        <f t="shared" si="0"/>
        <v>26812.5</v>
      </c>
      <c r="G10" s="15">
        <f t="shared" si="1"/>
        <v>897</v>
      </c>
      <c r="H10" s="15">
        <f t="shared" si="2"/>
        <v>27709.5</v>
      </c>
      <c r="I10" s="22" t="s">
        <v>289</v>
      </c>
    </row>
    <row r="11" spans="1:9" x14ac:dyDescent="0.45">
      <c r="A11" s="1" t="s">
        <v>276</v>
      </c>
      <c r="B11" s="1" t="s">
        <v>283</v>
      </c>
      <c r="C11" s="15">
        <f>2207-127</f>
        <v>2080</v>
      </c>
      <c r="D11" s="15">
        <v>127</v>
      </c>
      <c r="E11" s="278">
        <v>21</v>
      </c>
      <c r="F11" s="15">
        <f t="shared" si="0"/>
        <v>43680</v>
      </c>
      <c r="G11" s="15">
        <f t="shared" si="1"/>
        <v>4000.5</v>
      </c>
      <c r="H11" s="15">
        <f t="shared" si="2"/>
        <v>47680.5</v>
      </c>
      <c r="I11" s="22" t="s">
        <v>289</v>
      </c>
    </row>
    <row r="12" spans="1:9" x14ac:dyDescent="0.45">
      <c r="A12" s="1" t="s">
        <v>277</v>
      </c>
      <c r="B12" s="1" t="s">
        <v>285</v>
      </c>
      <c r="C12" s="15">
        <f>2222-142</f>
        <v>2080</v>
      </c>
      <c r="D12" s="15">
        <v>142</v>
      </c>
      <c r="E12" s="278">
        <v>18</v>
      </c>
      <c r="F12" s="15">
        <f t="shared" si="0"/>
        <v>37440</v>
      </c>
      <c r="G12" s="15">
        <f t="shared" si="1"/>
        <v>3834</v>
      </c>
      <c r="H12" s="15">
        <f t="shared" ref="H12:H14" si="3">F12+G12</f>
        <v>41274</v>
      </c>
      <c r="I12" s="22" t="s">
        <v>289</v>
      </c>
    </row>
    <row r="13" spans="1:9" x14ac:dyDescent="0.45">
      <c r="A13" s="1" t="s">
        <v>306</v>
      </c>
      <c r="B13" s="1" t="s">
        <v>287</v>
      </c>
      <c r="C13" s="15">
        <f>939-49</f>
        <v>890</v>
      </c>
      <c r="D13" s="15">
        <v>49</v>
      </c>
      <c r="E13" s="278">
        <v>14</v>
      </c>
      <c r="F13" s="15">
        <f t="shared" si="0"/>
        <v>12460</v>
      </c>
      <c r="G13" s="15">
        <f t="shared" si="1"/>
        <v>1029</v>
      </c>
      <c r="H13" s="15">
        <f t="shared" si="3"/>
        <v>13489</v>
      </c>
      <c r="I13" s="22" t="s">
        <v>289</v>
      </c>
    </row>
    <row r="14" spans="1:9" x14ac:dyDescent="0.45">
      <c r="A14" s="1" t="s">
        <v>275</v>
      </c>
      <c r="B14" s="1" t="s">
        <v>288</v>
      </c>
      <c r="C14" s="15">
        <f>2146-66</f>
        <v>2080</v>
      </c>
      <c r="D14" s="15">
        <v>66</v>
      </c>
      <c r="E14" s="278">
        <v>16.5</v>
      </c>
      <c r="F14" s="15">
        <f t="shared" si="0"/>
        <v>34320</v>
      </c>
      <c r="G14" s="15">
        <f t="shared" si="1"/>
        <v>1633.5</v>
      </c>
      <c r="H14" s="15">
        <f t="shared" si="3"/>
        <v>35953.5</v>
      </c>
      <c r="I14" s="22" t="s">
        <v>289</v>
      </c>
    </row>
    <row r="15" spans="1:9" x14ac:dyDescent="0.45">
      <c r="C15" s="15">
        <f>SUM(C5:C14)</f>
        <v>16312.5</v>
      </c>
      <c r="D15" s="15">
        <f>SUM(D5:D14)</f>
        <v>830</v>
      </c>
      <c r="F15" s="15">
        <f>SUM(F5:F14)</f>
        <v>291404.5</v>
      </c>
      <c r="G15" s="15">
        <f>SUM(G5:G14)</f>
        <v>18925.5</v>
      </c>
      <c r="H15" s="15">
        <f>SUM(H5:H14)</f>
        <v>310330</v>
      </c>
    </row>
    <row r="17" spans="1:10" x14ac:dyDescent="0.45">
      <c r="A17" s="1" t="s">
        <v>159</v>
      </c>
      <c r="H17" s="15">
        <f>H15</f>
        <v>310330</v>
      </c>
      <c r="J17" s="259"/>
    </row>
    <row r="19" spans="1:10" x14ac:dyDescent="0.45">
      <c r="A19" s="1" t="s">
        <v>160</v>
      </c>
      <c r="H19" s="15">
        <f>H15</f>
        <v>310330</v>
      </c>
    </row>
    <row r="21" spans="1:10" x14ac:dyDescent="0.45">
      <c r="H21" s="150" t="s">
        <v>31</v>
      </c>
    </row>
    <row r="22" spans="1:10" x14ac:dyDescent="0.45">
      <c r="E22" s="15" t="s">
        <v>83</v>
      </c>
      <c r="H22" s="15">
        <f>H17</f>
        <v>310330</v>
      </c>
    </row>
    <row r="23" spans="1:10" x14ac:dyDescent="0.45">
      <c r="E23" s="15" t="s">
        <v>84</v>
      </c>
      <c r="H23" s="38">
        <f>-SAO!D18</f>
        <v>-330111.81</v>
      </c>
    </row>
    <row r="24" spans="1:10" x14ac:dyDescent="0.45">
      <c r="E24" s="280" t="s">
        <v>85</v>
      </c>
      <c r="H24" s="280">
        <f>H22+H23</f>
        <v>-19781.809999999998</v>
      </c>
    </row>
    <row r="25" spans="1:10" x14ac:dyDescent="0.45">
      <c r="H25" s="15" t="s">
        <v>86</v>
      </c>
    </row>
    <row r="26" spans="1:10" x14ac:dyDescent="0.45">
      <c r="E26" s="15" t="s">
        <v>87</v>
      </c>
      <c r="H26" s="15">
        <f>H17</f>
        <v>310330</v>
      </c>
    </row>
    <row r="27" spans="1:10" x14ac:dyDescent="0.45">
      <c r="E27" s="15" t="s">
        <v>88</v>
      </c>
      <c r="H27" s="151">
        <v>7.6499999999999999E-2</v>
      </c>
    </row>
    <row r="28" spans="1:10" x14ac:dyDescent="0.45">
      <c r="E28" s="15" t="s">
        <v>89</v>
      </c>
      <c r="H28" s="15">
        <f>H26*H27</f>
        <v>23740.244999999999</v>
      </c>
    </row>
    <row r="29" spans="1:10" x14ac:dyDescent="0.45">
      <c r="E29" s="15" t="s">
        <v>90</v>
      </c>
      <c r="H29" s="231">
        <f>-SAO!D41</f>
        <v>-24832</v>
      </c>
      <c r="J29" s="232"/>
    </row>
    <row r="30" spans="1:10" x14ac:dyDescent="0.45">
      <c r="E30" s="280" t="s">
        <v>91</v>
      </c>
      <c r="H30" s="280">
        <f>H28+H29</f>
        <v>-1091.755000000001</v>
      </c>
    </row>
    <row r="32" spans="1:10" x14ac:dyDescent="0.45">
      <c r="E32" s="15" t="s">
        <v>92</v>
      </c>
      <c r="H32" s="15">
        <f>H19</f>
        <v>310330</v>
      </c>
    </row>
    <row r="33" spans="1:10" x14ac:dyDescent="0.45">
      <c r="E33" s="15" t="s">
        <v>93</v>
      </c>
      <c r="H33" s="151">
        <v>0.26950000000000002</v>
      </c>
    </row>
    <row r="34" spans="1:10" x14ac:dyDescent="0.45">
      <c r="E34" s="15" t="s">
        <v>94</v>
      </c>
      <c r="H34" s="15">
        <f>H32*H33</f>
        <v>83633.935000000012</v>
      </c>
    </row>
    <row r="35" spans="1:10" x14ac:dyDescent="0.45">
      <c r="E35" s="15" t="s">
        <v>95</v>
      </c>
      <c r="H35" s="38">
        <v>-77517.240000000005</v>
      </c>
      <c r="J35" s="1" t="s">
        <v>307</v>
      </c>
    </row>
    <row r="36" spans="1:10" x14ac:dyDescent="0.45">
      <c r="E36" s="280" t="s">
        <v>96</v>
      </c>
      <c r="H36" s="280">
        <f>H34+H35</f>
        <v>6116.695000000007</v>
      </c>
    </row>
    <row r="38" spans="1:10" x14ac:dyDescent="0.45">
      <c r="A38" s="1" t="s">
        <v>250</v>
      </c>
    </row>
    <row r="39" spans="1:10" x14ac:dyDescent="0.45">
      <c r="A39" s="1" t="s">
        <v>251</v>
      </c>
      <c r="H39" s="15">
        <v>4800</v>
      </c>
    </row>
    <row r="40" spans="1:10" x14ac:dyDescent="0.45">
      <c r="A40" s="1" t="s">
        <v>252</v>
      </c>
      <c r="H40" s="15">
        <v>4800</v>
      </c>
    </row>
    <row r="41" spans="1:10" x14ac:dyDescent="0.45">
      <c r="A41" s="1" t="s">
        <v>253</v>
      </c>
      <c r="H41" s="38">
        <v>4800</v>
      </c>
    </row>
    <row r="42" spans="1:10" x14ac:dyDescent="0.45">
      <c r="A42" s="1" t="s">
        <v>254</v>
      </c>
      <c r="H42" s="15">
        <f>SUM(H39:H41)</f>
        <v>14400</v>
      </c>
    </row>
    <row r="43" spans="1:10" x14ac:dyDescent="0.45">
      <c r="A43" s="1" t="s">
        <v>255</v>
      </c>
      <c r="H43" s="38">
        <f>-SAO!D20</f>
        <v>-13421</v>
      </c>
    </row>
    <row r="44" spans="1:10" x14ac:dyDescent="0.45">
      <c r="A44" s="273" t="s">
        <v>256</v>
      </c>
      <c r="H44" s="280">
        <f>H42+H43</f>
        <v>979</v>
      </c>
    </row>
    <row r="46" spans="1:10" x14ac:dyDescent="0.45">
      <c r="A46" s="1" t="s">
        <v>308</v>
      </c>
    </row>
    <row r="47" spans="1:10" x14ac:dyDescent="0.45">
      <c r="A47" s="1" t="s">
        <v>309</v>
      </c>
      <c r="H47" s="15">
        <v>97379</v>
      </c>
    </row>
    <row r="48" spans="1:10" x14ac:dyDescent="0.45">
      <c r="A48" s="1" t="s">
        <v>310</v>
      </c>
      <c r="H48" s="38">
        <v>-309</v>
      </c>
    </row>
    <row r="49" spans="1:8" x14ac:dyDescent="0.45">
      <c r="A49" s="273" t="s">
        <v>311</v>
      </c>
      <c r="H49" s="280">
        <f>SUM(H47:H48)</f>
        <v>97070</v>
      </c>
    </row>
  </sheetData>
  <pageMargins left="0.7" right="0.7" top="0.75" bottom="0.75" header="0.3" footer="0.3"/>
  <pageSetup scale="82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8"/>
  <sheetViews>
    <sheetView workbookViewId="0">
      <selection activeCell="K14" sqref="K14"/>
    </sheetView>
  </sheetViews>
  <sheetFormatPr defaultColWidth="8.88671875" defaultRowHeight="14.25" x14ac:dyDescent="0.45"/>
  <cols>
    <col min="1" max="1" width="19.83203125" style="158" customWidth="1"/>
    <col min="2" max="2" width="12.6640625" style="158" customWidth="1"/>
    <col min="3" max="3" width="11.5546875" style="163" bestFit="1" customWidth="1"/>
    <col min="4" max="4" width="9.88671875" style="163" customWidth="1"/>
    <col min="5" max="5" width="9.77734375" style="171" customWidth="1"/>
    <col min="6" max="6" width="9.77734375" style="164" customWidth="1"/>
    <col min="7" max="7" width="11.44140625" style="163" customWidth="1"/>
    <col min="8" max="8" width="10.6640625" style="165" customWidth="1"/>
    <col min="9" max="9" width="10.109375" style="163" customWidth="1"/>
    <col min="10" max="10" width="10.5546875" style="158" customWidth="1"/>
    <col min="11" max="12" width="8.88671875" style="158"/>
    <col min="13" max="13" width="10.109375" style="158" customWidth="1"/>
    <col min="14" max="14" width="9" style="158" bestFit="1" customWidth="1"/>
    <col min="15" max="15" width="9.77734375" style="158" bestFit="1" customWidth="1"/>
    <col min="16" max="16384" width="8.88671875" style="158"/>
  </cols>
  <sheetData>
    <row r="1" spans="1:10" x14ac:dyDescent="0.45">
      <c r="A1" s="158" t="s">
        <v>224</v>
      </c>
    </row>
    <row r="2" spans="1:10" x14ac:dyDescent="0.45">
      <c r="C2" s="166"/>
    </row>
    <row r="3" spans="1:10" x14ac:dyDescent="0.45">
      <c r="D3" s="163" t="s">
        <v>165</v>
      </c>
      <c r="G3" s="163" t="s">
        <v>166</v>
      </c>
      <c r="H3" s="165" t="s">
        <v>167</v>
      </c>
      <c r="I3" s="163" t="s">
        <v>167</v>
      </c>
    </row>
    <row r="4" spans="1:10" x14ac:dyDescent="0.45">
      <c r="B4" s="158" t="s">
        <v>264</v>
      </c>
      <c r="C4" s="167" t="s">
        <v>165</v>
      </c>
      <c r="D4" s="163" t="s">
        <v>168</v>
      </c>
      <c r="E4" s="171" t="s">
        <v>168</v>
      </c>
      <c r="F4" s="164" t="s">
        <v>169</v>
      </c>
      <c r="G4" s="163" t="s">
        <v>170</v>
      </c>
      <c r="H4" s="165" t="s">
        <v>171</v>
      </c>
      <c r="I4" s="163" t="s">
        <v>171</v>
      </c>
      <c r="J4" s="277" t="s">
        <v>268</v>
      </c>
    </row>
    <row r="5" spans="1:10" x14ac:dyDescent="0.45">
      <c r="A5" s="158" t="s">
        <v>261</v>
      </c>
      <c r="B5" s="158" t="s">
        <v>265</v>
      </c>
      <c r="C5" s="163" t="s">
        <v>172</v>
      </c>
      <c r="D5" s="163" t="s">
        <v>173</v>
      </c>
      <c r="E5" s="171" t="s">
        <v>174</v>
      </c>
      <c r="F5" s="164" t="s">
        <v>174</v>
      </c>
      <c r="G5" s="163" t="s">
        <v>172</v>
      </c>
      <c r="H5" s="165" t="s">
        <v>175</v>
      </c>
      <c r="I5" s="163" t="s">
        <v>176</v>
      </c>
      <c r="J5" s="277" t="s">
        <v>176</v>
      </c>
    </row>
    <row r="6" spans="1:10" x14ac:dyDescent="0.45">
      <c r="A6" s="158" t="s">
        <v>244</v>
      </c>
      <c r="B6" s="158" t="s">
        <v>266</v>
      </c>
      <c r="C6" s="163">
        <v>675</v>
      </c>
      <c r="D6" s="163">
        <v>100</v>
      </c>
      <c r="E6" s="171">
        <f>D6/C6</f>
        <v>0.14814814814814814</v>
      </c>
      <c r="F6" s="274">
        <f>1-E6</f>
        <v>0.85185185185185186</v>
      </c>
      <c r="G6" s="163">
        <f>C6*F6*12</f>
        <v>6900</v>
      </c>
      <c r="H6" s="165">
        <v>0.79</v>
      </c>
      <c r="I6" s="163">
        <f>C6*12*H6</f>
        <v>6399</v>
      </c>
      <c r="J6" s="275">
        <f>G6-I6</f>
        <v>501</v>
      </c>
    </row>
    <row r="7" spans="1:10" x14ac:dyDescent="0.45">
      <c r="A7" s="158" t="s">
        <v>247</v>
      </c>
      <c r="B7" s="158" t="s">
        <v>266</v>
      </c>
      <c r="C7" s="163">
        <v>675</v>
      </c>
      <c r="D7" s="163">
        <v>100</v>
      </c>
      <c r="E7" s="171">
        <f t="shared" ref="E7:E12" si="0">D7/C7</f>
        <v>0.14814814814814814</v>
      </c>
      <c r="F7" s="274">
        <f t="shared" ref="F7:F12" si="1">1-E7</f>
        <v>0.85185185185185186</v>
      </c>
      <c r="G7" s="163">
        <f t="shared" ref="G7:G12" si="2">C7*F7*12</f>
        <v>6900</v>
      </c>
      <c r="H7" s="165">
        <v>0.79</v>
      </c>
      <c r="I7" s="163">
        <f t="shared" ref="I7:I12" si="3">C7*12*H7</f>
        <v>6399</v>
      </c>
      <c r="J7" s="275">
        <f t="shared" ref="J7:J24" si="4">G7-I7</f>
        <v>501</v>
      </c>
    </row>
    <row r="8" spans="1:10" x14ac:dyDescent="0.45">
      <c r="A8" s="158" t="s">
        <v>262</v>
      </c>
      <c r="B8" s="158" t="s">
        <v>266</v>
      </c>
      <c r="C8" s="163">
        <v>575</v>
      </c>
      <c r="D8" s="163">
        <v>0</v>
      </c>
      <c r="E8" s="171">
        <f t="shared" si="0"/>
        <v>0</v>
      </c>
      <c r="F8" s="274">
        <f t="shared" si="1"/>
        <v>1</v>
      </c>
      <c r="G8" s="163">
        <f t="shared" si="2"/>
        <v>6900</v>
      </c>
      <c r="H8" s="165">
        <v>0.79</v>
      </c>
      <c r="I8" s="163">
        <f t="shared" si="3"/>
        <v>5451</v>
      </c>
      <c r="J8" s="275">
        <f t="shared" si="4"/>
        <v>1449</v>
      </c>
    </row>
    <row r="9" spans="1:10" x14ac:dyDescent="0.45">
      <c r="A9" s="158" t="s">
        <v>245</v>
      </c>
      <c r="B9" s="158" t="s">
        <v>266</v>
      </c>
      <c r="C9" s="163">
        <v>675</v>
      </c>
      <c r="D9" s="163">
        <v>100</v>
      </c>
      <c r="E9" s="171">
        <f t="shared" si="0"/>
        <v>0.14814814814814814</v>
      </c>
      <c r="F9" s="274">
        <f t="shared" si="1"/>
        <v>0.85185185185185186</v>
      </c>
      <c r="G9" s="163">
        <f t="shared" si="2"/>
        <v>6900</v>
      </c>
      <c r="H9" s="165">
        <v>0.79</v>
      </c>
      <c r="I9" s="163">
        <f t="shared" si="3"/>
        <v>6399</v>
      </c>
      <c r="J9" s="275">
        <f t="shared" si="4"/>
        <v>501</v>
      </c>
    </row>
    <row r="10" spans="1:10" x14ac:dyDescent="0.45">
      <c r="A10" s="158" t="s">
        <v>263</v>
      </c>
      <c r="B10" s="158" t="s">
        <v>266</v>
      </c>
      <c r="C10" s="163">
        <v>575</v>
      </c>
      <c r="D10" s="163">
        <v>0</v>
      </c>
      <c r="E10" s="171">
        <f t="shared" si="0"/>
        <v>0</v>
      </c>
      <c r="F10" s="274">
        <f t="shared" si="1"/>
        <v>1</v>
      </c>
      <c r="G10" s="163">
        <f t="shared" si="2"/>
        <v>6900</v>
      </c>
      <c r="H10" s="165">
        <v>0.79</v>
      </c>
      <c r="I10" s="163">
        <f t="shared" si="3"/>
        <v>5451</v>
      </c>
      <c r="J10" s="275">
        <f t="shared" si="4"/>
        <v>1449</v>
      </c>
    </row>
    <row r="11" spans="1:10" x14ac:dyDescent="0.45">
      <c r="A11" s="158" t="s">
        <v>246</v>
      </c>
      <c r="B11" s="158" t="s">
        <v>266</v>
      </c>
      <c r="C11" s="163">
        <v>675</v>
      </c>
      <c r="D11" s="163">
        <v>100</v>
      </c>
      <c r="E11" s="171">
        <f t="shared" si="0"/>
        <v>0.14814814814814814</v>
      </c>
      <c r="F11" s="274">
        <f t="shared" si="1"/>
        <v>0.85185185185185186</v>
      </c>
      <c r="G11" s="163">
        <f t="shared" si="2"/>
        <v>6900</v>
      </c>
      <c r="H11" s="165">
        <v>0.79</v>
      </c>
      <c r="I11" s="163">
        <f t="shared" si="3"/>
        <v>6399</v>
      </c>
      <c r="J11" s="275">
        <f t="shared" si="4"/>
        <v>501</v>
      </c>
    </row>
    <row r="12" spans="1:10" ht="16.5" x14ac:dyDescent="0.75">
      <c r="A12" s="158" t="s">
        <v>243</v>
      </c>
      <c r="B12" s="158" t="s">
        <v>266</v>
      </c>
      <c r="C12" s="169">
        <v>675</v>
      </c>
      <c r="D12" s="170">
        <v>100</v>
      </c>
      <c r="E12" s="171">
        <f t="shared" si="0"/>
        <v>0.14814814814814814</v>
      </c>
      <c r="F12" s="274">
        <f t="shared" si="1"/>
        <v>0.85185185185185186</v>
      </c>
      <c r="G12" s="286">
        <f t="shared" si="2"/>
        <v>6900</v>
      </c>
      <c r="H12" s="165">
        <v>0.79</v>
      </c>
      <c r="I12" s="169">
        <f t="shared" si="3"/>
        <v>6399</v>
      </c>
      <c r="J12" s="276">
        <f t="shared" si="4"/>
        <v>501</v>
      </c>
    </row>
    <row r="13" spans="1:10" x14ac:dyDescent="0.45">
      <c r="A13" s="159" t="s">
        <v>49</v>
      </c>
      <c r="B13" s="159"/>
      <c r="C13" s="163">
        <f>SUM(C6:C12)</f>
        <v>4525</v>
      </c>
      <c r="D13" s="163">
        <f>SUM(D6:D12)</f>
        <v>500</v>
      </c>
      <c r="G13" s="163">
        <f>SUM(G6:G12)</f>
        <v>48300</v>
      </c>
      <c r="H13" s="177"/>
      <c r="I13" s="178">
        <f>SUM(I6:I12)</f>
        <v>42897</v>
      </c>
      <c r="J13" s="275">
        <f t="shared" si="4"/>
        <v>5403</v>
      </c>
    </row>
    <row r="14" spans="1:10" x14ac:dyDescent="0.45">
      <c r="D14" s="168"/>
      <c r="F14" s="173"/>
      <c r="I14" s="179"/>
      <c r="J14" s="275"/>
    </row>
    <row r="15" spans="1:10" x14ac:dyDescent="0.45">
      <c r="D15" s="163" t="s">
        <v>165</v>
      </c>
      <c r="G15" s="163" t="s">
        <v>166</v>
      </c>
      <c r="H15" s="165" t="s">
        <v>167</v>
      </c>
      <c r="I15" s="163" t="s">
        <v>167</v>
      </c>
      <c r="J15" s="275"/>
    </row>
    <row r="16" spans="1:10" x14ac:dyDescent="0.45">
      <c r="B16" s="158" t="s">
        <v>264</v>
      </c>
      <c r="C16" s="167" t="s">
        <v>165</v>
      </c>
      <c r="D16" s="163" t="s">
        <v>168</v>
      </c>
      <c r="E16" s="171" t="s">
        <v>168</v>
      </c>
      <c r="F16" s="164" t="s">
        <v>169</v>
      </c>
      <c r="G16" s="163" t="s">
        <v>170</v>
      </c>
      <c r="H16" s="165" t="s">
        <v>171</v>
      </c>
      <c r="I16" s="163" t="s">
        <v>171</v>
      </c>
      <c r="J16" s="277" t="s">
        <v>268</v>
      </c>
    </row>
    <row r="17" spans="1:13" x14ac:dyDescent="0.45">
      <c r="A17" s="158" t="s">
        <v>267</v>
      </c>
      <c r="B17" s="158" t="s">
        <v>265</v>
      </c>
      <c r="C17" s="163" t="s">
        <v>172</v>
      </c>
      <c r="D17" s="163" t="s">
        <v>173</v>
      </c>
      <c r="E17" s="171" t="s">
        <v>174</v>
      </c>
      <c r="F17" s="164" t="s">
        <v>174</v>
      </c>
      <c r="G17" s="163" t="s">
        <v>172</v>
      </c>
      <c r="H17" s="165" t="s">
        <v>175</v>
      </c>
      <c r="I17" s="163" t="s">
        <v>176</v>
      </c>
      <c r="J17" s="277" t="s">
        <v>176</v>
      </c>
    </row>
    <row r="18" spans="1:13" x14ac:dyDescent="0.45">
      <c r="A18" s="158" t="s">
        <v>244</v>
      </c>
      <c r="B18" s="158" t="s">
        <v>266</v>
      </c>
      <c r="C18" s="163">
        <v>0</v>
      </c>
      <c r="D18" s="163">
        <v>0</v>
      </c>
      <c r="E18" s="171">
        <v>0</v>
      </c>
      <c r="F18" s="274">
        <v>0</v>
      </c>
      <c r="G18" s="163">
        <f t="shared" ref="G18:G24" si="5">C18*F18*12</f>
        <v>0</v>
      </c>
      <c r="H18" s="165">
        <v>0.6</v>
      </c>
      <c r="I18" s="163">
        <f>G18*H18</f>
        <v>0</v>
      </c>
      <c r="J18" s="275">
        <f t="shared" si="4"/>
        <v>0</v>
      </c>
    </row>
    <row r="19" spans="1:13" x14ac:dyDescent="0.45">
      <c r="A19" s="158" t="s">
        <v>247</v>
      </c>
      <c r="B19" s="158" t="s">
        <v>266</v>
      </c>
      <c r="C19" s="163">
        <v>23.56</v>
      </c>
      <c r="D19" s="163">
        <v>23.56</v>
      </c>
      <c r="E19" s="171">
        <f t="shared" ref="E19:E24" si="6">D19/C19</f>
        <v>1</v>
      </c>
      <c r="F19" s="274">
        <f t="shared" ref="F19:F24" si="7">1-E19</f>
        <v>0</v>
      </c>
      <c r="G19" s="163">
        <f t="shared" si="5"/>
        <v>0</v>
      </c>
      <c r="H19" s="165">
        <v>0.6</v>
      </c>
      <c r="I19" s="163">
        <f t="shared" ref="I19:I24" si="8">G19*H19</f>
        <v>0</v>
      </c>
      <c r="J19" s="275">
        <f t="shared" si="4"/>
        <v>0</v>
      </c>
    </row>
    <row r="20" spans="1:13" x14ac:dyDescent="0.45">
      <c r="A20" s="158" t="s">
        <v>262</v>
      </c>
      <c r="B20" s="158" t="s">
        <v>266</v>
      </c>
      <c r="C20" s="163">
        <v>0</v>
      </c>
      <c r="D20" s="163">
        <v>0</v>
      </c>
      <c r="E20" s="171">
        <v>0</v>
      </c>
      <c r="F20" s="274">
        <v>0</v>
      </c>
      <c r="G20" s="163">
        <f t="shared" si="5"/>
        <v>0</v>
      </c>
      <c r="H20" s="165">
        <v>0.6</v>
      </c>
      <c r="I20" s="163">
        <f t="shared" si="8"/>
        <v>0</v>
      </c>
      <c r="J20" s="275">
        <f t="shared" si="4"/>
        <v>0</v>
      </c>
    </row>
    <row r="21" spans="1:13" x14ac:dyDescent="0.45">
      <c r="A21" s="158" t="s">
        <v>245</v>
      </c>
      <c r="B21" s="158" t="s">
        <v>266</v>
      </c>
      <c r="C21" s="163">
        <v>23.56</v>
      </c>
      <c r="D21" s="163">
        <v>23.56</v>
      </c>
      <c r="E21" s="171">
        <f t="shared" si="6"/>
        <v>1</v>
      </c>
      <c r="F21" s="274">
        <f t="shared" si="7"/>
        <v>0</v>
      </c>
      <c r="G21" s="163">
        <f t="shared" si="5"/>
        <v>0</v>
      </c>
      <c r="H21" s="165">
        <v>0.6</v>
      </c>
      <c r="I21" s="163">
        <f t="shared" si="8"/>
        <v>0</v>
      </c>
      <c r="J21" s="275">
        <f t="shared" si="4"/>
        <v>0</v>
      </c>
    </row>
    <row r="22" spans="1:13" x14ac:dyDescent="0.45">
      <c r="A22" s="158" t="s">
        <v>263</v>
      </c>
      <c r="B22" s="158" t="s">
        <v>266</v>
      </c>
      <c r="C22" s="163">
        <v>13.98</v>
      </c>
      <c r="D22" s="163">
        <v>13.98</v>
      </c>
      <c r="E22" s="171">
        <f t="shared" si="6"/>
        <v>1</v>
      </c>
      <c r="F22" s="274">
        <f t="shared" si="7"/>
        <v>0</v>
      </c>
      <c r="G22" s="163">
        <f t="shared" si="5"/>
        <v>0</v>
      </c>
      <c r="H22" s="165">
        <v>0.6</v>
      </c>
      <c r="I22" s="163">
        <f t="shared" si="8"/>
        <v>0</v>
      </c>
      <c r="J22" s="275">
        <f t="shared" si="4"/>
        <v>0</v>
      </c>
    </row>
    <row r="23" spans="1:13" x14ac:dyDescent="0.45">
      <c r="A23" s="158" t="s">
        <v>246</v>
      </c>
      <c r="B23" s="158" t="s">
        <v>266</v>
      </c>
      <c r="C23" s="163">
        <v>23.56</v>
      </c>
      <c r="D23" s="163">
        <v>23.56</v>
      </c>
      <c r="E23" s="171">
        <f t="shared" si="6"/>
        <v>1</v>
      </c>
      <c r="F23" s="274">
        <f t="shared" si="7"/>
        <v>0</v>
      </c>
      <c r="G23" s="163">
        <f t="shared" si="5"/>
        <v>0</v>
      </c>
      <c r="H23" s="165">
        <v>0.6</v>
      </c>
      <c r="I23" s="163">
        <f t="shared" si="8"/>
        <v>0</v>
      </c>
      <c r="J23" s="275">
        <f t="shared" si="4"/>
        <v>0</v>
      </c>
    </row>
    <row r="24" spans="1:13" x14ac:dyDescent="0.45">
      <c r="A24" s="158" t="s">
        <v>243</v>
      </c>
      <c r="B24" s="158" t="s">
        <v>266</v>
      </c>
      <c r="C24" s="169">
        <v>13.98</v>
      </c>
      <c r="D24" s="169">
        <v>13.98</v>
      </c>
      <c r="E24" s="171">
        <f t="shared" si="6"/>
        <v>1</v>
      </c>
      <c r="F24" s="274">
        <f t="shared" si="7"/>
        <v>0</v>
      </c>
      <c r="G24" s="169">
        <f t="shared" si="5"/>
        <v>0</v>
      </c>
      <c r="H24" s="165">
        <v>0.6</v>
      </c>
      <c r="I24" s="169">
        <f t="shared" si="8"/>
        <v>0</v>
      </c>
      <c r="J24" s="276">
        <f t="shared" si="4"/>
        <v>0</v>
      </c>
    </row>
    <row r="25" spans="1:13" x14ac:dyDescent="0.45">
      <c r="A25" s="159" t="s">
        <v>49</v>
      </c>
      <c r="B25" s="159"/>
      <c r="C25" s="163">
        <f>SUM(C18:C24)</f>
        <v>98.64</v>
      </c>
      <c r="D25" s="163">
        <f>SUM(D18:D24)</f>
        <v>98.64</v>
      </c>
      <c r="G25" s="163">
        <f>SUM(G18:G24)</f>
        <v>0</v>
      </c>
      <c r="H25" s="177"/>
      <c r="I25" s="178">
        <f>SUM(I18:I24)</f>
        <v>0</v>
      </c>
      <c r="J25" s="161">
        <f>SUM(J18:J24)</f>
        <v>0</v>
      </c>
    </row>
    <row r="26" spans="1:13" x14ac:dyDescent="0.45">
      <c r="A26" s="159"/>
      <c r="B26" s="159"/>
      <c r="H26" s="177"/>
      <c r="I26" s="178"/>
      <c r="J26" s="161"/>
    </row>
    <row r="27" spans="1:13" x14ac:dyDescent="0.45">
      <c r="A27" s="159"/>
      <c r="B27" s="159"/>
      <c r="H27" s="177"/>
      <c r="I27" s="178"/>
      <c r="J27" s="161"/>
    </row>
    <row r="28" spans="1:13" x14ac:dyDescent="0.45">
      <c r="A28" s="158" t="s">
        <v>223</v>
      </c>
      <c r="C28" s="158"/>
      <c r="J28" s="161"/>
    </row>
    <row r="29" spans="1:13" s="225" customFormat="1" ht="14.35" customHeight="1" x14ac:dyDescent="0.45">
      <c r="A29" s="225" t="s">
        <v>290</v>
      </c>
      <c r="B29" s="230">
        <f>J13</f>
        <v>5403</v>
      </c>
      <c r="C29" s="226"/>
      <c r="D29" s="226"/>
      <c r="E29" s="227"/>
      <c r="F29" s="228"/>
      <c r="G29" s="226"/>
      <c r="H29" s="229"/>
      <c r="I29" s="226"/>
      <c r="J29" s="230"/>
    </row>
    <row r="30" spans="1:13" x14ac:dyDescent="0.45">
      <c r="A30" s="158" t="s">
        <v>291</v>
      </c>
      <c r="B30" s="279">
        <f>J25</f>
        <v>0</v>
      </c>
      <c r="F30" s="174"/>
      <c r="I30" s="180"/>
      <c r="J30" s="45"/>
      <c r="L30" s="160"/>
      <c r="M30" s="160"/>
    </row>
    <row r="31" spans="1:13" x14ac:dyDescent="0.45">
      <c r="A31" s="225" t="s">
        <v>292</v>
      </c>
      <c r="B31" s="230">
        <f>SUM(B29:B30)</f>
        <v>5403</v>
      </c>
      <c r="E31" s="172"/>
      <c r="F31" s="175"/>
      <c r="I31" s="181"/>
      <c r="J31" s="156"/>
      <c r="L31" s="162"/>
    </row>
    <row r="32" spans="1:13" ht="16.5" x14ac:dyDescent="0.75">
      <c r="F32" s="176"/>
      <c r="I32" s="182"/>
      <c r="J32" s="157"/>
    </row>
    <row r="33" spans="1:10" x14ac:dyDescent="0.45">
      <c r="F33" s="175"/>
      <c r="I33" s="181"/>
      <c r="J33" s="156"/>
    </row>
    <row r="38" spans="1:10" x14ac:dyDescent="0.45">
      <c r="A38" s="171"/>
      <c r="B38" s="17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590D3-A7C3-4727-A9D4-F5C014E94ADB}">
  <sheetPr>
    <pageSetUpPr fitToPage="1"/>
  </sheetPr>
  <dimension ref="A1:R56"/>
  <sheetViews>
    <sheetView showGridLines="0" workbookViewId="0">
      <selection activeCell="Q8" sqref="Q8"/>
    </sheetView>
  </sheetViews>
  <sheetFormatPr defaultRowHeight="15.4" x14ac:dyDescent="0.45"/>
  <cols>
    <col min="1" max="1" width="2" customWidth="1"/>
    <col min="2" max="2" width="1.88671875" customWidth="1"/>
    <col min="3" max="3" width="1.77734375" customWidth="1"/>
    <col min="4" max="4" width="27.44140625" style="1" customWidth="1"/>
    <col min="5" max="5" width="8.33203125" style="1" customWidth="1"/>
    <col min="6" max="6" width="10.6640625" style="190" customWidth="1"/>
    <col min="7" max="7" width="6.109375" style="1" customWidth="1"/>
    <col min="8" max="8" width="9.33203125" style="186" customWidth="1"/>
    <col min="9" max="9" width="6.109375" customWidth="1"/>
    <col min="10" max="10" width="9.33203125" style="186" customWidth="1"/>
    <col min="11" max="11" width="10.6640625" customWidth="1"/>
    <col min="12" max="12" width="1.88671875" customWidth="1"/>
    <col min="13" max="13" width="2.44140625" customWidth="1"/>
    <col min="15" max="18" width="8.88671875" style="1"/>
  </cols>
  <sheetData>
    <row r="1" spans="1:13" x14ac:dyDescent="0.45">
      <c r="A1" s="1"/>
      <c r="B1" s="1"/>
      <c r="C1" s="3"/>
      <c r="D1" s="3"/>
      <c r="E1" s="3"/>
      <c r="G1" s="134"/>
      <c r="H1" s="19"/>
      <c r="I1" s="134"/>
      <c r="J1" s="19"/>
      <c r="K1" s="3"/>
      <c r="L1" s="3"/>
      <c r="M1" s="3"/>
    </row>
    <row r="2" spans="1:13" x14ac:dyDescent="0.45">
      <c r="A2" s="1"/>
      <c r="B2" s="124"/>
      <c r="C2" s="126"/>
      <c r="D2" s="126"/>
      <c r="E2" s="126"/>
      <c r="F2" s="191"/>
      <c r="G2" s="135"/>
      <c r="H2" s="183"/>
      <c r="I2" s="135"/>
      <c r="J2" s="183"/>
      <c r="K2" s="126"/>
      <c r="L2" s="142"/>
      <c r="M2" s="145"/>
    </row>
    <row r="3" spans="1:13" ht="18" hidden="1" x14ac:dyDescent="0.55000000000000004">
      <c r="A3" s="1"/>
      <c r="B3" s="49"/>
      <c r="C3" s="299" t="s">
        <v>28</v>
      </c>
      <c r="D3" s="299"/>
      <c r="E3" s="299"/>
      <c r="F3" s="299"/>
      <c r="G3" s="299"/>
      <c r="H3" s="299"/>
      <c r="I3" s="299"/>
      <c r="J3" s="299"/>
      <c r="K3" s="299"/>
      <c r="L3" s="143"/>
      <c r="M3" s="145"/>
    </row>
    <row r="4" spans="1:13" ht="18" x14ac:dyDescent="0.55000000000000004">
      <c r="A4" s="1"/>
      <c r="B4" s="49"/>
      <c r="C4" s="300" t="s">
        <v>41</v>
      </c>
      <c r="D4" s="300"/>
      <c r="E4" s="300"/>
      <c r="F4" s="300"/>
      <c r="G4" s="300"/>
      <c r="H4" s="300"/>
      <c r="I4" s="300"/>
      <c r="J4" s="300"/>
      <c r="K4" s="300"/>
      <c r="L4" s="143"/>
      <c r="M4" s="145"/>
    </row>
    <row r="5" spans="1:13" ht="15.75" x14ac:dyDescent="0.45">
      <c r="A5" s="1"/>
      <c r="B5" s="49"/>
      <c r="C5" s="301" t="s">
        <v>228</v>
      </c>
      <c r="D5" s="301"/>
      <c r="E5" s="301"/>
      <c r="F5" s="301"/>
      <c r="G5" s="301"/>
      <c r="H5" s="301"/>
      <c r="I5" s="301"/>
      <c r="J5" s="301"/>
      <c r="K5" s="301"/>
      <c r="L5" s="143"/>
      <c r="M5" s="145"/>
    </row>
    <row r="6" spans="1:13" x14ac:dyDescent="0.45">
      <c r="A6" s="1"/>
      <c r="B6" s="49"/>
      <c r="C6" s="3"/>
      <c r="D6" s="3"/>
      <c r="E6" s="3"/>
      <c r="G6" s="136"/>
      <c r="H6" s="19"/>
      <c r="I6" s="136"/>
      <c r="J6" s="19"/>
      <c r="K6" s="128" t="s">
        <v>42</v>
      </c>
      <c r="L6" s="143"/>
      <c r="M6" s="145"/>
    </row>
    <row r="7" spans="1:13" x14ac:dyDescent="0.45">
      <c r="A7" s="1"/>
      <c r="B7" s="49"/>
      <c r="C7" s="127"/>
      <c r="D7" s="127"/>
      <c r="E7" s="127" t="s">
        <v>43</v>
      </c>
      <c r="F7" s="192" t="s">
        <v>44</v>
      </c>
      <c r="G7" s="302" t="s">
        <v>138</v>
      </c>
      <c r="H7" s="302"/>
      <c r="I7" s="302" t="s">
        <v>33</v>
      </c>
      <c r="J7" s="302"/>
      <c r="K7" s="128" t="s">
        <v>45</v>
      </c>
      <c r="L7" s="143"/>
      <c r="M7" s="145"/>
    </row>
    <row r="8" spans="1:13" ht="17.649999999999999" x14ac:dyDescent="0.75">
      <c r="A8" s="1"/>
      <c r="B8" s="49"/>
      <c r="C8" s="128"/>
      <c r="D8" s="132" t="s">
        <v>117</v>
      </c>
      <c r="E8" s="128" t="s">
        <v>46</v>
      </c>
      <c r="F8" s="193" t="s">
        <v>137</v>
      </c>
      <c r="G8" s="197" t="s">
        <v>47</v>
      </c>
      <c r="H8" s="128" t="s">
        <v>48</v>
      </c>
      <c r="I8" s="25" t="s">
        <v>47</v>
      </c>
      <c r="J8" s="128" t="s">
        <v>48</v>
      </c>
      <c r="K8" s="128" t="s">
        <v>38</v>
      </c>
      <c r="L8" s="143"/>
      <c r="M8" s="145"/>
    </row>
    <row r="9" spans="1:13" x14ac:dyDescent="0.45">
      <c r="A9" s="1"/>
      <c r="B9" s="49"/>
      <c r="C9" s="129" t="s">
        <v>112</v>
      </c>
      <c r="D9" s="3"/>
      <c r="E9" s="133"/>
      <c r="G9" s="136"/>
      <c r="H9" s="185"/>
      <c r="I9" s="136"/>
      <c r="J9" s="185"/>
      <c r="K9" s="2"/>
      <c r="L9" s="143"/>
      <c r="M9" s="145"/>
    </row>
    <row r="10" spans="1:13" x14ac:dyDescent="0.45">
      <c r="A10" s="1"/>
      <c r="B10" s="49"/>
      <c r="C10" s="129"/>
      <c r="D10" s="3" t="s">
        <v>118</v>
      </c>
      <c r="E10" s="133" t="s">
        <v>139</v>
      </c>
      <c r="F10" s="195">
        <v>347401</v>
      </c>
      <c r="G10" s="70" t="s">
        <v>222</v>
      </c>
      <c r="H10" s="152">
        <v>13540</v>
      </c>
      <c r="I10" s="136">
        <v>37.5</v>
      </c>
      <c r="J10" s="152">
        <f>F10/I10</f>
        <v>9264.0266666666666</v>
      </c>
      <c r="K10" s="23">
        <f>J10-H10</f>
        <v>-4275.9733333333334</v>
      </c>
      <c r="L10" s="143"/>
      <c r="M10" s="145"/>
    </row>
    <row r="11" spans="1:13" x14ac:dyDescent="0.45">
      <c r="A11" s="1"/>
      <c r="B11" s="49"/>
      <c r="C11" s="129"/>
      <c r="D11" s="3" t="s">
        <v>119</v>
      </c>
      <c r="E11" s="133" t="s">
        <v>139</v>
      </c>
      <c r="F11" s="195">
        <v>36924</v>
      </c>
      <c r="G11" s="70" t="s">
        <v>222</v>
      </c>
      <c r="H11" s="152">
        <v>1439</v>
      </c>
      <c r="I11" s="136">
        <v>10</v>
      </c>
      <c r="J11" s="152">
        <f>F11/I11</f>
        <v>3692.4</v>
      </c>
      <c r="K11" s="23">
        <f>J11-H11</f>
        <v>2253.4</v>
      </c>
      <c r="L11" s="143"/>
      <c r="M11" s="145"/>
    </row>
    <row r="12" spans="1:13" x14ac:dyDescent="0.45">
      <c r="A12" s="1"/>
      <c r="B12" s="49"/>
      <c r="C12" s="3"/>
      <c r="D12" s="3" t="s">
        <v>120</v>
      </c>
      <c r="E12" s="133"/>
      <c r="F12" s="195"/>
      <c r="G12" s="70"/>
      <c r="H12" s="152"/>
      <c r="I12" s="136">
        <v>22.5</v>
      </c>
      <c r="J12" s="152">
        <f>F12/I12</f>
        <v>0</v>
      </c>
      <c r="K12" s="23">
        <f>J12-H12</f>
        <v>0</v>
      </c>
      <c r="L12" s="143"/>
      <c r="M12" s="145"/>
    </row>
    <row r="13" spans="1:13" x14ac:dyDescent="0.45">
      <c r="A13" s="1"/>
      <c r="B13" s="49"/>
      <c r="C13" s="3"/>
      <c r="D13" s="3" t="s">
        <v>121</v>
      </c>
      <c r="E13" s="133"/>
      <c r="F13" s="195"/>
      <c r="G13" s="70"/>
      <c r="H13" s="152"/>
      <c r="I13" s="136">
        <v>12.5</v>
      </c>
      <c r="J13" s="152">
        <f t="shared" ref="J13:J15" si="0">F13/I13</f>
        <v>0</v>
      </c>
      <c r="K13" s="23">
        <f t="shared" ref="K13:K15" si="1">J13-H13</f>
        <v>0</v>
      </c>
      <c r="L13" s="143"/>
      <c r="M13" s="145"/>
    </row>
    <row r="14" spans="1:13" x14ac:dyDescent="0.45">
      <c r="A14" s="1"/>
      <c r="B14" s="49"/>
      <c r="C14" s="3"/>
      <c r="D14" s="3" t="s">
        <v>122</v>
      </c>
      <c r="E14" s="133"/>
      <c r="F14" s="195"/>
      <c r="G14" s="70"/>
      <c r="H14" s="152"/>
      <c r="I14" s="136">
        <v>17.5</v>
      </c>
      <c r="J14" s="152">
        <f t="shared" si="0"/>
        <v>0</v>
      </c>
      <c r="K14" s="23">
        <f t="shared" si="1"/>
        <v>0</v>
      </c>
      <c r="L14" s="143"/>
      <c r="M14" s="145"/>
    </row>
    <row r="15" spans="1:13" x14ac:dyDescent="0.45">
      <c r="A15" s="1"/>
      <c r="B15" s="49"/>
      <c r="C15" s="3"/>
      <c r="D15" s="3" t="s">
        <v>123</v>
      </c>
      <c r="E15" s="133"/>
      <c r="F15" s="195"/>
      <c r="G15" s="70"/>
      <c r="H15" s="152"/>
      <c r="I15" s="136">
        <v>15</v>
      </c>
      <c r="J15" s="152">
        <f t="shared" si="0"/>
        <v>0</v>
      </c>
      <c r="K15" s="23">
        <f t="shared" si="1"/>
        <v>0</v>
      </c>
      <c r="L15" s="143"/>
      <c r="M15" s="145"/>
    </row>
    <row r="16" spans="1:13" x14ac:dyDescent="0.45">
      <c r="A16" s="1"/>
      <c r="B16" s="49"/>
      <c r="C16" s="3"/>
      <c r="D16" s="3"/>
      <c r="E16" s="133"/>
      <c r="F16" s="195"/>
      <c r="G16" s="70"/>
      <c r="H16" s="152"/>
      <c r="I16" s="136"/>
      <c r="J16" s="152"/>
      <c r="K16" s="23"/>
      <c r="L16" s="143"/>
      <c r="M16" s="145"/>
    </row>
    <row r="17" spans="1:13" x14ac:dyDescent="0.45">
      <c r="A17" s="1"/>
      <c r="B17" s="49"/>
      <c r="C17" s="129" t="s">
        <v>180</v>
      </c>
      <c r="D17" s="3"/>
      <c r="E17" s="133"/>
      <c r="F17" s="195"/>
      <c r="G17" s="70"/>
      <c r="H17" s="152"/>
      <c r="I17" s="136"/>
      <c r="J17" s="152"/>
      <c r="K17" s="23"/>
      <c r="L17" s="143"/>
      <c r="M17" s="145"/>
    </row>
    <row r="18" spans="1:13" x14ac:dyDescent="0.45">
      <c r="A18" s="1"/>
      <c r="B18" s="49"/>
      <c r="C18" s="3"/>
      <c r="D18" s="3" t="s">
        <v>181</v>
      </c>
      <c r="E18" s="133"/>
      <c r="F18" s="195"/>
      <c r="G18" s="70"/>
      <c r="H18" s="152"/>
      <c r="I18" s="136">
        <v>62.5</v>
      </c>
      <c r="J18" s="152">
        <f t="shared" ref="J18:J19" si="2">F18/I18</f>
        <v>0</v>
      </c>
      <c r="K18" s="23">
        <f t="shared" ref="K18:K19" si="3">J18-H18</f>
        <v>0</v>
      </c>
      <c r="L18" s="143"/>
      <c r="M18" s="145"/>
    </row>
    <row r="19" spans="1:13" x14ac:dyDescent="0.45">
      <c r="A19" s="1"/>
      <c r="B19" s="49"/>
      <c r="C19" s="3"/>
      <c r="D19" s="3" t="s">
        <v>182</v>
      </c>
      <c r="E19" s="133"/>
      <c r="F19" s="195"/>
      <c r="G19" s="70"/>
      <c r="H19" s="152"/>
      <c r="I19" s="136">
        <v>62.5</v>
      </c>
      <c r="J19" s="152">
        <f t="shared" si="2"/>
        <v>0</v>
      </c>
      <c r="K19" s="23">
        <f t="shared" si="3"/>
        <v>0</v>
      </c>
      <c r="L19" s="143"/>
      <c r="M19" s="145"/>
    </row>
    <row r="20" spans="1:13" x14ac:dyDescent="0.45">
      <c r="A20" s="1"/>
      <c r="B20" s="49"/>
      <c r="C20" s="128"/>
      <c r="D20" s="128"/>
      <c r="E20" s="128"/>
      <c r="F20" s="194"/>
      <c r="G20" s="224"/>
      <c r="H20" s="184"/>
      <c r="I20" s="25"/>
      <c r="J20" s="184"/>
      <c r="K20" s="128"/>
      <c r="L20" s="143"/>
      <c r="M20" s="145"/>
    </row>
    <row r="21" spans="1:13" x14ac:dyDescent="0.45">
      <c r="A21" s="1"/>
      <c r="B21" s="49"/>
      <c r="C21" s="129" t="s">
        <v>113</v>
      </c>
      <c r="D21" s="3"/>
      <c r="E21" s="133"/>
      <c r="G21" s="137"/>
      <c r="H21" s="185"/>
      <c r="I21" s="137"/>
      <c r="J21" s="185"/>
      <c r="K21" s="2"/>
      <c r="L21" s="143"/>
      <c r="M21" s="145"/>
    </row>
    <row r="22" spans="1:13" x14ac:dyDescent="0.45">
      <c r="A22" s="1"/>
      <c r="B22" s="49"/>
      <c r="C22" s="129"/>
      <c r="D22" s="3" t="s">
        <v>118</v>
      </c>
      <c r="E22" s="133" t="s">
        <v>139</v>
      </c>
      <c r="F22" s="195">
        <v>32250</v>
      </c>
      <c r="G22" s="70" t="s">
        <v>139</v>
      </c>
      <c r="H22" s="152">
        <v>1608</v>
      </c>
      <c r="I22" s="136">
        <v>37.5</v>
      </c>
      <c r="J22" s="152">
        <f>F22/I22</f>
        <v>860</v>
      </c>
      <c r="K22" s="23">
        <f>J22-H22</f>
        <v>-748</v>
      </c>
      <c r="L22" s="143"/>
      <c r="M22" s="145"/>
    </row>
    <row r="23" spans="1:13" x14ac:dyDescent="0.45">
      <c r="A23" s="1"/>
      <c r="B23" s="49"/>
      <c r="C23" s="3"/>
      <c r="D23" s="3" t="s">
        <v>124</v>
      </c>
      <c r="E23" s="133" t="s">
        <v>139</v>
      </c>
      <c r="F23" s="190">
        <v>108996</v>
      </c>
      <c r="G23" s="137" t="s">
        <v>139</v>
      </c>
      <c r="H23" s="152">
        <v>4167</v>
      </c>
      <c r="I23" s="136">
        <v>10</v>
      </c>
      <c r="J23" s="185">
        <f>F23/I23</f>
        <v>10899.6</v>
      </c>
      <c r="K23" s="23">
        <f>J23-H23</f>
        <v>6732.6</v>
      </c>
      <c r="L23" s="143"/>
      <c r="M23" s="145"/>
    </row>
    <row r="24" spans="1:13" x14ac:dyDescent="0.45">
      <c r="A24" s="1"/>
      <c r="B24" s="49"/>
      <c r="C24" s="3"/>
      <c r="D24" s="3" t="s">
        <v>125</v>
      </c>
      <c r="E24" s="133" t="s">
        <v>139</v>
      </c>
      <c r="F24" s="190">
        <v>65704</v>
      </c>
      <c r="G24" s="137" t="s">
        <v>139</v>
      </c>
      <c r="H24" s="152">
        <v>3285</v>
      </c>
      <c r="I24" s="136">
        <v>20</v>
      </c>
      <c r="J24" s="185">
        <f>F24/I24</f>
        <v>3285.2</v>
      </c>
      <c r="K24" s="23">
        <f>J24-H24</f>
        <v>0.1999999999998181</v>
      </c>
      <c r="L24" s="143"/>
      <c r="M24" s="145"/>
    </row>
    <row r="25" spans="1:13" x14ac:dyDescent="0.45">
      <c r="A25" s="1"/>
      <c r="B25" s="49"/>
      <c r="C25" s="128"/>
      <c r="D25" s="128"/>
      <c r="E25" s="128"/>
      <c r="G25" s="137"/>
      <c r="H25" s="185"/>
      <c r="I25" s="137"/>
      <c r="J25" s="185"/>
      <c r="K25" s="2"/>
      <c r="L25" s="143"/>
      <c r="M25" s="145"/>
    </row>
    <row r="26" spans="1:13" x14ac:dyDescent="0.45">
      <c r="A26" s="1"/>
      <c r="B26" s="49"/>
      <c r="C26" s="129" t="s">
        <v>114</v>
      </c>
      <c r="D26" s="3"/>
      <c r="E26" s="133"/>
      <c r="G26" s="136"/>
      <c r="H26" s="185"/>
      <c r="I26" s="136"/>
      <c r="J26" s="185"/>
      <c r="K26" s="2"/>
      <c r="L26" s="143"/>
      <c r="M26" s="145"/>
    </row>
    <row r="27" spans="1:13" x14ac:dyDescent="0.45">
      <c r="A27" s="1"/>
      <c r="B27" s="49"/>
      <c r="C27" s="129"/>
      <c r="D27" s="3" t="s">
        <v>126</v>
      </c>
      <c r="E27" s="133" t="s">
        <v>139</v>
      </c>
      <c r="F27" s="195">
        <v>115274</v>
      </c>
      <c r="G27" s="70" t="s">
        <v>139</v>
      </c>
      <c r="H27" s="152">
        <v>3049</v>
      </c>
      <c r="I27" s="136">
        <v>50</v>
      </c>
      <c r="J27" s="152">
        <f>H27</f>
        <v>3049</v>
      </c>
      <c r="K27" s="23">
        <f>J27-H27</f>
        <v>0</v>
      </c>
      <c r="L27" s="143"/>
      <c r="M27" s="145"/>
    </row>
    <row r="28" spans="1:13" x14ac:dyDescent="0.45">
      <c r="A28" s="1"/>
      <c r="B28" s="49"/>
      <c r="C28" s="129"/>
      <c r="D28" s="3" t="s">
        <v>127</v>
      </c>
      <c r="E28" s="133" t="s">
        <v>139</v>
      </c>
      <c r="F28" s="195">
        <v>5163680</v>
      </c>
      <c r="G28" s="70" t="s">
        <v>139</v>
      </c>
      <c r="H28" s="152">
        <v>106381</v>
      </c>
      <c r="I28" s="136">
        <v>62.5</v>
      </c>
      <c r="J28" s="152">
        <f t="shared" ref="J28:J35" si="4">F28/I28</f>
        <v>82618.880000000005</v>
      </c>
      <c r="K28" s="23">
        <f t="shared" ref="K28:K35" si="5">J28-H28</f>
        <v>-23762.119999999995</v>
      </c>
      <c r="L28" s="143"/>
      <c r="M28" s="145"/>
    </row>
    <row r="29" spans="1:13" x14ac:dyDescent="0.45">
      <c r="A29" s="1"/>
      <c r="B29" s="49"/>
      <c r="C29" s="129"/>
      <c r="D29" s="3" t="s">
        <v>128</v>
      </c>
      <c r="E29" s="133" t="s">
        <v>139</v>
      </c>
      <c r="F29" s="195">
        <v>81927</v>
      </c>
      <c r="G29" s="70" t="s">
        <v>139</v>
      </c>
      <c r="H29" s="152">
        <v>3652</v>
      </c>
      <c r="I29" s="136">
        <v>45</v>
      </c>
      <c r="J29" s="152">
        <f t="shared" si="4"/>
        <v>1820.6</v>
      </c>
      <c r="K29" s="23">
        <f t="shared" si="5"/>
        <v>-1831.4</v>
      </c>
      <c r="L29" s="143"/>
      <c r="M29" s="145"/>
    </row>
    <row r="30" spans="1:13" x14ac:dyDescent="0.45">
      <c r="A30" s="1"/>
      <c r="B30" s="49"/>
      <c r="C30" s="129"/>
      <c r="D30" s="3" t="s">
        <v>129</v>
      </c>
      <c r="E30" s="133" t="s">
        <v>139</v>
      </c>
      <c r="F30" s="195">
        <v>1325565</v>
      </c>
      <c r="G30" s="70" t="s">
        <v>139</v>
      </c>
      <c r="H30" s="152">
        <v>66790</v>
      </c>
      <c r="I30" s="136">
        <v>15</v>
      </c>
      <c r="J30" s="152">
        <f t="shared" si="4"/>
        <v>88371</v>
      </c>
      <c r="K30" s="23">
        <f t="shared" si="5"/>
        <v>21581</v>
      </c>
      <c r="L30" s="143"/>
      <c r="M30" s="145"/>
    </row>
    <row r="31" spans="1:13" x14ac:dyDescent="0.45">
      <c r="A31" s="1"/>
      <c r="B31" s="49"/>
      <c r="C31" s="129"/>
      <c r="D31" s="3" t="s">
        <v>130</v>
      </c>
      <c r="E31" s="133"/>
      <c r="F31" s="195"/>
      <c r="G31" s="70"/>
      <c r="H31" s="152"/>
      <c r="I31" s="136">
        <v>20</v>
      </c>
      <c r="J31" s="152">
        <f t="shared" si="4"/>
        <v>0</v>
      </c>
      <c r="K31" s="23">
        <f t="shared" si="5"/>
        <v>0</v>
      </c>
      <c r="L31" s="143"/>
      <c r="M31" s="145"/>
    </row>
    <row r="32" spans="1:13" x14ac:dyDescent="0.45">
      <c r="A32" s="1"/>
      <c r="B32" s="49"/>
      <c r="C32" s="129"/>
      <c r="D32" s="3" t="s">
        <v>131</v>
      </c>
      <c r="E32" s="133"/>
      <c r="F32" s="195"/>
      <c r="G32" s="70"/>
      <c r="H32" s="152"/>
      <c r="I32" s="136">
        <v>37.5</v>
      </c>
      <c r="J32" s="152">
        <f t="shared" si="4"/>
        <v>0</v>
      </c>
      <c r="K32" s="23">
        <f t="shared" si="5"/>
        <v>0</v>
      </c>
      <c r="L32" s="143"/>
      <c r="M32" s="145"/>
    </row>
    <row r="33" spans="1:14" x14ac:dyDescent="0.45">
      <c r="A33" s="1"/>
      <c r="B33" s="49"/>
      <c r="C33" s="129"/>
      <c r="D33" s="3" t="s">
        <v>132</v>
      </c>
      <c r="E33" s="133" t="s">
        <v>139</v>
      </c>
      <c r="F33" s="195">
        <v>67190</v>
      </c>
      <c r="G33" s="70" t="s">
        <v>139</v>
      </c>
      <c r="H33" s="152">
        <v>2026</v>
      </c>
      <c r="I33" s="136">
        <v>40</v>
      </c>
      <c r="J33" s="152">
        <f t="shared" si="4"/>
        <v>1679.75</v>
      </c>
      <c r="K33" s="23">
        <f t="shared" si="5"/>
        <v>-346.25</v>
      </c>
      <c r="L33" s="143"/>
      <c r="M33" s="145"/>
    </row>
    <row r="34" spans="1:14" x14ac:dyDescent="0.45">
      <c r="A34" s="1"/>
      <c r="B34" s="49"/>
      <c r="C34" s="129"/>
      <c r="D34" s="3" t="s">
        <v>133</v>
      </c>
      <c r="E34" s="133" t="s">
        <v>139</v>
      </c>
      <c r="F34" s="195">
        <v>846170</v>
      </c>
      <c r="G34" s="70" t="s">
        <v>139</v>
      </c>
      <c r="H34" s="152">
        <v>20450</v>
      </c>
      <c r="I34" s="136">
        <v>45</v>
      </c>
      <c r="J34" s="152">
        <f t="shared" si="4"/>
        <v>18803.777777777777</v>
      </c>
      <c r="K34" s="23">
        <f t="shared" si="5"/>
        <v>-1646.2222222222226</v>
      </c>
      <c r="L34" s="143"/>
      <c r="M34" s="145"/>
    </row>
    <row r="35" spans="1:14" x14ac:dyDescent="0.45">
      <c r="A35" s="1"/>
      <c r="B35" s="49"/>
      <c r="C35" s="129"/>
      <c r="D35" s="3" t="s">
        <v>134</v>
      </c>
      <c r="E35" s="133"/>
      <c r="F35" s="195"/>
      <c r="G35" s="70"/>
      <c r="H35" s="152"/>
      <c r="I35" s="136">
        <v>15</v>
      </c>
      <c r="J35" s="152">
        <f t="shared" si="4"/>
        <v>0</v>
      </c>
      <c r="K35" s="23">
        <f t="shared" si="5"/>
        <v>0</v>
      </c>
      <c r="L35" s="143"/>
      <c r="M35" s="145"/>
    </row>
    <row r="36" spans="1:14" x14ac:dyDescent="0.45">
      <c r="A36" s="1"/>
      <c r="B36" s="49"/>
      <c r="C36" s="129"/>
      <c r="E36" s="133"/>
      <c r="G36" s="137"/>
      <c r="H36" s="185"/>
      <c r="I36" s="137"/>
      <c r="J36" s="185"/>
      <c r="K36" s="23"/>
      <c r="L36" s="143"/>
      <c r="M36" s="145"/>
    </row>
    <row r="37" spans="1:14" x14ac:dyDescent="0.45">
      <c r="A37" s="1"/>
      <c r="B37" s="49"/>
      <c r="C37" s="129" t="s">
        <v>115</v>
      </c>
      <c r="E37" s="133"/>
      <c r="G37" s="136"/>
      <c r="H37" s="185"/>
      <c r="I37" s="141"/>
      <c r="J37" s="185"/>
      <c r="K37" s="2"/>
      <c r="L37" s="143"/>
      <c r="M37" s="145"/>
    </row>
    <row r="38" spans="1:14" x14ac:dyDescent="0.45">
      <c r="A38" s="1"/>
      <c r="B38" s="49"/>
      <c r="C38" s="3"/>
      <c r="D38" s="1" t="s">
        <v>135</v>
      </c>
      <c r="E38" s="133" t="s">
        <v>139</v>
      </c>
      <c r="F38" s="190">
        <v>58991</v>
      </c>
      <c r="G38" s="136" t="s">
        <v>139</v>
      </c>
      <c r="H38" s="185">
        <v>2950</v>
      </c>
      <c r="I38" s="141">
        <v>7</v>
      </c>
      <c r="J38" s="185">
        <f>F38/I38</f>
        <v>8427.2857142857138</v>
      </c>
      <c r="K38" s="2">
        <f>J38-H38</f>
        <v>5477.2857142857138</v>
      </c>
      <c r="L38" s="143"/>
      <c r="M38" s="145"/>
    </row>
    <row r="39" spans="1:14" x14ac:dyDescent="0.45">
      <c r="A39" s="1"/>
      <c r="B39" s="49"/>
      <c r="C39" s="128"/>
      <c r="D39" s="128"/>
      <c r="E39" s="128"/>
      <c r="G39" s="137"/>
      <c r="H39" s="185"/>
      <c r="I39" s="137"/>
      <c r="J39" s="185"/>
      <c r="K39" s="2"/>
      <c r="L39" s="143"/>
      <c r="M39" s="145"/>
    </row>
    <row r="40" spans="1:14" x14ac:dyDescent="0.45">
      <c r="A40" s="1"/>
      <c r="B40" s="49"/>
      <c r="C40" s="129" t="s">
        <v>116</v>
      </c>
      <c r="D40" s="3"/>
      <c r="E40" s="133"/>
      <c r="G40" s="138"/>
      <c r="H40" s="185"/>
      <c r="I40" s="136"/>
      <c r="J40" s="185"/>
      <c r="K40" s="2"/>
      <c r="L40" s="143"/>
      <c r="M40" s="145"/>
    </row>
    <row r="41" spans="1:14" x14ac:dyDescent="0.45">
      <c r="A41" s="1"/>
      <c r="B41" s="49"/>
      <c r="C41" s="129"/>
      <c r="D41" s="1" t="s">
        <v>178</v>
      </c>
      <c r="E41" s="133"/>
      <c r="G41" s="136"/>
      <c r="H41" s="185"/>
      <c r="I41" s="141">
        <v>62.5</v>
      </c>
      <c r="J41" s="185">
        <f>F41/I41</f>
        <v>0</v>
      </c>
      <c r="K41" s="2">
        <f>J41-H41</f>
        <v>0</v>
      </c>
      <c r="L41" s="143"/>
      <c r="M41" s="145"/>
    </row>
    <row r="42" spans="1:14" x14ac:dyDescent="0.45">
      <c r="A42" s="1"/>
      <c r="B42" s="49"/>
      <c r="C42" s="129"/>
      <c r="D42" s="1" t="s">
        <v>179</v>
      </c>
      <c r="E42" s="133"/>
      <c r="G42" s="136"/>
      <c r="H42" s="185"/>
      <c r="I42" s="141">
        <v>27.5</v>
      </c>
      <c r="J42" s="185">
        <f>F42/I42</f>
        <v>0</v>
      </c>
      <c r="K42" s="2">
        <f>J42-H42</f>
        <v>0</v>
      </c>
      <c r="L42" s="143"/>
      <c r="M42" s="145"/>
    </row>
    <row r="43" spans="1:14" x14ac:dyDescent="0.45">
      <c r="A43" s="1"/>
      <c r="B43" s="49"/>
      <c r="C43" s="3"/>
      <c r="D43" s="3"/>
      <c r="E43" s="3"/>
      <c r="G43" s="2"/>
      <c r="H43" s="152"/>
      <c r="I43" s="2"/>
      <c r="J43" s="189"/>
      <c r="K43" s="2"/>
      <c r="L43" s="143"/>
      <c r="M43" s="145"/>
    </row>
    <row r="44" spans="1:14" x14ac:dyDescent="0.45">
      <c r="A44" s="1"/>
      <c r="B44" s="49"/>
      <c r="C44" s="130" t="s">
        <v>68</v>
      </c>
      <c r="F44" s="187">
        <f>SUM(F10:F43)</f>
        <v>8250072</v>
      </c>
      <c r="G44" s="139"/>
      <c r="H44" s="187">
        <f>SUM(H10:H43)</f>
        <v>229337</v>
      </c>
      <c r="I44" s="140"/>
      <c r="J44" s="187">
        <f>SUM(J10:J43)</f>
        <v>232771.52015873016</v>
      </c>
      <c r="K44" s="140">
        <f>SUM(K10:K43)</f>
        <v>3434.5201587301599</v>
      </c>
      <c r="L44" s="143"/>
      <c r="M44" s="145"/>
      <c r="N44" s="21"/>
    </row>
    <row r="45" spans="1:14" x14ac:dyDescent="0.45">
      <c r="A45" s="1"/>
      <c r="B45" s="125"/>
      <c r="C45" s="131"/>
      <c r="D45" s="131"/>
      <c r="E45" s="131"/>
      <c r="F45" s="196"/>
      <c r="G45" s="131"/>
      <c r="H45" s="188"/>
      <c r="I45" s="131"/>
      <c r="J45" s="188"/>
      <c r="K45" s="131"/>
      <c r="L45" s="144"/>
      <c r="M45" s="146"/>
    </row>
    <row r="46" spans="1:14" x14ac:dyDescent="0.45">
      <c r="A46" s="1"/>
      <c r="B46" s="1"/>
      <c r="C46" s="3"/>
      <c r="D46" s="3"/>
      <c r="E46" s="3"/>
      <c r="G46" s="3"/>
      <c r="H46" s="189"/>
      <c r="I46" s="3"/>
      <c r="J46" s="189"/>
      <c r="K46" s="3"/>
      <c r="L46" s="3"/>
      <c r="M46" s="3"/>
    </row>
    <row r="47" spans="1:14" x14ac:dyDescent="0.45">
      <c r="D47" s="3" t="s">
        <v>136</v>
      </c>
    </row>
    <row r="50" spans="4:7" x14ac:dyDescent="0.45">
      <c r="D50" s="1" t="s">
        <v>183</v>
      </c>
      <c r="F50" s="190">
        <f>H44</f>
        <v>229337</v>
      </c>
    </row>
    <row r="51" spans="4:7" ht="17.649999999999999" x14ac:dyDescent="0.75">
      <c r="D51" s="1" t="s">
        <v>185</v>
      </c>
      <c r="F51" s="198">
        <f>-SAO!D39</f>
        <v>-229388</v>
      </c>
    </row>
    <row r="52" spans="4:7" x14ac:dyDescent="0.45">
      <c r="D52" s="1" t="s">
        <v>304</v>
      </c>
      <c r="F52" s="190">
        <f>F50+F51</f>
        <v>-51</v>
      </c>
      <c r="G52" s="21" t="s">
        <v>177</v>
      </c>
    </row>
    <row r="54" spans="4:7" x14ac:dyDescent="0.45">
      <c r="D54" s="1" t="s">
        <v>184</v>
      </c>
      <c r="F54" s="190">
        <f>J44</f>
        <v>232771.52015873016</v>
      </c>
    </row>
    <row r="55" spans="4:7" ht="17.649999999999999" x14ac:dyDescent="0.75">
      <c r="D55" s="1" t="s">
        <v>186</v>
      </c>
      <c r="F55" s="198">
        <f>-F50</f>
        <v>-229337</v>
      </c>
    </row>
    <row r="56" spans="4:7" x14ac:dyDescent="0.45">
      <c r="D56" s="1" t="s">
        <v>187</v>
      </c>
      <c r="F56" s="190">
        <f>F54+F55</f>
        <v>3434.5201587301563</v>
      </c>
      <c r="G56" s="21" t="s">
        <v>188</v>
      </c>
    </row>
  </sheetData>
  <mergeCells count="5">
    <mergeCell ref="C3:K3"/>
    <mergeCell ref="C4:K4"/>
    <mergeCell ref="C5:K5"/>
    <mergeCell ref="G7:H7"/>
    <mergeCell ref="I7:J7"/>
  </mergeCells>
  <pageMargins left="0.7" right="0.7" top="0.75" bottom="0.75" header="0.3" footer="0.3"/>
  <pageSetup scale="7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30B1-5320-458A-B984-AF0BD6A9981A}">
  <sheetPr>
    <pageSetUpPr fitToPage="1"/>
  </sheetPr>
  <dimension ref="B1:P19"/>
  <sheetViews>
    <sheetView showGridLines="0" workbookViewId="0">
      <selection activeCell="A3" sqref="A3:XFD3"/>
    </sheetView>
  </sheetViews>
  <sheetFormatPr defaultRowHeight="15" x14ac:dyDescent="0.4"/>
  <cols>
    <col min="1" max="1" width="1.77734375" customWidth="1"/>
    <col min="2" max="2" width="20.44140625" bestFit="1" customWidth="1"/>
    <col min="3" max="12" width="7.77734375" customWidth="1"/>
    <col min="13" max="13" width="10.6640625" customWidth="1"/>
    <col min="14" max="14" width="0.77734375" customWidth="1"/>
    <col min="15" max="15" width="2.33203125" customWidth="1"/>
    <col min="16" max="16" width="9.6640625" customWidth="1"/>
  </cols>
  <sheetData>
    <row r="1" spans="2:16" ht="15.4" x14ac:dyDescent="0.4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2:16" ht="15.4" x14ac:dyDescent="0.45">
      <c r="B2" s="79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1"/>
      <c r="O2" s="18"/>
      <c r="P2" s="18"/>
    </row>
    <row r="3" spans="2:16" ht="18" hidden="1" x14ac:dyDescent="0.55000000000000004">
      <c r="B3" s="82" t="s">
        <v>99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73"/>
      <c r="O3" s="18"/>
      <c r="P3" s="18"/>
    </row>
    <row r="4" spans="2:16" ht="18" x14ac:dyDescent="0.55000000000000004">
      <c r="B4" s="84" t="s">
        <v>100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73"/>
      <c r="O4" s="18"/>
      <c r="P4" s="18"/>
    </row>
    <row r="5" spans="2:16" ht="15.75" x14ac:dyDescent="0.45">
      <c r="B5" s="86" t="s">
        <v>240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73"/>
      <c r="O5" s="18"/>
      <c r="P5" s="18"/>
    </row>
    <row r="6" spans="2:16" ht="15.75" x14ac:dyDescent="0.5">
      <c r="B6" s="87" t="s">
        <v>101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73"/>
      <c r="O6" s="18"/>
      <c r="P6" s="18"/>
    </row>
    <row r="7" spans="2:16" ht="15.4" x14ac:dyDescent="0.45">
      <c r="B7" s="89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73"/>
      <c r="O7" s="18"/>
      <c r="P7" s="18"/>
    </row>
    <row r="8" spans="2:16" ht="15.4" x14ac:dyDescent="0.45">
      <c r="B8" s="90"/>
      <c r="C8" s="91"/>
      <c r="D8" s="92"/>
      <c r="E8" s="91"/>
      <c r="F8" s="93"/>
      <c r="G8" s="91"/>
      <c r="H8" s="93"/>
      <c r="I8" s="91"/>
      <c r="J8" s="93"/>
      <c r="K8" s="91"/>
      <c r="L8" s="93"/>
      <c r="M8" s="92"/>
      <c r="N8" s="81"/>
      <c r="O8" s="18"/>
      <c r="P8" s="18"/>
    </row>
    <row r="9" spans="2:16" ht="16.5" x14ac:dyDescent="0.45">
      <c r="B9" s="94"/>
      <c r="C9" s="303" t="s">
        <v>102</v>
      </c>
      <c r="D9" s="304"/>
      <c r="E9" s="303" t="s">
        <v>103</v>
      </c>
      <c r="F9" s="304"/>
      <c r="G9" s="303" t="s">
        <v>104</v>
      </c>
      <c r="H9" s="304"/>
      <c r="I9" s="303" t="s">
        <v>105</v>
      </c>
      <c r="J9" s="304"/>
      <c r="K9" s="303" t="s">
        <v>106</v>
      </c>
      <c r="L9" s="304"/>
      <c r="M9" s="18"/>
      <c r="N9" s="73"/>
      <c r="O9" s="18"/>
      <c r="P9" s="18"/>
    </row>
    <row r="10" spans="2:16" ht="16.5" x14ac:dyDescent="0.45">
      <c r="B10" s="94"/>
      <c r="C10" s="95"/>
      <c r="D10" s="96" t="s">
        <v>107</v>
      </c>
      <c r="E10" s="97"/>
      <c r="F10" s="96" t="s">
        <v>107</v>
      </c>
      <c r="G10" s="97"/>
      <c r="H10" s="96" t="s">
        <v>107</v>
      </c>
      <c r="I10" s="97"/>
      <c r="J10" s="96" t="s">
        <v>107</v>
      </c>
      <c r="K10" s="97"/>
      <c r="L10" s="96" t="s">
        <v>107</v>
      </c>
      <c r="M10" s="18"/>
      <c r="N10" s="73"/>
      <c r="O10" s="18"/>
      <c r="P10" s="18"/>
    </row>
    <row r="11" spans="2:16" ht="16.5" x14ac:dyDescent="0.45">
      <c r="B11" s="94"/>
      <c r="C11" s="95" t="s">
        <v>108</v>
      </c>
      <c r="D11" s="98" t="s">
        <v>109</v>
      </c>
      <c r="E11" s="95" t="s">
        <v>108</v>
      </c>
      <c r="F11" s="98" t="s">
        <v>109</v>
      </c>
      <c r="G11" s="95" t="s">
        <v>108</v>
      </c>
      <c r="H11" s="98" t="s">
        <v>109</v>
      </c>
      <c r="I11" s="95" t="s">
        <v>108</v>
      </c>
      <c r="J11" s="98" t="s">
        <v>109</v>
      </c>
      <c r="K11" s="95" t="s">
        <v>108</v>
      </c>
      <c r="L11" s="98" t="s">
        <v>109</v>
      </c>
      <c r="M11" s="99" t="s">
        <v>68</v>
      </c>
      <c r="N11" s="73"/>
      <c r="O11" s="18"/>
      <c r="P11" s="18"/>
    </row>
    <row r="12" spans="2:16" ht="15.4" x14ac:dyDescent="0.45">
      <c r="B12" s="100" t="s">
        <v>241</v>
      </c>
      <c r="C12" s="101">
        <v>0</v>
      </c>
      <c r="D12" s="102">
        <v>0</v>
      </c>
      <c r="E12" s="101">
        <v>0</v>
      </c>
      <c r="F12" s="103">
        <v>0</v>
      </c>
      <c r="G12" s="101">
        <v>0</v>
      </c>
      <c r="H12" s="103">
        <v>0</v>
      </c>
      <c r="I12" s="101">
        <v>0</v>
      </c>
      <c r="J12" s="103">
        <v>0</v>
      </c>
      <c r="K12" s="101">
        <v>0</v>
      </c>
      <c r="L12" s="103">
        <v>0</v>
      </c>
      <c r="M12" s="104">
        <f t="shared" ref="M12" si="0">SUM(C12:L12)</f>
        <v>0</v>
      </c>
      <c r="N12" s="73"/>
      <c r="O12" s="18"/>
      <c r="P12" s="18"/>
    </row>
    <row r="13" spans="2:16" ht="15.4" x14ac:dyDescent="0.45">
      <c r="B13" s="74" t="s">
        <v>68</v>
      </c>
      <c r="C13" s="105">
        <f t="shared" ref="C13:M13" si="1">SUM(C12:C12)</f>
        <v>0</v>
      </c>
      <c r="D13" s="106">
        <f t="shared" si="1"/>
        <v>0</v>
      </c>
      <c r="E13" s="105">
        <f t="shared" si="1"/>
        <v>0</v>
      </c>
      <c r="F13" s="107">
        <f t="shared" si="1"/>
        <v>0</v>
      </c>
      <c r="G13" s="105">
        <f t="shared" si="1"/>
        <v>0</v>
      </c>
      <c r="H13" s="107">
        <f t="shared" si="1"/>
        <v>0</v>
      </c>
      <c r="I13" s="105">
        <f t="shared" si="1"/>
        <v>0</v>
      </c>
      <c r="J13" s="107">
        <f t="shared" si="1"/>
        <v>0</v>
      </c>
      <c r="K13" s="105">
        <f t="shared" si="1"/>
        <v>0</v>
      </c>
      <c r="L13" s="107">
        <f t="shared" si="1"/>
        <v>0</v>
      </c>
      <c r="M13" s="108">
        <f t="shared" si="1"/>
        <v>0</v>
      </c>
      <c r="N13" s="73"/>
      <c r="O13" s="18"/>
      <c r="P13" s="18">
        <f>SUM(C13:L13)</f>
        <v>0</v>
      </c>
    </row>
    <row r="14" spans="2:16" ht="15.4" x14ac:dyDescent="0.45">
      <c r="B14" s="109"/>
      <c r="C14" s="110"/>
      <c r="D14" s="111"/>
      <c r="E14" s="110"/>
      <c r="F14" s="112"/>
      <c r="G14" s="110"/>
      <c r="H14" s="112"/>
      <c r="I14" s="110"/>
      <c r="J14" s="113"/>
      <c r="K14" s="110"/>
      <c r="L14" s="112"/>
      <c r="M14" s="111"/>
      <c r="N14" s="69"/>
      <c r="O14" s="18"/>
      <c r="P14" s="18"/>
    </row>
    <row r="15" spans="2:16" ht="15.4" x14ac:dyDescent="0.45">
      <c r="B15" s="114"/>
      <c r="C15" s="115"/>
      <c r="D15" s="115"/>
      <c r="E15" s="115"/>
      <c r="F15" s="115"/>
      <c r="G15" s="115"/>
      <c r="H15" s="115"/>
      <c r="I15" s="115"/>
      <c r="J15" s="116"/>
      <c r="K15" s="116"/>
      <c r="L15" s="116"/>
      <c r="M15" s="115"/>
      <c r="N15" s="73"/>
      <c r="O15" s="18"/>
      <c r="P15" s="18"/>
    </row>
    <row r="16" spans="2:16" ht="15.4" x14ac:dyDescent="0.45">
      <c r="B16" s="117"/>
      <c r="C16" s="118"/>
      <c r="D16" s="119"/>
      <c r="E16" s="118"/>
      <c r="F16" s="118"/>
      <c r="G16" s="118"/>
      <c r="H16" s="118"/>
      <c r="I16" s="119" t="s">
        <v>110</v>
      </c>
      <c r="J16" s="18"/>
      <c r="K16" s="120"/>
      <c r="L16" s="121"/>
      <c r="M16" s="118">
        <f>M13/5</f>
        <v>0</v>
      </c>
      <c r="N16" s="73"/>
      <c r="O16" s="18"/>
      <c r="P16" s="18"/>
    </row>
    <row r="17" spans="2:16" ht="15.4" x14ac:dyDescent="0.45">
      <c r="B17" s="20"/>
      <c r="C17" s="119"/>
      <c r="D17" s="18"/>
      <c r="E17" s="119"/>
      <c r="F17" s="119"/>
      <c r="G17" s="119"/>
      <c r="H17" s="119"/>
      <c r="I17" s="119"/>
      <c r="J17" s="18"/>
      <c r="K17" s="23"/>
      <c r="L17" s="120"/>
      <c r="M17" s="30"/>
      <c r="N17" s="73"/>
      <c r="O17" s="18"/>
      <c r="P17" s="18"/>
    </row>
    <row r="18" spans="2:16" ht="15.4" x14ac:dyDescent="0.45">
      <c r="B18" s="117"/>
      <c r="C18" s="119"/>
      <c r="D18" s="119"/>
      <c r="E18" s="119"/>
      <c r="F18" s="119"/>
      <c r="G18" s="119"/>
      <c r="H18" s="119"/>
      <c r="I18" s="119" t="s">
        <v>111</v>
      </c>
      <c r="J18" s="18"/>
      <c r="K18" s="120"/>
      <c r="L18" s="119"/>
      <c r="M18" s="118">
        <f>M16*0.2</f>
        <v>0</v>
      </c>
      <c r="N18" s="73"/>
      <c r="O18" s="18"/>
      <c r="P18" s="18">
        <f>M18+M16</f>
        <v>0</v>
      </c>
    </row>
    <row r="19" spans="2:16" ht="15.4" x14ac:dyDescent="0.45">
      <c r="B19" s="122"/>
      <c r="C19" s="123"/>
      <c r="D19" s="123"/>
      <c r="E19" s="123"/>
      <c r="F19" s="123" t="s">
        <v>189</v>
      </c>
      <c r="G19" s="123"/>
      <c r="H19" s="123"/>
      <c r="I19" s="123"/>
      <c r="J19" s="123"/>
      <c r="K19" s="123"/>
      <c r="L19" s="123"/>
      <c r="M19" s="123"/>
      <c r="N19" s="69"/>
      <c r="O19" s="18"/>
      <c r="P19" s="18"/>
    </row>
  </sheetData>
  <mergeCells count="5">
    <mergeCell ref="C9:D9"/>
    <mergeCell ref="E9:F9"/>
    <mergeCell ref="G9:H9"/>
    <mergeCell ref="I9:J9"/>
    <mergeCell ref="K9:L9"/>
  </mergeCells>
  <printOptions horizontalCentered="1" verticalCentered="1"/>
  <pageMargins left="1.2" right="0.7" top="0.75" bottom="0.75" header="0.3" footer="0.3"/>
  <pageSetup scale="78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7B32F-4CA1-4F84-B54A-FE6CF749D13D}">
  <dimension ref="A1:D6"/>
  <sheetViews>
    <sheetView workbookViewId="0">
      <selection activeCell="C4" sqref="C4"/>
    </sheetView>
  </sheetViews>
  <sheetFormatPr defaultRowHeight="15" x14ac:dyDescent="0.4"/>
  <sheetData>
    <row r="1" spans="1:4" ht="15.4" x14ac:dyDescent="0.45">
      <c r="A1" s="1" t="s">
        <v>161</v>
      </c>
      <c r="B1" s="1"/>
      <c r="C1" s="1"/>
      <c r="D1" s="1"/>
    </row>
    <row r="2" spans="1:4" ht="15.4" x14ac:dyDescent="0.45">
      <c r="A2" s="1"/>
      <c r="B2" s="1"/>
      <c r="C2" s="1"/>
      <c r="D2" s="1"/>
    </row>
    <row r="3" spans="1:4" ht="15.4" x14ac:dyDescent="0.45">
      <c r="A3" s="1" t="s">
        <v>164</v>
      </c>
      <c r="B3" s="1"/>
      <c r="C3" s="154">
        <v>69850</v>
      </c>
      <c r="D3" s="1"/>
    </row>
    <row r="4" spans="1:4" ht="15.4" x14ac:dyDescent="0.45">
      <c r="A4" s="1"/>
      <c r="B4" s="1"/>
      <c r="C4" s="1"/>
      <c r="D4" s="1"/>
    </row>
    <row r="5" spans="1:4" ht="15.4" x14ac:dyDescent="0.45">
      <c r="A5" s="1" t="s">
        <v>162</v>
      </c>
      <c r="B5" s="155">
        <v>0.3</v>
      </c>
      <c r="C5" s="154">
        <f>B5*C3</f>
        <v>20955</v>
      </c>
      <c r="D5" s="1"/>
    </row>
    <row r="6" spans="1:4" ht="15.4" x14ac:dyDescent="0.45">
      <c r="A6" s="1" t="s">
        <v>163</v>
      </c>
      <c r="B6" s="155">
        <v>0.7</v>
      </c>
      <c r="C6" s="154">
        <f>B6*C3</f>
        <v>48895</v>
      </c>
      <c r="D6" s="1"/>
    </row>
  </sheetData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52889-0321-45D3-A9A4-AE60C9D6113F}">
  <dimension ref="A1:G37"/>
  <sheetViews>
    <sheetView showGridLines="0" topLeftCell="A12" workbookViewId="0">
      <selection activeCell="E36" sqref="E36"/>
    </sheetView>
  </sheetViews>
  <sheetFormatPr defaultRowHeight="13.5" x14ac:dyDescent="0.35"/>
  <cols>
    <col min="1" max="1" width="22.0546875" style="148" customWidth="1"/>
    <col min="2" max="2" width="9.88671875" style="149" bestFit="1" customWidth="1"/>
    <col min="3" max="3" width="9.71875" style="149" bestFit="1" customWidth="1"/>
    <col min="4" max="4" width="10.38671875" style="148" bestFit="1" customWidth="1"/>
    <col min="5" max="16384" width="8.88671875" style="148"/>
  </cols>
  <sheetData>
    <row r="1" spans="1:7" ht="14.25" x14ac:dyDescent="0.45">
      <c r="A1" s="1" t="s">
        <v>140</v>
      </c>
      <c r="B1" s="7"/>
      <c r="C1" s="7"/>
      <c r="D1" s="1"/>
      <c r="E1" s="1"/>
      <c r="F1" s="1"/>
      <c r="G1" s="1"/>
    </row>
    <row r="2" spans="1:7" ht="14.25" x14ac:dyDescent="0.45">
      <c r="A2" s="1" t="s">
        <v>146</v>
      </c>
      <c r="B2" s="7"/>
      <c r="C2" s="7">
        <v>0</v>
      </c>
      <c r="D2" s="1"/>
      <c r="E2" s="1"/>
      <c r="F2" s="1"/>
      <c r="G2" s="1"/>
    </row>
    <row r="3" spans="1:7" ht="14.25" x14ac:dyDescent="0.45">
      <c r="A3" s="1" t="s">
        <v>147</v>
      </c>
      <c r="B3" s="7"/>
      <c r="C3" s="5">
        <v>383447</v>
      </c>
      <c r="D3" s="1"/>
      <c r="E3" s="1"/>
      <c r="F3" s="1"/>
      <c r="G3" s="1"/>
    </row>
    <row r="4" spans="1:7" ht="14.25" x14ac:dyDescent="0.45">
      <c r="A4" s="1" t="s">
        <v>148</v>
      </c>
      <c r="B4" s="7"/>
      <c r="C4" s="7">
        <f>C2+C3</f>
        <v>383447</v>
      </c>
      <c r="D4" s="1"/>
      <c r="E4" s="1"/>
      <c r="F4" s="1"/>
      <c r="G4" s="1"/>
    </row>
    <row r="5" spans="1:7" ht="14.25" x14ac:dyDescent="0.45">
      <c r="A5" s="1"/>
      <c r="B5" s="7"/>
      <c r="C5" s="7"/>
      <c r="D5" s="1"/>
      <c r="E5" s="1"/>
      <c r="F5" s="1"/>
      <c r="G5" s="1"/>
    </row>
    <row r="6" spans="1:7" ht="14.25" x14ac:dyDescent="0.45">
      <c r="A6" s="1" t="s">
        <v>141</v>
      </c>
      <c r="B6" s="7"/>
      <c r="C6" s="7">
        <v>281224</v>
      </c>
      <c r="D6" s="1"/>
      <c r="E6" s="1"/>
      <c r="F6" s="1"/>
      <c r="G6" s="1"/>
    </row>
    <row r="7" spans="1:7" ht="14.25" x14ac:dyDescent="0.45">
      <c r="A7" s="1"/>
      <c r="B7" s="7"/>
      <c r="C7" s="7"/>
      <c r="D7" s="1"/>
      <c r="E7" s="1"/>
      <c r="F7" s="1"/>
      <c r="G7" s="1"/>
    </row>
    <row r="8" spans="1:7" ht="14.25" x14ac:dyDescent="0.45">
      <c r="A8" s="1" t="s">
        <v>142</v>
      </c>
      <c r="B8" s="7"/>
      <c r="C8" s="7"/>
      <c r="D8" s="1"/>
      <c r="E8" s="1"/>
      <c r="F8" s="1"/>
      <c r="G8" s="1"/>
    </row>
    <row r="9" spans="1:7" ht="14.25" x14ac:dyDescent="0.45">
      <c r="A9" s="1" t="s">
        <v>151</v>
      </c>
      <c r="B9" s="7">
        <v>0</v>
      </c>
      <c r="C9" s="7"/>
      <c r="D9" s="1"/>
      <c r="E9" s="1"/>
      <c r="F9" s="1"/>
      <c r="G9" s="1"/>
    </row>
    <row r="10" spans="1:7" ht="14.25" x14ac:dyDescent="0.45">
      <c r="A10" s="1" t="s">
        <v>152</v>
      </c>
      <c r="B10" s="7">
        <v>276</v>
      </c>
      <c r="C10" s="7"/>
      <c r="D10" s="1"/>
      <c r="E10" s="1"/>
      <c r="F10" s="1"/>
      <c r="G10" s="1"/>
    </row>
    <row r="11" spans="1:7" ht="14.25" x14ac:dyDescent="0.45">
      <c r="A11" s="1" t="s">
        <v>153</v>
      </c>
      <c r="B11" s="7">
        <v>1</v>
      </c>
      <c r="C11" s="7"/>
      <c r="D11" s="1"/>
      <c r="E11" s="1"/>
      <c r="F11" s="1"/>
      <c r="G11" s="1"/>
    </row>
    <row r="12" spans="1:7" ht="14.25" x14ac:dyDescent="0.45">
      <c r="A12" s="1" t="s">
        <v>154</v>
      </c>
      <c r="B12" s="7">
        <v>12</v>
      </c>
      <c r="C12" s="7"/>
      <c r="D12" s="1"/>
      <c r="E12" s="1"/>
      <c r="F12" s="1"/>
      <c r="G12" s="1"/>
    </row>
    <row r="13" spans="1:7" ht="14.25" x14ac:dyDescent="0.45">
      <c r="A13" s="1" t="s">
        <v>149</v>
      </c>
      <c r="B13" s="7"/>
      <c r="C13" s="7">
        <f>SUM(B9:B12)</f>
        <v>289</v>
      </c>
      <c r="D13" s="1"/>
      <c r="E13" s="1"/>
      <c r="F13" s="1"/>
      <c r="G13" s="1"/>
    </row>
    <row r="14" spans="1:7" ht="14.25" x14ac:dyDescent="0.45">
      <c r="A14" s="1"/>
      <c r="B14" s="7"/>
      <c r="C14" s="7"/>
      <c r="D14" s="1"/>
      <c r="E14" s="1"/>
      <c r="F14" s="1"/>
      <c r="G14" s="1"/>
    </row>
    <row r="15" spans="1:7" ht="14.25" x14ac:dyDescent="0.45">
      <c r="A15" s="1" t="s">
        <v>150</v>
      </c>
      <c r="B15" s="7"/>
      <c r="C15" s="7"/>
      <c r="D15" s="1"/>
      <c r="E15" s="1"/>
      <c r="F15" s="1"/>
      <c r="G15" s="1"/>
    </row>
    <row r="16" spans="1:7" ht="14.25" x14ac:dyDescent="0.45">
      <c r="A16" s="1" t="s">
        <v>201</v>
      </c>
      <c r="B16" s="7">
        <v>0</v>
      </c>
      <c r="C16" s="7"/>
      <c r="D16" s="1"/>
      <c r="E16" s="1"/>
      <c r="F16" s="1"/>
      <c r="G16" s="1"/>
    </row>
    <row r="17" spans="1:7" ht="14.25" x14ac:dyDescent="0.45">
      <c r="A17" s="1" t="s">
        <v>202</v>
      </c>
      <c r="B17" s="7">
        <v>10676</v>
      </c>
      <c r="C17" s="7"/>
      <c r="D17" s="1"/>
      <c r="E17" s="1"/>
      <c r="F17" s="1"/>
      <c r="G17" s="1"/>
    </row>
    <row r="18" spans="1:7" ht="14.25" x14ac:dyDescent="0.45">
      <c r="A18" s="1" t="s">
        <v>155</v>
      </c>
      <c r="B18" s="7">
        <v>4433</v>
      </c>
      <c r="C18" s="7"/>
      <c r="D18" s="1"/>
      <c r="E18" s="1"/>
      <c r="F18" s="1"/>
      <c r="G18" s="1"/>
    </row>
    <row r="19" spans="1:7" ht="14.25" x14ac:dyDescent="0.45">
      <c r="A19" s="1" t="s">
        <v>156</v>
      </c>
      <c r="B19" s="7">
        <v>86825</v>
      </c>
      <c r="C19" s="7"/>
    </row>
    <row r="20" spans="1:7" ht="14.25" x14ac:dyDescent="0.45">
      <c r="A20" s="1" t="s">
        <v>157</v>
      </c>
      <c r="B20" s="7"/>
      <c r="C20" s="5">
        <f>SUM(B16:B19)</f>
        <v>101934</v>
      </c>
    </row>
    <row r="21" spans="1:7" ht="14.25" x14ac:dyDescent="0.45">
      <c r="A21" s="1" t="s">
        <v>158</v>
      </c>
      <c r="B21" s="7"/>
      <c r="C21" s="7">
        <f>C6+C13+C20</f>
        <v>383447</v>
      </c>
    </row>
    <row r="22" spans="1:7" ht="14.25" x14ac:dyDescent="0.45">
      <c r="A22" s="1"/>
    </row>
    <row r="24" spans="1:7" ht="14.25" x14ac:dyDescent="0.45">
      <c r="D24" s="46">
        <f>C20/C4</f>
        <v>0.26583595646856018</v>
      </c>
      <c r="E24" s="1" t="s">
        <v>143</v>
      </c>
      <c r="F24" s="1"/>
      <c r="G24" s="1"/>
    </row>
    <row r="25" spans="1:7" ht="14.25" x14ac:dyDescent="0.45">
      <c r="D25" s="46">
        <v>0.15</v>
      </c>
      <c r="E25" s="1" t="s">
        <v>144</v>
      </c>
      <c r="F25" s="1"/>
      <c r="G25" s="1"/>
    </row>
    <row r="26" spans="1:7" ht="14.25" x14ac:dyDescent="0.45">
      <c r="D26" s="46">
        <f>IF(D24&gt;D25,D24-D25,0)</f>
        <v>0.11583595646856018</v>
      </c>
      <c r="E26" s="1" t="s">
        <v>145</v>
      </c>
      <c r="F26" s="1"/>
      <c r="G26" s="21"/>
    </row>
    <row r="28" spans="1:7" ht="14.25" x14ac:dyDescent="0.45">
      <c r="A28" s="1" t="s">
        <v>217</v>
      </c>
      <c r="B28" s="7"/>
      <c r="C28" s="7"/>
      <c r="D28" s="22" t="s">
        <v>38</v>
      </c>
    </row>
    <row r="29" spans="1:7" ht="14.25" x14ac:dyDescent="0.45">
      <c r="A29" s="1" t="str">
        <f>SAO!C24</f>
        <v>Purchased Water</v>
      </c>
      <c r="B29" s="217">
        <f>SAO!D24</f>
        <v>1068504.58</v>
      </c>
      <c r="C29" s="201"/>
      <c r="D29" s="202">
        <f>-SAO!D24*$D$26</f>
        <v>-123771.25001533719</v>
      </c>
      <c r="F29" s="207"/>
    </row>
    <row r="30" spans="1:7" ht="14.25" x14ac:dyDescent="0.45">
      <c r="A30" s="1" t="str">
        <f>SAO!C25</f>
        <v>Purchased Power</v>
      </c>
      <c r="B30" s="217">
        <f>SAO!D25</f>
        <v>38093.25</v>
      </c>
      <c r="C30" s="201"/>
      <c r="D30" s="202">
        <f>-SAO!D25*$D$26</f>
        <v>-4412.5680487459804</v>
      </c>
      <c r="F30" s="207"/>
    </row>
    <row r="31" spans="1:7" ht="14.25" x14ac:dyDescent="0.45">
      <c r="A31" s="1" t="str">
        <f>SAO!C26</f>
        <v>Chemicals</v>
      </c>
      <c r="B31" s="218">
        <f>SAO!D26</f>
        <v>0</v>
      </c>
      <c r="C31" s="203"/>
      <c r="D31" s="204">
        <f>-SAO!D26*$D$26</f>
        <v>0</v>
      </c>
    </row>
    <row r="32" spans="1:7" ht="14.25" x14ac:dyDescent="0.45">
      <c r="A32" s="1" t="s">
        <v>12</v>
      </c>
      <c r="B32" s="217">
        <f>SUM(B29:B31)</f>
        <v>1106597.83</v>
      </c>
      <c r="C32" s="203"/>
      <c r="D32" s="217">
        <f>SUM(D29:D31)</f>
        <v>-128183.81806408317</v>
      </c>
    </row>
    <row r="33" spans="1:4" ht="14.25" x14ac:dyDescent="0.45">
      <c r="A33" s="1"/>
      <c r="B33" s="217"/>
      <c r="C33" s="203"/>
      <c r="D33" s="217"/>
    </row>
    <row r="34" spans="1:4" ht="14.25" x14ac:dyDescent="0.45">
      <c r="A34" s="1" t="s">
        <v>218</v>
      </c>
      <c r="B34" s="7"/>
      <c r="C34" s="203"/>
      <c r="D34" s="205"/>
    </row>
    <row r="35" spans="1:4" ht="14.25" x14ac:dyDescent="0.45">
      <c r="A35" s="1" t="s">
        <v>193</v>
      </c>
      <c r="B35" s="7"/>
      <c r="C35" s="203"/>
      <c r="D35" s="221">
        <f>D32</f>
        <v>-128183.81806408317</v>
      </c>
    </row>
    <row r="36" spans="1:4" ht="14.25" x14ac:dyDescent="0.45">
      <c r="A36" s="1" t="s">
        <v>196</v>
      </c>
      <c r="B36" s="7"/>
      <c r="C36" s="6"/>
      <c r="D36" s="29">
        <f>ExBA!D22</f>
        <v>66076</v>
      </c>
    </row>
    <row r="37" spans="1:4" ht="14.25" x14ac:dyDescent="0.45">
      <c r="A37" s="1" t="s">
        <v>194</v>
      </c>
      <c r="B37" s="7"/>
      <c r="C37" s="203"/>
      <c r="D37" s="202">
        <f>-D35/D36</f>
        <v>1.9399451853030325</v>
      </c>
    </row>
  </sheetData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I20"/>
  <sheetViews>
    <sheetView showGridLines="0" workbookViewId="0">
      <selection activeCell="B2" sqref="B2:J20"/>
    </sheetView>
  </sheetViews>
  <sheetFormatPr defaultColWidth="8.88671875" defaultRowHeight="14.25" x14ac:dyDescent="0.45"/>
  <cols>
    <col min="1" max="1" width="3.0546875" style="26" customWidth="1"/>
    <col min="2" max="2" width="18" style="26" customWidth="1"/>
    <col min="3" max="3" width="11.109375" style="26" customWidth="1"/>
    <col min="4" max="4" width="8.44140625" style="251" customWidth="1"/>
    <col min="5" max="5" width="15.77734375" style="26" bestFit="1" customWidth="1"/>
    <col min="6" max="6" width="9.6640625" style="253" customWidth="1"/>
    <col min="7" max="7" width="15.77734375" style="26" bestFit="1" customWidth="1"/>
    <col min="8" max="8" width="9.6640625" style="251" customWidth="1"/>
    <col min="9" max="9" width="9.6640625" style="223" customWidth="1"/>
    <col min="10" max="10" width="2.77734375" style="26" customWidth="1"/>
    <col min="11" max="11" width="2.5546875" style="26" customWidth="1"/>
    <col min="12" max="12" width="9.6640625" style="199" customWidth="1"/>
    <col min="13" max="191" width="9.6640625" style="26" customWidth="1"/>
    <col min="192" max="16384" width="8.88671875" style="17"/>
  </cols>
  <sheetData>
    <row r="1" spans="2:14" ht="14.65" thickBot="1" x14ac:dyDescent="0.5"/>
    <row r="2" spans="2:14" ht="18" customHeight="1" x14ac:dyDescent="0.55000000000000004">
      <c r="B2" s="310"/>
      <c r="C2" s="311"/>
      <c r="D2" s="311"/>
      <c r="E2" s="311"/>
      <c r="F2" s="311"/>
      <c r="G2" s="311"/>
      <c r="H2" s="311"/>
      <c r="I2" s="311"/>
      <c r="J2" s="312"/>
    </row>
    <row r="3" spans="2:14" ht="18" hidden="1" customHeight="1" x14ac:dyDescent="0.55000000000000004">
      <c r="B3" s="305" t="s">
        <v>69</v>
      </c>
      <c r="C3" s="306"/>
      <c r="D3" s="306"/>
      <c r="E3" s="306"/>
      <c r="F3" s="306"/>
      <c r="G3" s="306"/>
      <c r="H3" s="306"/>
      <c r="I3" s="306"/>
      <c r="J3" s="307"/>
    </row>
    <row r="4" spans="2:14" ht="18" hidden="1" customHeight="1" x14ac:dyDescent="0.45">
      <c r="B4" s="242"/>
      <c r="J4" s="243"/>
    </row>
    <row r="5" spans="2:14" ht="21" x14ac:dyDescent="0.65">
      <c r="B5" s="313" t="s">
        <v>50</v>
      </c>
      <c r="C5" s="314"/>
      <c r="D5" s="314"/>
      <c r="E5" s="314"/>
      <c r="F5" s="314"/>
      <c r="G5" s="314"/>
      <c r="H5" s="314"/>
      <c r="I5" s="314"/>
      <c r="J5" s="315"/>
    </row>
    <row r="6" spans="2:14" ht="18" customHeight="1" x14ac:dyDescent="0.45">
      <c r="B6" s="316" t="s">
        <v>229</v>
      </c>
      <c r="C6" s="317"/>
      <c r="D6" s="317"/>
      <c r="E6" s="317"/>
      <c r="F6" s="317"/>
      <c r="G6" s="317"/>
      <c r="H6" s="317"/>
      <c r="I6" s="317"/>
      <c r="J6" s="318"/>
    </row>
    <row r="7" spans="2:14" ht="30.4" customHeight="1" x14ac:dyDescent="0.75">
      <c r="B7" s="319" t="s">
        <v>239</v>
      </c>
      <c r="C7" s="309"/>
      <c r="D7" s="308" t="s">
        <v>51</v>
      </c>
      <c r="E7" s="309"/>
      <c r="F7" s="308" t="s">
        <v>10</v>
      </c>
      <c r="G7" s="309"/>
      <c r="H7" s="308" t="s">
        <v>63</v>
      </c>
      <c r="I7" s="308"/>
      <c r="J7" s="244"/>
      <c r="M7" s="28"/>
    </row>
    <row r="8" spans="2:14" x14ac:dyDescent="0.45">
      <c r="B8" s="245"/>
      <c r="C8" s="27"/>
      <c r="E8" s="28"/>
      <c r="F8" s="254"/>
      <c r="G8" s="28"/>
      <c r="J8" s="246"/>
      <c r="M8" s="200"/>
      <c r="N8" s="200"/>
    </row>
    <row r="9" spans="2:14" x14ac:dyDescent="0.45">
      <c r="B9" s="245" t="s">
        <v>209</v>
      </c>
      <c r="C9" s="27" t="s">
        <v>230</v>
      </c>
      <c r="D9" s="251">
        <v>13.446</v>
      </c>
      <c r="E9" s="28" t="s">
        <v>225</v>
      </c>
      <c r="F9" s="254">
        <f>ROUND(D9*(1+SAO!$G$58),2)</f>
        <v>13.96</v>
      </c>
      <c r="G9" s="28" t="s">
        <v>225</v>
      </c>
      <c r="H9" s="251">
        <f t="shared" ref="H9:H10" si="0">F9-D9</f>
        <v>0.51400000000000112</v>
      </c>
      <c r="I9" s="223">
        <f t="shared" ref="I9:I10" si="1">H9/D9</f>
        <v>3.8226982002082487E-2</v>
      </c>
      <c r="J9" s="246"/>
      <c r="M9" s="200"/>
      <c r="N9" s="200"/>
    </row>
    <row r="10" spans="2:14" x14ac:dyDescent="0.45">
      <c r="B10" s="245" t="s">
        <v>210</v>
      </c>
      <c r="C10" s="27" t="s">
        <v>232</v>
      </c>
      <c r="D10" s="251">
        <v>6.633</v>
      </c>
      <c r="E10" s="28" t="s">
        <v>238</v>
      </c>
      <c r="F10" s="254">
        <f>ROUND(D10*(1+SAO!$G$58),3)</f>
        <v>6.8860000000000001</v>
      </c>
      <c r="G10" s="28" t="s">
        <v>238</v>
      </c>
      <c r="H10" s="251">
        <f t="shared" si="0"/>
        <v>0.25300000000000011</v>
      </c>
      <c r="I10" s="223">
        <f t="shared" si="1"/>
        <v>3.8142620232172485E-2</v>
      </c>
      <c r="J10" s="246"/>
      <c r="M10" s="200"/>
      <c r="N10" s="200"/>
    </row>
    <row r="11" spans="2:14" x14ac:dyDescent="0.45">
      <c r="B11" s="245" t="s">
        <v>210</v>
      </c>
      <c r="C11" s="27" t="s">
        <v>231</v>
      </c>
      <c r="D11" s="251">
        <v>6.2229999999999999</v>
      </c>
      <c r="E11" s="28" t="s">
        <v>238</v>
      </c>
      <c r="F11" s="254">
        <f>ROUND(D11*(1+SAO!$G$58),3)</f>
        <v>6.46</v>
      </c>
      <c r="G11" s="28" t="s">
        <v>238</v>
      </c>
      <c r="H11" s="251">
        <f t="shared" ref="H11:H12" si="2">F11-D11</f>
        <v>0.2370000000000001</v>
      </c>
      <c r="I11" s="223">
        <f t="shared" ref="I11:I12" si="3">H11/D11</f>
        <v>3.8084525148642148E-2</v>
      </c>
      <c r="J11" s="246"/>
      <c r="M11" s="200"/>
      <c r="N11" s="200"/>
    </row>
    <row r="12" spans="2:14" x14ac:dyDescent="0.45">
      <c r="B12" s="245" t="s">
        <v>210</v>
      </c>
      <c r="C12" s="27" t="s">
        <v>233</v>
      </c>
      <c r="D12" s="251">
        <v>5.7629999999999999</v>
      </c>
      <c r="E12" s="28" t="s">
        <v>238</v>
      </c>
      <c r="F12" s="254">
        <f>ROUND(D12*(1+SAO!$G$58),3)</f>
        <v>5.9829999999999997</v>
      </c>
      <c r="G12" s="28" t="s">
        <v>238</v>
      </c>
      <c r="H12" s="251">
        <f t="shared" si="2"/>
        <v>0.21999999999999975</v>
      </c>
      <c r="I12" s="223">
        <f t="shared" si="3"/>
        <v>3.8174561860142245E-2</v>
      </c>
      <c r="J12" s="246"/>
      <c r="M12" s="200"/>
      <c r="N12" s="200"/>
    </row>
    <row r="13" spans="2:14" x14ac:dyDescent="0.45">
      <c r="B13" s="245" t="s">
        <v>210</v>
      </c>
      <c r="C13" s="27" t="s">
        <v>234</v>
      </c>
      <c r="D13" s="251">
        <v>4.883</v>
      </c>
      <c r="E13" s="28" t="s">
        <v>238</v>
      </c>
      <c r="F13" s="254">
        <f>ROUND(D13*(1+SAO!$G$58),3)</f>
        <v>5.069</v>
      </c>
      <c r="G13" s="28" t="s">
        <v>238</v>
      </c>
      <c r="H13" s="251">
        <f t="shared" ref="H13:H14" si="4">F13-D13</f>
        <v>0.18599999999999994</v>
      </c>
      <c r="I13" s="223">
        <f t="shared" ref="I13:I14" si="5">H13/D13</f>
        <v>3.809133729264795E-2</v>
      </c>
      <c r="J13" s="246"/>
      <c r="M13" s="200"/>
      <c r="N13" s="200"/>
    </row>
    <row r="14" spans="2:14" x14ac:dyDescent="0.45">
      <c r="B14" s="245" t="s">
        <v>210</v>
      </c>
      <c r="C14" s="27" t="s">
        <v>235</v>
      </c>
      <c r="D14" s="251">
        <v>4.5830000000000002</v>
      </c>
      <c r="E14" s="28" t="s">
        <v>238</v>
      </c>
      <c r="F14" s="254">
        <f>ROUND(D14*(1+SAO!$G$58),3)</f>
        <v>4.758</v>
      </c>
      <c r="G14" s="28" t="s">
        <v>238</v>
      </c>
      <c r="H14" s="251">
        <f t="shared" si="4"/>
        <v>0.17499999999999982</v>
      </c>
      <c r="I14" s="223">
        <f t="shared" si="5"/>
        <v>3.8184595243290383E-2</v>
      </c>
      <c r="J14" s="243"/>
      <c r="M14" s="200"/>
      <c r="N14" s="200"/>
    </row>
    <row r="15" spans="2:14" x14ac:dyDescent="0.45">
      <c r="B15" s="245" t="s">
        <v>226</v>
      </c>
      <c r="C15" s="27" t="s">
        <v>227</v>
      </c>
      <c r="D15" s="251">
        <v>4.0330000000000004</v>
      </c>
      <c r="E15" s="28" t="s">
        <v>238</v>
      </c>
      <c r="F15" s="254">
        <f>ROUND(D15*(1+SAO!$G$58),3)</f>
        <v>4.1870000000000003</v>
      </c>
      <c r="G15" s="28" t="s">
        <v>238</v>
      </c>
      <c r="H15" s="251">
        <f t="shared" ref="H15:H17" si="6">F15-D15</f>
        <v>0.15399999999999991</v>
      </c>
      <c r="I15" s="223">
        <f t="shared" ref="I15" si="7">H15/D15</f>
        <v>3.8184973964790453E-2</v>
      </c>
      <c r="J15" s="243"/>
    </row>
    <row r="16" spans="2:14" x14ac:dyDescent="0.45">
      <c r="B16" s="245"/>
      <c r="C16" s="27"/>
      <c r="E16" s="28"/>
      <c r="F16" s="254"/>
      <c r="G16" s="28"/>
      <c r="J16" s="243"/>
    </row>
    <row r="17" spans="2:10" x14ac:dyDescent="0.45">
      <c r="B17" s="245" t="s">
        <v>337</v>
      </c>
      <c r="C17" s="27"/>
      <c r="D17" s="284">
        <v>0</v>
      </c>
      <c r="E17" s="28" t="s">
        <v>338</v>
      </c>
      <c r="F17" s="285">
        <v>1.94</v>
      </c>
      <c r="G17" s="28" t="s">
        <v>338</v>
      </c>
      <c r="H17" s="284">
        <f t="shared" si="6"/>
        <v>1.94</v>
      </c>
      <c r="I17" s="223">
        <v>1</v>
      </c>
      <c r="J17" s="243"/>
    </row>
    <row r="18" spans="2:10" x14ac:dyDescent="0.45">
      <c r="B18" s="245"/>
      <c r="C18" s="27"/>
      <c r="E18" s="28"/>
      <c r="F18" s="254"/>
      <c r="G18" s="28"/>
      <c r="J18" s="243"/>
    </row>
    <row r="19" spans="2:10" ht="28.5" x14ac:dyDescent="0.45">
      <c r="B19" s="256" t="s">
        <v>236</v>
      </c>
      <c r="C19" s="27" t="s">
        <v>237</v>
      </c>
      <c r="D19" s="257">
        <v>2.53E-2</v>
      </c>
      <c r="E19" s="28" t="s">
        <v>238</v>
      </c>
      <c r="F19" s="258">
        <v>2.53E-2</v>
      </c>
      <c r="G19" s="28" t="s">
        <v>238</v>
      </c>
      <c r="H19" s="257">
        <f>F19-D19</f>
        <v>0</v>
      </c>
      <c r="I19" s="223">
        <f>H19/D19</f>
        <v>0</v>
      </c>
      <c r="J19" s="243"/>
    </row>
    <row r="20" spans="2:10" ht="14.65" thickBot="1" x14ac:dyDescent="0.5">
      <c r="B20" s="247"/>
      <c r="C20" s="248"/>
      <c r="D20" s="252"/>
      <c r="E20" s="248"/>
      <c r="F20" s="255"/>
      <c r="G20" s="248"/>
      <c r="H20" s="252"/>
      <c r="I20" s="249"/>
      <c r="J20" s="250"/>
    </row>
  </sheetData>
  <mergeCells count="8">
    <mergeCell ref="B3:J3"/>
    <mergeCell ref="D7:E7"/>
    <mergeCell ref="F7:G7"/>
    <mergeCell ref="B2:J2"/>
    <mergeCell ref="B5:J5"/>
    <mergeCell ref="B6:J6"/>
    <mergeCell ref="B7:C7"/>
    <mergeCell ref="H7:I7"/>
  </mergeCells>
  <printOptions horizontalCentered="1"/>
  <pageMargins left="0.55000000000000004" right="0.55000000000000004" top="1.6" bottom="0.5" header="0" footer="0"/>
  <pageSetup scale="99" orientation="landscape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O27"/>
  <sheetViews>
    <sheetView showGridLines="0" workbookViewId="0">
      <selection activeCell="I27" sqref="B1:I27"/>
    </sheetView>
  </sheetViews>
  <sheetFormatPr defaultColWidth="8.88671875" defaultRowHeight="14.25" x14ac:dyDescent="0.45"/>
  <cols>
    <col min="1" max="1" width="2.609375" style="7" customWidth="1"/>
    <col min="2" max="2" width="1.77734375" style="7" customWidth="1"/>
    <col min="3" max="4" width="9.77734375" style="7" customWidth="1"/>
    <col min="5" max="6" width="9.77734375" style="233" customWidth="1"/>
    <col min="7" max="8" width="9.77734375" style="7" customWidth="1"/>
    <col min="9" max="9" width="1.77734375" style="7" customWidth="1"/>
    <col min="10" max="10" width="2.5" style="7" customWidth="1"/>
    <col min="11" max="16384" width="8.88671875" style="7"/>
  </cols>
  <sheetData>
    <row r="1" spans="2:11" x14ac:dyDescent="0.45">
      <c r="B1" s="8"/>
      <c r="C1" s="9"/>
      <c r="D1" s="9"/>
      <c r="E1" s="234"/>
      <c r="F1" s="234"/>
      <c r="G1" s="9"/>
      <c r="H1" s="9"/>
      <c r="I1" s="10"/>
    </row>
    <row r="2" spans="2:11" ht="18" hidden="1" x14ac:dyDescent="0.55000000000000004">
      <c r="B2" s="11"/>
      <c r="C2" s="324" t="s">
        <v>192</v>
      </c>
      <c r="D2" s="324"/>
      <c r="E2" s="324"/>
      <c r="F2" s="324"/>
      <c r="G2" s="324"/>
      <c r="H2" s="324"/>
      <c r="I2" s="325"/>
    </row>
    <row r="3" spans="2:11" ht="18" x14ac:dyDescent="0.55000000000000004">
      <c r="B3" s="11"/>
      <c r="C3" s="320" t="s">
        <v>195</v>
      </c>
      <c r="D3" s="320"/>
      <c r="E3" s="320"/>
      <c r="F3" s="320"/>
      <c r="G3" s="320"/>
      <c r="H3" s="320"/>
      <c r="I3" s="321"/>
    </row>
    <row r="4" spans="2:11" ht="15.75" x14ac:dyDescent="0.45">
      <c r="B4" s="11"/>
      <c r="C4" s="322" t="s">
        <v>340</v>
      </c>
      <c r="D4" s="322"/>
      <c r="E4" s="322"/>
      <c r="F4" s="322"/>
      <c r="G4" s="322"/>
      <c r="H4" s="322"/>
      <c r="I4" s="323"/>
    </row>
    <row r="5" spans="2:11" x14ac:dyDescent="0.45">
      <c r="B5" s="13"/>
      <c r="C5" s="5"/>
      <c r="D5" s="5"/>
      <c r="E5" s="235"/>
      <c r="F5" s="235"/>
      <c r="G5" s="5"/>
      <c r="H5" s="5"/>
      <c r="I5" s="14"/>
    </row>
    <row r="6" spans="2:11" ht="6" customHeight="1" x14ac:dyDescent="0.45">
      <c r="B6" s="11"/>
      <c r="C6" s="6"/>
      <c r="D6" s="12"/>
      <c r="E6" s="236"/>
      <c r="F6" s="239"/>
      <c r="G6" s="34"/>
      <c r="H6" s="34"/>
      <c r="I6" s="35"/>
      <c r="J6" s="33"/>
      <c r="K6" s="33"/>
    </row>
    <row r="7" spans="2:11" ht="16.5" x14ac:dyDescent="0.75">
      <c r="B7" s="11"/>
      <c r="C7" s="16" t="s">
        <v>13</v>
      </c>
      <c r="D7" s="32" t="s">
        <v>62</v>
      </c>
      <c r="E7" s="237" t="s">
        <v>24</v>
      </c>
      <c r="F7" s="240" t="s">
        <v>10</v>
      </c>
      <c r="G7" s="16"/>
      <c r="H7" s="16"/>
      <c r="I7" s="32"/>
    </row>
    <row r="8" spans="2:11" ht="16.5" x14ac:dyDescent="0.75">
      <c r="B8" s="11"/>
      <c r="C8" s="16" t="s">
        <v>70</v>
      </c>
      <c r="D8" s="32" t="s">
        <v>66</v>
      </c>
      <c r="E8" s="237" t="s">
        <v>64</v>
      </c>
      <c r="F8" s="240" t="s">
        <v>64</v>
      </c>
      <c r="G8" s="16" t="s">
        <v>25</v>
      </c>
      <c r="H8" s="16" t="s">
        <v>65</v>
      </c>
      <c r="I8" s="32"/>
    </row>
    <row r="9" spans="2:11" x14ac:dyDescent="0.45">
      <c r="B9" s="11"/>
      <c r="C9" s="17">
        <v>0</v>
      </c>
      <c r="D9" s="36" t="s">
        <v>67</v>
      </c>
      <c r="E9" s="238">
        <f>ROUND(Rates!$D$9,2)</f>
        <v>13.45</v>
      </c>
      <c r="F9" s="159">
        <f>ROUND(Rates!$F$9,2)</f>
        <v>13.96</v>
      </c>
      <c r="G9" s="47">
        <f>F9-E9</f>
        <v>0.51000000000000156</v>
      </c>
      <c r="H9" s="71">
        <f>G9/E9</f>
        <v>3.7918215613383016E-2</v>
      </c>
      <c r="I9" s="39"/>
    </row>
    <row r="10" spans="2:11" x14ac:dyDescent="0.45">
      <c r="B10" s="11"/>
      <c r="C10" s="6">
        <v>2000</v>
      </c>
      <c r="D10" s="36" t="s">
        <v>67</v>
      </c>
      <c r="E10" s="238">
        <f>ROUND(Rates!$D$9,2)</f>
        <v>13.45</v>
      </c>
      <c r="F10" s="238">
        <f>ROUND(Rates!$F$9,2)</f>
        <v>13.96</v>
      </c>
      <c r="G10" s="17">
        <f t="shared" ref="G10:G17" si="0">F10-E10</f>
        <v>0.51000000000000156</v>
      </c>
      <c r="H10" s="71">
        <f t="shared" ref="H10:H24" si="1">G10/E10</f>
        <v>3.7918215613383016E-2</v>
      </c>
      <c r="I10" s="39"/>
    </row>
    <row r="11" spans="2:11" x14ac:dyDescent="0.45">
      <c r="B11" s="11"/>
      <c r="C11" s="40">
        <v>4000</v>
      </c>
      <c r="D11" s="41" t="s">
        <v>67</v>
      </c>
      <c r="E11" s="241">
        <f>ROUND(Rates!$D$9+1*Rates!$D$10+1*Rates!$D$11,2)</f>
        <v>26.3</v>
      </c>
      <c r="F11" s="241">
        <f>ROUND(Rates!$F$9+1*Rates!$F$10+1*Rates!$F$11,2)</f>
        <v>27.31</v>
      </c>
      <c r="G11" s="42">
        <f t="shared" si="0"/>
        <v>1.009999999999998</v>
      </c>
      <c r="H11" s="72">
        <f t="shared" si="1"/>
        <v>3.8403041825094977E-2</v>
      </c>
      <c r="I11" s="43"/>
    </row>
    <row r="12" spans="2:11" x14ac:dyDescent="0.45">
      <c r="B12" s="11"/>
      <c r="C12" s="6">
        <v>6000</v>
      </c>
      <c r="D12" s="36" t="s">
        <v>67</v>
      </c>
      <c r="E12" s="238">
        <f>ROUND(Rates!$D$9+1*Rates!$D$10+3*Rates!$D$11,2)</f>
        <v>38.75</v>
      </c>
      <c r="F12" s="238">
        <f>ROUND(Rates!$F$9+1*Rates!$F$10+3*Rates!$F$11,2)</f>
        <v>40.229999999999997</v>
      </c>
      <c r="G12" s="17">
        <f t="shared" si="0"/>
        <v>1.4799999999999969</v>
      </c>
      <c r="H12" s="71">
        <f t="shared" si="1"/>
        <v>3.8193548387096696E-2</v>
      </c>
      <c r="I12" s="39"/>
    </row>
    <row r="13" spans="2:11" x14ac:dyDescent="0.45">
      <c r="B13" s="11"/>
      <c r="C13" s="6">
        <v>8000</v>
      </c>
      <c r="D13" s="36" t="s">
        <v>67</v>
      </c>
      <c r="E13" s="238">
        <f>ROUND(Rates!$D$9+1*Rates!$D$10+3*Rates!$D$11+2*Rates!$D$12,2)</f>
        <v>50.27</v>
      </c>
      <c r="F13" s="238">
        <f>ROUND(Rates!$F$9+1*Rates!$F$10+3*Rates!$F$11+2*Rates!$F$12,2)</f>
        <v>52.19</v>
      </c>
      <c r="G13" s="17">
        <f t="shared" si="0"/>
        <v>1.9199999999999946</v>
      </c>
      <c r="H13" s="71">
        <f t="shared" si="1"/>
        <v>3.819375372985865E-2</v>
      </c>
      <c r="I13" s="39"/>
    </row>
    <row r="14" spans="2:11" x14ac:dyDescent="0.45">
      <c r="B14" s="11"/>
      <c r="C14" s="6">
        <v>10000</v>
      </c>
      <c r="D14" s="36" t="s">
        <v>67</v>
      </c>
      <c r="E14" s="238">
        <f>Rates!$D$9+1*Rates!$D$10+3*Rates!$D$11+4*Rates!$D$12</f>
        <v>61.800000000000004</v>
      </c>
      <c r="F14" s="238">
        <f>ROUND(Rates!$F$9+1*Rates!$F$10+3*Rates!$F$11+4*Rates!$F$12,2)</f>
        <v>64.16</v>
      </c>
      <c r="G14" s="17">
        <f t="shared" si="0"/>
        <v>2.3599999999999923</v>
      </c>
      <c r="H14" s="71">
        <f t="shared" si="1"/>
        <v>3.8187702265372041E-2</v>
      </c>
      <c r="I14" s="39"/>
    </row>
    <row r="15" spans="2:11" x14ac:dyDescent="0.45">
      <c r="B15" s="11"/>
      <c r="C15" s="6">
        <v>15000</v>
      </c>
      <c r="D15" s="36" t="s">
        <v>67</v>
      </c>
      <c r="E15" s="238">
        <f>ROUND(Rates!$D$9+1*Rates!$D$10+3*Rates!$D$11+4*Rates!$D$12+5*Rates!$D13,2)</f>
        <v>86.22</v>
      </c>
      <c r="F15" s="238">
        <f>ROUND(Rates!$F$9+1*Rates!$F$10+3*Rates!$F$11+4*Rates!$F$12+5*Rates!$F$13,2)</f>
        <v>89.5</v>
      </c>
      <c r="G15" s="17">
        <f t="shared" si="0"/>
        <v>3.2800000000000011</v>
      </c>
      <c r="H15" s="71">
        <f t="shared" si="1"/>
        <v>3.8042217582927411E-2</v>
      </c>
      <c r="I15" s="39"/>
    </row>
    <row r="16" spans="2:11" x14ac:dyDescent="0.45">
      <c r="B16" s="11"/>
      <c r="C16" s="6">
        <v>20000</v>
      </c>
      <c r="D16" s="36" t="s">
        <v>67</v>
      </c>
      <c r="E16" s="238">
        <f>Rates!$D$9+1*Rates!$D$10+3*Rates!$D$11+4*Rates!$D$12+10*Rates!$D$13</f>
        <v>110.63</v>
      </c>
      <c r="F16" s="238">
        <f>ROUND(Rates!$F$9+1*Rates!$F$10+3*Rates!$F$11+4*Rates!$F$12+10*Rates!$F$13,2)</f>
        <v>114.85</v>
      </c>
      <c r="G16" s="17">
        <f t="shared" si="0"/>
        <v>4.2199999999999989</v>
      </c>
      <c r="H16" s="71">
        <f t="shared" si="1"/>
        <v>3.8145168579951177E-2</v>
      </c>
      <c r="I16" s="39"/>
    </row>
    <row r="17" spans="2:15" x14ac:dyDescent="0.45">
      <c r="B17" s="11"/>
      <c r="C17" s="6">
        <v>25000</v>
      </c>
      <c r="D17" s="37" t="s">
        <v>26</v>
      </c>
      <c r="E17" s="238">
        <f>ROUND(Rates!$D$9+1*Rates!$D$10+3*Rates!$D$11+4*Rates!$D$12+15*Rates!$D$13,2)</f>
        <v>135.05000000000001</v>
      </c>
      <c r="F17" s="238">
        <f>ROUND(Rates!$F$9+1*Rates!$F$10+3*Rates!$F$11+4*Rates!$F$12+15*Rates!$F$13,2)</f>
        <v>140.19</v>
      </c>
      <c r="G17" s="17">
        <f t="shared" si="0"/>
        <v>5.1399999999999864</v>
      </c>
      <c r="H17" s="71">
        <f t="shared" si="1"/>
        <v>3.8059977786005082E-2</v>
      </c>
      <c r="I17" s="39"/>
    </row>
    <row r="18" spans="2:15" x14ac:dyDescent="0.45">
      <c r="B18" s="11"/>
      <c r="C18" s="6">
        <v>30000</v>
      </c>
      <c r="D18" s="37" t="s">
        <v>26</v>
      </c>
      <c r="E18" s="238">
        <f>ROUND(Rates!$D$9+1*Rates!$D$10+3*Rates!$D$11+4*Rates!$D$12+15*Rates!$D$13+5*Rates!$D$14,2)</f>
        <v>157.96</v>
      </c>
      <c r="F18" s="238">
        <f>ROUND(Rates!$F$9+1*Rates!$F$10+3*Rates!$F$11+4*Rates!$F$12+15*Rates!$F$13+5*Rates!$F$14,2)</f>
        <v>163.98</v>
      </c>
      <c r="G18" s="17">
        <f t="shared" ref="G18:G24" si="2">F18-E18</f>
        <v>6.0199999999999818</v>
      </c>
      <c r="H18" s="71">
        <f t="shared" si="1"/>
        <v>3.8110914155482283E-2</v>
      </c>
      <c r="I18" s="39"/>
      <c r="O18" s="6"/>
    </row>
    <row r="19" spans="2:15" x14ac:dyDescent="0.45">
      <c r="B19" s="11"/>
      <c r="C19" s="6">
        <v>40000</v>
      </c>
      <c r="D19" s="37" t="s">
        <v>26</v>
      </c>
      <c r="E19" s="238">
        <f>ROUND(Rates!$D$9+1*Rates!$D$10+3*Rates!$D$11+4*Rates!$D$12+15*Rates!$D$13+15*Rates!$D$14,2)</f>
        <v>203.79</v>
      </c>
      <c r="F19" s="238">
        <f>ROUND(Rates!$F$9+1*Rates!$F$10+3*Rates!$F$11+4*Rates!$F$12+15*Rates!$F$13+15*Rates!$F$14,2)</f>
        <v>211.56</v>
      </c>
      <c r="G19" s="17">
        <f t="shared" si="2"/>
        <v>7.7700000000000102</v>
      </c>
      <c r="H19" s="71">
        <f t="shared" si="1"/>
        <v>3.8127484174885963E-2</v>
      </c>
      <c r="I19" s="39"/>
    </row>
    <row r="20" spans="2:15" x14ac:dyDescent="0.45">
      <c r="B20" s="11"/>
      <c r="C20" s="6">
        <v>50000</v>
      </c>
      <c r="D20" s="37" t="s">
        <v>26</v>
      </c>
      <c r="E20" s="238">
        <f>ROUND(Rates!$D$9+1*Rates!$D$10+3*Rates!$D$11+4*Rates!$D$12+15*Rates!$D$13+25*Rates!$D$14,2)</f>
        <v>249.62</v>
      </c>
      <c r="F20" s="238">
        <f>ROUND(Rates!$F$9+1*Rates!$F$10+3*Rates!$F$11+4*Rates!$F$12+15*Rates!$F$13+25*Rates!$F$14,2)</f>
        <v>259.14</v>
      </c>
      <c r="G20" s="17">
        <f t="shared" si="2"/>
        <v>9.5199999999999818</v>
      </c>
      <c r="H20" s="71">
        <f t="shared" si="1"/>
        <v>3.8137969713965152E-2</v>
      </c>
      <c r="I20" s="39"/>
    </row>
    <row r="21" spans="2:15" x14ac:dyDescent="0.45">
      <c r="B21" s="11"/>
      <c r="C21" s="6">
        <v>75000</v>
      </c>
      <c r="D21" s="37" t="s">
        <v>27</v>
      </c>
      <c r="E21" s="238">
        <f>ROUND(Rates!$D$9+1*Rates!$D$10+3*Rates!$D$11+4*Rates!$D$12+15*Rates!$D$13+25*Rates!$D$14+25*Rates!$D$15,2)</f>
        <v>350.45</v>
      </c>
      <c r="F21" s="238">
        <f>ROUND(Rates!$F$9+1*Rates!$F$10+3*Rates!$F$11+4*Rates!$F$12+15*Rates!$F$13+25*Rates!$F$14+25*Rates!$F$15,2)</f>
        <v>363.82</v>
      </c>
      <c r="G21" s="17">
        <f t="shared" si="2"/>
        <v>13.370000000000005</v>
      </c>
      <c r="H21" s="71">
        <f t="shared" si="1"/>
        <v>3.8150948780139832E-2</v>
      </c>
      <c r="I21" s="39"/>
    </row>
    <row r="22" spans="2:15" x14ac:dyDescent="0.45">
      <c r="B22" s="11"/>
      <c r="C22" s="6">
        <v>100000</v>
      </c>
      <c r="D22" s="37" t="s">
        <v>27</v>
      </c>
      <c r="E22" s="238">
        <f>ROUND(Rates!$D$9+1*Rates!$D$10+3*Rates!$D$11+4*Rates!$D$12+15*Rates!$D$13+25*Rates!$D$14+50*Rates!$D$15,2)</f>
        <v>451.27</v>
      </c>
      <c r="F22" s="238">
        <f>ROUND(Rates!$F$9+1*Rates!$F$10+3*Rates!$F$11+4*Rates!$F$12+15*Rates!$F$13+25*Rates!$F$14+50*Rates!$F$15,2)</f>
        <v>468.49</v>
      </c>
      <c r="G22" s="17">
        <f t="shared" si="2"/>
        <v>17.220000000000027</v>
      </c>
      <c r="H22" s="71">
        <f t="shared" si="1"/>
        <v>3.8158973563498635E-2</v>
      </c>
      <c r="I22" s="39"/>
    </row>
    <row r="23" spans="2:15" x14ac:dyDescent="0.45">
      <c r="B23" s="11"/>
      <c r="C23" s="6">
        <v>200000</v>
      </c>
      <c r="D23" s="37" t="s">
        <v>27</v>
      </c>
      <c r="E23" s="238">
        <f>ROUND(Rates!$D$9+1*Rates!$D$10+3*Rates!$D$11+4*Rates!$D$12+15*Rates!$D$13+25*Rates!$D$14+150*Rates!$D$15,2)</f>
        <v>854.57</v>
      </c>
      <c r="F23" s="238">
        <f>ROUND(Rates!$F$9+1*Rates!$F$10+3*Rates!$F$11+4*Rates!$F$12+15*Rates!$F$13+25*Rates!$F$14+150*Rates!$F$15,2)</f>
        <v>887.19</v>
      </c>
      <c r="G23" s="17">
        <f t="shared" si="2"/>
        <v>32.620000000000005</v>
      </c>
      <c r="H23" s="71">
        <f t="shared" si="1"/>
        <v>3.8171244017459076E-2</v>
      </c>
      <c r="I23" s="39"/>
    </row>
    <row r="24" spans="2:15" x14ac:dyDescent="0.45">
      <c r="B24" s="11"/>
      <c r="C24" s="6">
        <v>500000</v>
      </c>
      <c r="D24" s="37" t="s">
        <v>27</v>
      </c>
      <c r="E24" s="238">
        <f>ROUND(Rates!$D$9+1*Rates!$D$10+3*Rates!$D$11+4*Rates!$D$12+15*Rates!$D$13+25*Rates!$D$14+450*Rates!$D$15,2)</f>
        <v>2064.4699999999998</v>
      </c>
      <c r="F24" s="238">
        <f>ROUND(Rates!$F$9+1*Rates!$F$10+3*Rates!$F$11+4*Rates!$F$12+15*Rates!$F$13+25*Rates!$F$14+450*Rates!$F$15,2)</f>
        <v>2143.29</v>
      </c>
      <c r="G24" s="17">
        <f t="shared" si="2"/>
        <v>78.820000000000164</v>
      </c>
      <c r="H24" s="71">
        <f t="shared" si="1"/>
        <v>3.8179290568523726E-2</v>
      </c>
      <c r="I24" s="39"/>
    </row>
    <row r="25" spans="2:15" ht="6" customHeight="1" x14ac:dyDescent="0.45">
      <c r="B25" s="13"/>
      <c r="C25" s="5"/>
      <c r="D25" s="4"/>
      <c r="E25" s="206"/>
      <c r="F25" s="231"/>
      <c r="G25" s="38"/>
      <c r="H25" s="5"/>
      <c r="I25" s="14"/>
    </row>
    <row r="27" spans="2:15" x14ac:dyDescent="0.45">
      <c r="D27" s="48" t="s">
        <v>71</v>
      </c>
    </row>
  </sheetData>
  <mergeCells count="3">
    <mergeCell ref="C3:I3"/>
    <mergeCell ref="C4:I4"/>
    <mergeCell ref="C2:I2"/>
  </mergeCells>
  <printOptions horizontalCentered="1"/>
  <pageMargins left="0.7" right="0.7" top="1.1000000000000001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SAO</vt:lpstr>
      <vt:lpstr>Wages</vt:lpstr>
      <vt:lpstr>Medical</vt:lpstr>
      <vt:lpstr>Depreciation</vt:lpstr>
      <vt:lpstr>Debt Service</vt:lpstr>
      <vt:lpstr>Capital</vt:lpstr>
      <vt:lpstr>Water Loss</vt:lpstr>
      <vt:lpstr>Rates</vt:lpstr>
      <vt:lpstr>Bills</vt:lpstr>
      <vt:lpstr>Bills w Surcharge</vt:lpstr>
      <vt:lpstr>ExBA</vt:lpstr>
      <vt:lpstr>PrBA</vt:lpstr>
      <vt:lpstr>Bills!Print_Area</vt:lpstr>
      <vt:lpstr>Depreciation!Print_Area</vt:lpstr>
      <vt:lpstr>ExBA!Print_Area</vt:lpstr>
      <vt:lpstr>PrBA!Print_Area</vt:lpstr>
      <vt:lpstr>Rates!Print_Area</vt:lpstr>
      <vt:lpstr>SAO!Print_Area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Robert Miller</cp:lastModifiedBy>
  <cp:lastPrinted>2022-04-26T19:35:14Z</cp:lastPrinted>
  <dcterms:created xsi:type="dcterms:W3CDTF">2016-05-18T14:12:06Z</dcterms:created>
  <dcterms:modified xsi:type="dcterms:W3CDTF">2022-07-01T19:37:28Z</dcterms:modified>
</cp:coreProperties>
</file>