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Loving\Dropbox (Navitas Utility)\Accounting\PGA\KY PGA\2022\"/>
    </mc:Choice>
  </mc:AlternateContent>
  <xr:revisionPtr revIDLastSave="0" documentId="13_ncr:1_{A667163E-6838-44B4-8DEE-D6CF6B8712F0}" xr6:coauthVersionLast="47" xr6:coauthVersionMax="47" xr10:uidLastSave="{00000000-0000-0000-0000-000000000000}"/>
  <bookViews>
    <workbookView xWindow="28680" yWindow="-120" windowWidth="29040" windowHeight="15720" tabRatio="594" firstSheet="1" activeTab="3" xr2:uid="{7E86A399-3FDA-41F5-9C6F-3D06B440742D}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Purchases" sheetId="11" r:id="rId7"/>
    <sheet name="Sales" sheetId="1" r:id="rId8"/>
    <sheet name="SCH III B&amp;S Oil FloydCo N-D-J" sheetId="15" r:id="rId9"/>
    <sheet name="SCH III B&amp;S Oil FloydCo A-S-O" sheetId="12" r:id="rId10"/>
  </sheets>
  <definedNames>
    <definedName name="_xlnm.Print_Area" localSheetId="3">'Actual Adjustment (IV)'!$A$1:$E$50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6">Purchases!$A$2:$AD$41</definedName>
    <definedName name="_xlnm.Print_Area" localSheetId="7">Sales!$A$2:$AD$22</definedName>
    <definedName name="_xlnm.Print_Titles" localSheetId="3">'Actual Adjustment (IV)'!$A:$E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3" i="10"/>
  <c r="J7" i="8"/>
  <c r="H23" i="8"/>
  <c r="H16" i="8"/>
  <c r="H7" i="8"/>
  <c r="F36" i="1"/>
  <c r="F24" i="1"/>
  <c r="F12" i="1"/>
  <c r="F49" i="1"/>
  <c r="F77" i="11"/>
  <c r="F71" i="11"/>
  <c r="F59" i="11"/>
  <c r="F42" i="11"/>
  <c r="Q36" i="14" l="1"/>
  <c r="O36" i="14"/>
  <c r="M36" i="14"/>
  <c r="F21" i="11"/>
  <c r="F25" i="1" l="1"/>
  <c r="H37" i="1"/>
  <c r="X37" i="1"/>
  <c r="Z37" i="1"/>
  <c r="AB37" i="1"/>
  <c r="AB46" i="11"/>
  <c r="Z46" i="11"/>
  <c r="X70" i="11"/>
  <c r="F12" i="11"/>
  <c r="AB11" i="11"/>
  <c r="AB30" i="11" s="1"/>
  <c r="F31" i="11" l="1"/>
  <c r="AD37" i="1"/>
  <c r="L39" i="1" l="1"/>
  <c r="J39" i="1"/>
  <c r="H39" i="1"/>
  <c r="F39" i="1"/>
  <c r="F37" i="1"/>
  <c r="AD25" i="1"/>
  <c r="H25" i="1"/>
  <c r="AD13" i="1"/>
  <c r="Z13" i="1"/>
  <c r="V13" i="1"/>
  <c r="R13" i="1"/>
  <c r="N13" i="1"/>
  <c r="L13" i="1"/>
  <c r="J13" i="1"/>
  <c r="H13" i="1"/>
  <c r="F13" i="1"/>
  <c r="Q21" i="14" l="1"/>
  <c r="O21" i="14"/>
  <c r="AB25" i="1" l="1"/>
  <c r="Z25" i="1"/>
  <c r="AB13" i="1"/>
  <c r="H47" i="1"/>
  <c r="F47" i="1"/>
  <c r="AB46" i="1"/>
  <c r="Z46" i="1"/>
  <c r="M21" i="14" l="1"/>
  <c r="W49" i="14"/>
  <c r="U49" i="14"/>
  <c r="S49" i="14"/>
  <c r="W43" i="14"/>
  <c r="U43" i="14"/>
  <c r="S43" i="14"/>
  <c r="Q43" i="14"/>
  <c r="O43" i="14"/>
  <c r="M43" i="14"/>
  <c r="W37" i="14"/>
  <c r="W38" i="14" s="1"/>
  <c r="W48" i="14" s="1"/>
  <c r="W50" i="14" s="1"/>
  <c r="W13" i="14" s="1"/>
  <c r="W17" i="14" s="1"/>
  <c r="U37" i="14"/>
  <c r="U38" i="14" s="1"/>
  <c r="U48" i="14" s="1"/>
  <c r="U50" i="14" s="1"/>
  <c r="U13" i="14" s="1"/>
  <c r="U17" i="14" s="1"/>
  <c r="S37" i="14"/>
  <c r="S38" i="14" s="1"/>
  <c r="Q49" i="14"/>
  <c r="O37" i="14"/>
  <c r="M37" i="14"/>
  <c r="W15" i="14"/>
  <c r="U15" i="14"/>
  <c r="S15" i="14"/>
  <c r="Q15" i="14"/>
  <c r="O15" i="14"/>
  <c r="M15" i="14"/>
  <c r="W9" i="14"/>
  <c r="U9" i="14"/>
  <c r="S9" i="14"/>
  <c r="Q9" i="14"/>
  <c r="O9" i="14"/>
  <c r="M9" i="14"/>
  <c r="W8" i="14"/>
  <c r="U8" i="14"/>
  <c r="S8" i="14"/>
  <c r="Q8" i="14"/>
  <c r="O8" i="14"/>
  <c r="M8" i="14"/>
  <c r="J27" i="15"/>
  <c r="J28" i="15" s="1"/>
  <c r="J29" i="15" s="1"/>
  <c r="J32" i="15" s="1"/>
  <c r="J18" i="15"/>
  <c r="J34" i="15" s="1"/>
  <c r="J17" i="15"/>
  <c r="U44" i="14" l="1"/>
  <c r="U7" i="14" s="1"/>
  <c r="U10" i="14" s="1"/>
  <c r="U19" i="14" s="1"/>
  <c r="U23" i="14" s="1"/>
  <c r="U25" i="14" s="1"/>
  <c r="U26" i="14" s="1"/>
  <c r="Q37" i="14"/>
  <c r="Q38" i="14" s="1"/>
  <c r="S48" i="14"/>
  <c r="S50" i="14" s="1"/>
  <c r="S13" i="14" s="1"/>
  <c r="S17" i="14" s="1"/>
  <c r="S44" i="14"/>
  <c r="S7" i="14" s="1"/>
  <c r="S10" i="14" s="1"/>
  <c r="W44" i="14"/>
  <c r="W7" i="14" s="1"/>
  <c r="W10" i="14" s="1"/>
  <c r="W19" i="14" s="1"/>
  <c r="W23" i="14" s="1"/>
  <c r="W25" i="14" s="1"/>
  <c r="W26" i="14" s="1"/>
  <c r="M38" i="14"/>
  <c r="M48" i="14" s="1"/>
  <c r="M49" i="14"/>
  <c r="O38" i="14"/>
  <c r="O48" i="14" s="1"/>
  <c r="O49" i="14"/>
  <c r="J35" i="15"/>
  <c r="J33" i="15"/>
  <c r="Z11" i="11"/>
  <c r="Z30" i="11" s="1"/>
  <c r="X11" i="11"/>
  <c r="X30" i="11" s="1"/>
  <c r="V11" i="11"/>
  <c r="V30" i="11" s="1"/>
  <c r="T11" i="11"/>
  <c r="T30" i="11" s="1"/>
  <c r="R11" i="11"/>
  <c r="R30" i="11" s="1"/>
  <c r="P11" i="11"/>
  <c r="P30" i="11" s="1"/>
  <c r="N11" i="11"/>
  <c r="N30" i="11" s="1"/>
  <c r="S19" i="14" l="1"/>
  <c r="O50" i="14"/>
  <c r="O13" i="14" s="1"/>
  <c r="O17" i="14" s="1"/>
  <c r="O44" i="14"/>
  <c r="O7" i="14" s="1"/>
  <c r="O10" i="14" s="1"/>
  <c r="M50" i="14"/>
  <c r="M13" i="14" s="1"/>
  <c r="M17" i="14" s="1"/>
  <c r="S27" i="14"/>
  <c r="S23" i="14"/>
  <c r="S25" i="14" s="1"/>
  <c r="S26" i="14" s="1"/>
  <c r="W28" i="14" s="1"/>
  <c r="W30" i="14" s="1"/>
  <c r="M44" i="14"/>
  <c r="M7" i="14" s="1"/>
  <c r="M10" i="14" s="1"/>
  <c r="Q48" i="14"/>
  <c r="Q50" i="14" s="1"/>
  <c r="Q13" i="14" s="1"/>
  <c r="Q17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O19" i="14" l="1"/>
  <c r="O23" i="14" s="1"/>
  <c r="O25" i="14" s="1"/>
  <c r="O26" i="14" s="1"/>
  <c r="Q19" i="14"/>
  <c r="Q23" i="14" s="1"/>
  <c r="Q25" i="14" s="1"/>
  <c r="Q26" i="14" s="1"/>
  <c r="M19" i="14"/>
  <c r="R37" i="1"/>
  <c r="P37" i="1"/>
  <c r="L37" i="1"/>
  <c r="J37" i="1"/>
  <c r="R25" i="1"/>
  <c r="P25" i="1"/>
  <c r="L25" i="1"/>
  <c r="J25" i="1"/>
  <c r="F66" i="11"/>
  <c r="V33" i="1"/>
  <c r="V37" i="1" s="1"/>
  <c r="T33" i="1"/>
  <c r="G74" i="14" s="1"/>
  <c r="V21" i="1"/>
  <c r="T21" i="1"/>
  <c r="G73" i="14" s="1"/>
  <c r="F79" i="11" l="1"/>
  <c r="T37" i="1"/>
  <c r="T25" i="1"/>
  <c r="V25" i="1"/>
  <c r="M27" i="14"/>
  <c r="M23" i="14"/>
  <c r="M25" i="14" s="1"/>
  <c r="M26" i="14" s="1"/>
  <c r="Q28" i="14" s="1"/>
  <c r="Q30" i="14" s="1"/>
  <c r="J5" i="10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46" i="11"/>
  <c r="J46" i="11"/>
  <c r="H46" i="11"/>
  <c r="F49" i="11" s="1"/>
  <c r="F51" i="11" s="1"/>
  <c r="F46" i="11"/>
  <c r="AB45" i="11"/>
  <c r="AB29" i="11"/>
  <c r="J11" i="11"/>
  <c r="J30" i="11" s="1"/>
  <c r="AE10" i="13" l="1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0" i="11"/>
  <c r="N10" i="11"/>
  <c r="N29" i="11" s="1"/>
  <c r="P10" i="11"/>
  <c r="P29" i="11" s="1"/>
  <c r="X10" i="11"/>
  <c r="X29" i="11" s="1"/>
  <c r="H11" i="11"/>
  <c r="T10" i="11"/>
  <c r="T29" i="11" s="1"/>
  <c r="L11" i="11"/>
  <c r="L30" i="11" s="1"/>
  <c r="V10" i="11"/>
  <c r="V29" i="11" s="1"/>
  <c r="F11" i="11"/>
  <c r="R10" i="11"/>
  <c r="R29" i="11" s="1"/>
  <c r="Z10" i="11"/>
  <c r="Z29" i="11" s="1"/>
  <c r="H30" i="11" l="1"/>
  <c r="F33" i="11" s="1"/>
  <c r="F81" i="11" s="1"/>
  <c r="F14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F30" i="11"/>
  <c r="F27" i="11" l="1"/>
  <c r="H6" i="8" s="1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V9" i="1" l="1"/>
  <c r="T9" i="1"/>
  <c r="G72" i="14" l="1"/>
  <c r="G75" i="14" s="1"/>
  <c r="G24" i="14" s="1"/>
  <c r="G36" i="14"/>
  <c r="T46" i="1"/>
  <c r="G21" i="14" s="1"/>
  <c r="I36" i="14"/>
  <c r="V46" i="1"/>
  <c r="I21" i="14" s="1"/>
  <c r="Z9" i="1"/>
  <c r="Z33" i="1"/>
  <c r="Z21" i="1"/>
  <c r="X9" i="1"/>
  <c r="K36" i="14" s="1"/>
  <c r="X33" i="1"/>
  <c r="X21" i="1"/>
  <c r="X25" i="1" s="1"/>
  <c r="J35" i="10"/>
  <c r="J20" i="10"/>
  <c r="X46" i="1" l="1"/>
  <c r="K21" i="14" s="1"/>
  <c r="I37" i="14"/>
  <c r="I38" i="14" s="1"/>
  <c r="I49" i="14"/>
  <c r="K49" i="14"/>
  <c r="K37" i="14"/>
  <c r="K38" i="14" s="1"/>
  <c r="G37" i="14"/>
  <c r="G38" i="14" s="1"/>
  <c r="G49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F21" i="8"/>
  <c r="J16" i="8"/>
  <c r="D16" i="8"/>
  <c r="D15" i="8"/>
  <c r="L9" i="8"/>
  <c r="L7" i="8"/>
  <c r="F7" i="8"/>
  <c r="J23" i="8" s="1"/>
  <c r="L23" i="8" s="1"/>
  <c r="D6" i="8"/>
  <c r="G48" i="14" l="1"/>
  <c r="G50" i="14" s="1"/>
  <c r="G13" i="14" s="1"/>
  <c r="G17" i="14" s="1"/>
  <c r="G44" i="14"/>
  <c r="G7" i="14" s="1"/>
  <c r="G10" i="14" s="1"/>
  <c r="K48" i="14"/>
  <c r="K50" i="14" s="1"/>
  <c r="K13" i="14" s="1"/>
  <c r="K17" i="14" s="1"/>
  <c r="K44" i="14"/>
  <c r="K7" i="14" s="1"/>
  <c r="K10" i="14" s="1"/>
  <c r="I48" i="14"/>
  <c r="I50" i="14" s="1"/>
  <c r="I13" i="14" s="1"/>
  <c r="I17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L18" i="8" l="1"/>
  <c r="G19" i="14"/>
  <c r="I19" i="14"/>
  <c r="I23" i="14" s="1"/>
  <c r="I25" i="14" s="1"/>
  <c r="I26" i="14" s="1"/>
  <c r="K19" i="14"/>
  <c r="K23" i="14" s="1"/>
  <c r="K25" i="14" s="1"/>
  <c r="K26" i="14" s="1"/>
  <c r="L12" i="8"/>
  <c r="H28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L33" i="8" l="1"/>
  <c r="G27" i="14"/>
  <c r="G23" i="14"/>
  <c r="G25" i="14" s="1"/>
  <c r="G26" i="14" s="1"/>
  <c r="K28" i="14" s="1"/>
  <c r="K30" i="14" s="1"/>
  <c r="J24" i="10" s="1"/>
  <c r="J4" i="10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L35" i="8" l="1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BK40" i="9" l="1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BA24" i="9" l="1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M28" i="9" l="1"/>
  <c r="AK15" i="9"/>
  <c r="AK18" i="9" s="1"/>
  <c r="BC25" i="9"/>
  <c r="BC24" i="9"/>
  <c r="BA10" i="9"/>
  <c r="BK32" i="9"/>
  <c r="BI11" i="9"/>
  <c r="Y1" i="9"/>
  <c r="AA21" i="9"/>
  <c r="AK29" i="9"/>
  <c r="AM29" i="9" s="1"/>
  <c r="AC21" i="9" l="1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CI54" i="9" l="1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AS28" i="9" l="1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AY30" i="9" l="1"/>
  <c r="BA28" i="9" s="1"/>
  <c r="BA29" i="9"/>
  <c r="AI21" i="9"/>
  <c r="AG1" i="9"/>
  <c r="BI9" i="9"/>
  <c r="BK24" i="9"/>
  <c r="AK21" i="9" l="1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BW46" i="9" l="1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BG28" i="9" l="1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Q20" i="9" l="1"/>
  <c r="AO11" i="9"/>
  <c r="AO12" i="9" s="1"/>
  <c r="BI29" i="9"/>
  <c r="AO21" i="9"/>
  <c r="BI28" i="9"/>
  <c r="BG10" i="9"/>
  <c r="AO1" i="9" l="1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R46" i="1" s="1"/>
  <c r="P9" i="1"/>
  <c r="P46" i="1" s="1"/>
  <c r="N33" i="1" l="1"/>
  <c r="AD32" i="1"/>
  <c r="AD31" i="1"/>
  <c r="AD30" i="1"/>
  <c r="AD29" i="1"/>
  <c r="AD28" i="1"/>
  <c r="N21" i="1"/>
  <c r="AD20" i="1"/>
  <c r="AD19" i="1"/>
  <c r="AD18" i="1"/>
  <c r="AD17" i="1"/>
  <c r="AD16" i="1"/>
  <c r="N9" i="1"/>
  <c r="L9" i="1"/>
  <c r="L46" i="1" s="1"/>
  <c r="J9" i="1"/>
  <c r="J46" i="1" s="1"/>
  <c r="H9" i="1"/>
  <c r="H46" i="1" s="1"/>
  <c r="F9" i="1"/>
  <c r="AB8" i="1"/>
  <c r="AB45" i="1" s="1"/>
  <c r="Z8" i="1"/>
  <c r="X8" i="1"/>
  <c r="V8" i="1"/>
  <c r="T8" i="1"/>
  <c r="R8" i="1"/>
  <c r="P8" i="1"/>
  <c r="N8" i="1"/>
  <c r="L8" i="1"/>
  <c r="J8" i="1"/>
  <c r="H8" i="1"/>
  <c r="F8" i="1"/>
  <c r="AB7" i="1"/>
  <c r="Z7" i="1"/>
  <c r="AD7" i="1" s="1"/>
  <c r="AD6" i="1"/>
  <c r="AD5" i="1"/>
  <c r="AD4" i="1"/>
  <c r="L42" i="1" l="1"/>
  <c r="AD9" i="1"/>
  <c r="Z45" i="1"/>
  <c r="N25" i="1"/>
  <c r="AD33" i="1"/>
  <c r="N37" i="1"/>
  <c r="T45" i="1"/>
  <c r="T13" i="1"/>
  <c r="AD21" i="1"/>
  <c r="F46" i="1"/>
  <c r="P45" i="1"/>
  <c r="P13" i="1"/>
  <c r="R45" i="1"/>
  <c r="V45" i="1"/>
  <c r="Z39" i="1"/>
  <c r="Z40" i="1" s="1"/>
  <c r="X45" i="1"/>
  <c r="X13" i="1"/>
  <c r="X39" i="1" s="1"/>
  <c r="J41" i="1"/>
  <c r="AD8" i="1"/>
  <c r="N46" i="1"/>
  <c r="H42" i="1" l="1"/>
  <c r="H41" i="1"/>
  <c r="F40" i="1"/>
  <c r="H40" i="1"/>
  <c r="H29" i="8"/>
  <c r="J40" i="1"/>
  <c r="R39" i="1"/>
  <c r="V39" i="1"/>
  <c r="T39" i="1"/>
  <c r="T40" i="1" s="1"/>
  <c r="F42" i="1"/>
  <c r="J42" i="1"/>
  <c r="P39" i="1"/>
  <c r="L41" i="1"/>
  <c r="Z41" i="1"/>
  <c r="N39" i="1"/>
  <c r="N40" i="1" s="1"/>
  <c r="Z42" i="1"/>
  <c r="L40" i="1"/>
  <c r="AB39" i="1"/>
  <c r="AD39" i="1" s="1"/>
  <c r="F41" i="1"/>
  <c r="AD41" i="1" l="1"/>
  <c r="J11" i="10"/>
  <c r="J12" i="10" s="1"/>
  <c r="J2" i="10" s="1"/>
  <c r="J6" i="10" s="1"/>
  <c r="H30" i="8"/>
  <c r="H31" i="8" s="1"/>
  <c r="P41" i="1"/>
  <c r="P42" i="1"/>
  <c r="X42" i="1"/>
  <c r="X41" i="1"/>
  <c r="V41" i="1"/>
  <c r="V42" i="1"/>
  <c r="AB41" i="1"/>
  <c r="AB42" i="1"/>
  <c r="V40" i="1"/>
  <c r="R42" i="1"/>
  <c r="R41" i="1"/>
  <c r="AB40" i="1"/>
  <c r="N41" i="1"/>
  <c r="N42" i="1"/>
  <c r="P40" i="1"/>
  <c r="T42" i="1"/>
  <c r="T41" i="1"/>
  <c r="X40" i="1"/>
  <c r="R40" i="1"/>
  <c r="AD42" i="1" l="1"/>
  <c r="A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  <author>Julie Loving</author>
  </authors>
  <commentList>
    <comment ref="K28" authorId="0" shapeId="0" xr:uid="{7E7ECCC2-D512-40B1-95AD-C3E2AFFF9F01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8" authorId="0" shapeId="0" xr:uid="{2FAE06A6-E21C-48F4-A76A-50E33EE8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8" authorId="0" shapeId="0" xr:uid="{D25366FF-3F5F-4824-AB5A-ACE08E8B92F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5" authorId="0" shapeId="0" xr:uid="{4DA6D49C-6F77-4FD8-86EB-FCD3FF0AEB3A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M42" authorId="1" shapeId="0" xr:uid="{D485D866-80F6-49F9-A43D-9BCFAB058411}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Nov and oct should be switched, but already in
</t>
        </r>
      </text>
    </comment>
    <comment ref="K47" authorId="0" shapeId="0" xr:uid="{E7331645-E7D2-4472-86A6-15D023324F06}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Estimate - no invoice from Enbridge yet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7" authorId="0" shapeId="0" xr:uid="{6B92B2D0-5DB1-4D55-825C-DCC9EAA6CE0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3FDB32F7-A28B-48D8-98D5-894C960D6E69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E6E10594-2E92-407E-B281-8CC86E40A03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ADF1377B-BC09-428C-99C9-7BCE9744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D1902380-7154-40F8-BC66-A4D9B7DCC18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013C9047-9690-48A0-B37A-64C884588196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0" authorId="0" shapeId="0" xr:uid="{2CB359F8-61B9-4BB6-A43D-8384E63E5EE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 xr:uid="{5E6A593C-8F70-446A-B4A4-840C4F71A6AA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 xr:uid="{B56179AC-A5E0-4985-9FE2-57288E41D635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 xr:uid="{580941B0-E217-4150-A179-B67FC3CB4428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 xr:uid="{8FEEFF9E-9DF5-413B-93E9-71F0D96776B3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 xr:uid="{D794077A-6D1A-4713-9D09-E157B74DBB2B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 xr:uid="{C0528834-CB03-4B07-8E31-0576D8EE91F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 xr:uid="{164B873F-65B4-4CF1-9A27-C83C9C288CF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 xr:uid="{A30B2501-4AB8-49AC-BCEE-9BDA9EAAC7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 xr:uid="{CE00C916-91FC-42F2-9871-8DFCBF911C6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 xr:uid="{E4C5AF4D-6DCC-42FE-B61B-3A6DA0321B50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 xr:uid="{D7877D2E-1554-4FF8-8783-B185FA0A3788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 xr:uid="{A753AF20-7763-4D7A-892A-A77A40C4CA81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 xr:uid="{9403BA71-2B80-4937-BDE0-F7CE0EEE9D91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 xr:uid="{DA2212CC-B955-4B95-B73C-78066F219656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 xr:uid="{85DFA32B-3972-4196-A2AC-D6AADF2F6FB6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 xr:uid="{3D29DDE6-8E4F-4109-8CAF-5F358EF3542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 xr:uid="{1EE49F84-D991-4532-9559-E42FA5219BEC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 xr:uid="{87AABD2D-2752-4FC8-A028-1D21D0DB4707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 xr:uid="{A686722C-9A53-4A74-80D2-A06D04BF315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 xr:uid="{E9B6863A-432E-4C8A-A1B9-D4FF4E857BC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 xr:uid="{D225F38B-BF04-4CE6-A6EC-C27B0D1DCF62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 xr:uid="{96FF1602-52E1-41E4-8973-877FF7E193A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 xr:uid="{7636D446-04BE-445D-93A1-189E1835F3FF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 xr:uid="{C2F60FCE-5891-47EE-87E2-DB582175C44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 xr:uid="{E9BE73D4-A17E-4A72-B756-8160D912F12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 xr:uid="{04813A80-9A51-41F6-8601-6F27BDFCFD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sharedStrings.xml><?xml version="1.0" encoding="utf-8"?>
<sst xmlns="http://schemas.openxmlformats.org/spreadsheetml/2006/main" count="424" uniqueCount="199">
  <si>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</si>
  <si>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</si>
  <si>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</si>
  <si>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</si>
  <si>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</si>
  <si>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</si>
  <si>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</si>
  <si>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</si>
  <si>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</si>
  <si>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</si>
  <si>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</si>
  <si>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</si>
  <si>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</si>
  <si>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</si>
  <si>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</si>
  <si>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</si>
  <si>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</si>
  <si>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</si>
  <si>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</si>
  <si>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</si>
  <si>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</si>
  <si>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</si>
  <si>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</si>
  <si>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</si>
  <si>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</si>
  <si>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</si>
  <si>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</si>
  <si>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</si>
  <si>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</si>
  <si>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</si>
  <si>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</si>
  <si>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</si>
  <si>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</si>
  <si>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</si>
  <si>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</si>
  <si>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</si>
  <si>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</si>
  <si>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</si>
  <si>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</si>
  <si>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</si>
  <si>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</si>
  <si>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</si>
  <si>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</si>
  <si>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</si>
  <si>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</si>
  <si>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</si>
  <si>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</si>
  <si>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</si>
  <si>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</si>
  <si>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</si>
  <si>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</si>
  <si>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</si>
  <si>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</si>
  <si>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</si>
  <si>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</si>
  <si>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</si>
  <si>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</si>
  <si>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</si>
  <si>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</si>
  <si>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</si>
  <si>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</si>
  <si>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</si>
  <si>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</si>
  <si>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</si>
  <si>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</si>
  <si>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</si>
  <si>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</si>
  <si>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</si>
  <si>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</si>
  <si>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</si>
  <si>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</si>
  <si>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</si>
  <si>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</si>
  <si>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</si>
  <si>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</si>
  <si>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</si>
  <si>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</si>
  <si>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</si>
  <si>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</si>
  <si>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</si>
  <si>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</si>
  <si>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</si>
  <si>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</si>
  <si>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</si>
  <si>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</si>
  <si>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</si>
  <si>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</si>
  <si>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</si>
  <si>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</si>
  <si>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</si>
  <si>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</si>
  <si>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</si>
  <si>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</si>
  <si>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</si>
  <si>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</si>
  <si>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</si>
  <si>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</si>
  <si>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</si>
  <si>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</si>
  <si>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</si>
  <si>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</si>
  <si>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</si>
  <si>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</si>
  <si>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</si>
  <si>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</si>
  <si>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</si>
  <si>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</si>
  <si>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</si>
  <si>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</si>
  <si>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</si>
  <si>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</si>
  <si>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</si>
  <si>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</si>
  <si>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</si>
  <si>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</si>
  <si>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</si>
  <si>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</si>
  <si>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</si>
  <si>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</si>
  <si>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</si>
  <si>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</si>
  <si>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</si>
  <si>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</si>
  <si>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</si>
  <si>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</si>
  <si>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</si>
  <si>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</si>
  <si>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Floyd LTM</t>
  </si>
  <si>
    <t>H-S-H</t>
  </si>
  <si>
    <t>Johnson LTM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</si>
  <si>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</si>
  <si>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</si>
  <si>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</si>
  <si>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</si>
  <si>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</si>
  <si>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</si>
  <si>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</si>
  <si>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</si>
  <si>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</si>
  <si>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</si>
  <si>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</si>
  <si>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</si>
  <si>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</si>
  <si>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</si>
  <si>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</si>
  <si>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</si>
  <si>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</si>
  <si>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</si>
  <si>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</si>
  <si>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</si>
  <si>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</si>
  <si>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</si>
  <si>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</si>
  <si>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</si>
  <si>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</si>
  <si>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</si>
  <si>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</si>
  <si>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</si>
  <si>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</si>
  <si>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</si>
  <si>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</si>
  <si>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</si>
  <si>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</si>
  <si>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</si>
  <si>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</si>
  <si>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</si>
  <si>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</si>
  <si>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</si>
  <si>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</si>
  <si>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</si>
  <si>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</si>
  <si>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</si>
  <si>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</si>
  <si>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</si>
  <si>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</si>
  <si>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</si>
  <si>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</si>
  <si>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</si>
  <si>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</si>
  <si>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</si>
  <si>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</si>
  <si>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</si>
  <si>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</si>
  <si>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</si>
  <si>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</si>
  <si>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Diversified Energy Mrktg</t>
  </si>
  <si>
    <t>n</t>
  </si>
  <si>
    <t xml:space="preserve">n </t>
  </si>
  <si>
    <t>The Expected Gas Cost was not unified until September.</t>
  </si>
  <si>
    <t>Below is the data used to calculate blended EGC.</t>
  </si>
  <si>
    <t>2021-00308</t>
  </si>
  <si>
    <t>Not in use at this time</t>
  </si>
  <si>
    <t>First unified AA</t>
  </si>
  <si>
    <t>Not Used</t>
  </si>
  <si>
    <t>TC Energy</t>
  </si>
  <si>
    <t>Petrol Johnson County</t>
  </si>
  <si>
    <t>PET</t>
  </si>
  <si>
    <t>TCE</t>
  </si>
  <si>
    <t>for June 7, 2022 billing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</si>
</sst>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13" borderId="0" applyNumberFormat="0" applyBorder="0" applyAlignment="0" applyProtection="0"/>
  </cellStyleXfs>
  <cellXfs count="19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2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4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3"/>
    <xf numFmtId="0" fontId="5" fillId="0" borderId="0" xfId="0" applyFont="1"/>
    <xf numFmtId="9" fontId="0" fillId="3" borderId="0" xfId="2" applyFont="1" applyFill="1"/>
    <xf numFmtId="0" fontId="5" fillId="0" borderId="0" xfId="3" applyFont="1"/>
    <xf numFmtId="43" fontId="6" fillId="0" borderId="0" xfId="0" applyNumberFormat="1" applyFont="1"/>
    <xf numFmtId="0" fontId="5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2" fillId="0" borderId="2" xfId="0" applyFont="1" applyBorder="1"/>
    <xf numFmtId="16" fontId="0" fillId="0" borderId="4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0" xfId="0" applyNumberFormat="1" applyFont="1"/>
    <xf numFmtId="172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43" fontId="4" fillId="0" borderId="0" xfId="0" applyNumberFormat="1" applyFont="1"/>
    <xf numFmtId="172" fontId="4" fillId="0" borderId="0" xfId="0" applyNumberFormat="1" applyFont="1"/>
    <xf numFmtId="171" fontId="2" fillId="0" borderId="0" xfId="0" applyNumberFormat="1" applyFont="1"/>
    <xf numFmtId="17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1" fontId="4" fillId="0" borderId="0" xfId="0" applyNumberFormat="1" applyFont="1"/>
    <xf numFmtId="166" fontId="2" fillId="0" borderId="0" xfId="2" applyNumberFormat="1" applyFont="1" applyFill="1" applyBorder="1"/>
    <xf numFmtId="43" fontId="2" fillId="0" borderId="9" xfId="0" applyNumberFormat="1" applyFont="1" applyBorder="1"/>
    <xf numFmtId="167" fontId="2" fillId="0" borderId="0" xfId="0" applyNumberFormat="1" applyFont="1"/>
    <xf numFmtId="170" fontId="2" fillId="0" borderId="0" xfId="0" applyNumberFormat="1" applyFont="1"/>
    <xf numFmtId="173" fontId="2" fillId="0" borderId="0" xfId="0" applyNumberFormat="1" applyFont="1"/>
    <xf numFmtId="174" fontId="2" fillId="0" borderId="0" xfId="5" applyNumberFormat="1" applyFont="1" applyFill="1" applyBorder="1"/>
    <xf numFmtId="44" fontId="4" fillId="0" borderId="0" xfId="0" applyNumberFormat="1" applyFont="1"/>
    <xf numFmtId="0" fontId="2" fillId="0" borderId="0" xfId="0" quotePrefix="1" applyFont="1"/>
    <xf numFmtId="0" fontId="2" fillId="0" borderId="6" xfId="0" quotePrefix="1" applyFon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2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2" fillId="0" borderId="6" xfId="0" applyNumberFormat="1" applyFont="1" applyBorder="1"/>
    <xf numFmtId="168" fontId="0" fillId="0" borderId="10" xfId="0" applyNumberFormat="1" applyBorder="1"/>
    <xf numFmtId="168" fontId="2" fillId="0" borderId="0" xfId="0" applyNumberFormat="1" applyFont="1"/>
    <xf numFmtId="41" fontId="4" fillId="5" borderId="6" xfId="0" applyNumberFormat="1" applyFont="1" applyFill="1" applyBorder="1"/>
    <xf numFmtId="41" fontId="4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2" fillId="0" borderId="6" xfId="0" applyNumberFormat="1" applyFont="1" applyBorder="1"/>
    <xf numFmtId="170" fontId="2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3" fillId="0" borderId="0" xfId="0" applyNumberFormat="1" applyFont="1" applyFill="1"/>
    <xf numFmtId="43" fontId="2" fillId="10" borderId="0" xfId="0" applyNumberFormat="1" applyFont="1" applyFill="1"/>
    <xf numFmtId="43" fontId="2" fillId="10" borderId="2" xfId="0" applyNumberFormat="1" applyFont="1" applyFill="1" applyBorder="1"/>
    <xf numFmtId="171" fontId="2" fillId="11" borderId="0" xfId="0" applyNumberFormat="1" applyFont="1" applyFill="1"/>
    <xf numFmtId="171" fontId="2" fillId="10" borderId="0" xfId="0" applyNumberFormat="1" applyFont="1" applyFill="1"/>
    <xf numFmtId="41" fontId="2" fillId="10" borderId="0" xfId="0" applyNumberFormat="1" applyFont="1" applyFill="1"/>
    <xf numFmtId="167" fontId="2" fillId="10" borderId="2" xfId="0" applyNumberFormat="1" applyFont="1" applyFill="1" applyBorder="1"/>
    <xf numFmtId="41" fontId="2" fillId="10" borderId="1" xfId="0" applyNumberFormat="1" applyFont="1" applyFill="1" applyBorder="1"/>
    <xf numFmtId="164" fontId="2" fillId="0" borderId="0" xfId="3" applyNumberFormat="1"/>
    <xf numFmtId="165" fontId="2" fillId="0" borderId="0" xfId="3" applyNumberFormat="1"/>
    <xf numFmtId="164" fontId="2" fillId="0" borderId="0" xfId="3" applyNumberFormat="1" applyAlignment="1">
      <alignment horizontal="center"/>
    </xf>
    <xf numFmtId="41" fontId="2" fillId="0" borderId="0" xfId="3" applyNumberFormat="1"/>
    <xf numFmtId="176" fontId="2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2" fillId="0" borderId="0" xfId="2" applyNumberFormat="1" applyFont="1" applyFill="1"/>
    <xf numFmtId="0" fontId="2" fillId="0" borderId="0" xfId="3" applyAlignment="1">
      <alignment horizontal="right"/>
    </xf>
    <xf numFmtId="0" fontId="2" fillId="0" borderId="0" xfId="3" applyAlignment="1">
      <alignment horizontal="center"/>
    </xf>
    <xf numFmtId="171" fontId="2" fillId="0" borderId="0" xfId="3" applyNumberFormat="1"/>
    <xf numFmtId="0" fontId="2" fillId="0" borderId="1" xfId="3" applyBorder="1"/>
    <xf numFmtId="0" fontId="2" fillId="0" borderId="1" xfId="3" applyBorder="1" applyAlignment="1">
      <alignment horizontal="center"/>
    </xf>
    <xf numFmtId="171" fontId="2" fillId="0" borderId="1" xfId="3" applyNumberFormat="1" applyBorder="1"/>
    <xf numFmtId="175" fontId="2" fillId="0" borderId="0" xfId="3" applyNumberFormat="1"/>
    <xf numFmtId="0" fontId="2" fillId="0" borderId="0" xfId="3" quotePrefix="1" applyAlignment="1">
      <alignment horizontal="center"/>
    </xf>
    <xf numFmtId="177" fontId="2" fillId="0" borderId="0" xfId="3" applyNumberFormat="1"/>
    <xf numFmtId="175" fontId="2" fillId="0" borderId="2" xfId="3" applyNumberFormat="1" applyBorder="1"/>
    <xf numFmtId="0" fontId="2" fillId="2" borderId="0" xfId="3" applyFill="1"/>
    <xf numFmtId="0" fontId="2" fillId="0" borderId="2" xfId="3" applyBorder="1" applyAlignment="1">
      <alignment horizontal="center"/>
    </xf>
    <xf numFmtId="168" fontId="2" fillId="0" borderId="0" xfId="3" applyNumberFormat="1" applyAlignment="1">
      <alignment horizontal="center"/>
    </xf>
    <xf numFmtId="168" fontId="2" fillId="0" borderId="0" xfId="3" applyNumberFormat="1" applyAlignment="1">
      <alignment horizontal="right"/>
    </xf>
    <xf numFmtId="168" fontId="2" fillId="2" borderId="0" xfId="3" applyNumberFormat="1" applyFill="1" applyAlignment="1">
      <alignment horizontal="center"/>
    </xf>
    <xf numFmtId="169" fontId="2" fillId="0" borderId="0" xfId="3" applyNumberFormat="1" applyAlignment="1">
      <alignment horizontal="center"/>
    </xf>
    <xf numFmtId="43" fontId="2" fillId="3" borderId="0" xfId="3" applyNumberFormat="1" applyFill="1"/>
    <xf numFmtId="43" fontId="2" fillId="3" borderId="2" xfId="3" applyNumberFormat="1" applyFill="1" applyBorder="1"/>
    <xf numFmtId="43" fontId="2" fillId="0" borderId="0" xfId="3" applyNumberFormat="1"/>
    <xf numFmtId="169" fontId="2" fillId="0" borderId="11" xfId="3" applyNumberFormat="1" applyBorder="1" applyAlignment="1">
      <alignment horizontal="center"/>
    </xf>
    <xf numFmtId="167" fontId="2" fillId="4" borderId="0" xfId="3" applyNumberFormat="1" applyFill="1"/>
    <xf numFmtId="170" fontId="2" fillId="3" borderId="0" xfId="3" applyNumberFormat="1" applyFill="1"/>
    <xf numFmtId="170" fontId="2" fillId="0" borderId="0" xfId="3" applyNumberFormat="1"/>
    <xf numFmtId="170" fontId="2" fillId="9" borderId="1" xfId="3" applyNumberFormat="1" applyFill="1" applyBorder="1"/>
    <xf numFmtId="3" fontId="2" fillId="5" borderId="0" xfId="3" applyNumberFormat="1" applyFill="1"/>
    <xf numFmtId="0" fontId="4" fillId="0" borderId="0" xfId="3" applyFont="1" applyAlignment="1">
      <alignment horizontal="right"/>
    </xf>
    <xf numFmtId="170" fontId="4" fillId="8" borderId="0" xfId="3" applyNumberFormat="1" applyFont="1" applyFill="1"/>
    <xf numFmtId="170" fontId="4" fillId="0" borderId="0" xfId="3" applyNumberFormat="1" applyFont="1"/>
    <xf numFmtId="0" fontId="4" fillId="0" borderId="0" xfId="3" applyFont="1"/>
    <xf numFmtId="167" fontId="5" fillId="9" borderId="0" xfId="3" applyNumberFormat="1" applyFont="1" applyFill="1"/>
    <xf numFmtId="3" fontId="2" fillId="0" borderId="0" xfId="3" applyNumberFormat="1"/>
    <xf numFmtId="167" fontId="5" fillId="5" borderId="0" xfId="3" applyNumberFormat="1" applyFont="1" applyFill="1"/>
    <xf numFmtId="167" fontId="2" fillId="3" borderId="2" xfId="3" applyNumberFormat="1" applyFill="1" applyBorder="1"/>
    <xf numFmtId="167" fontId="5" fillId="0" borderId="0" xfId="3" applyNumberFormat="1" applyFont="1"/>
    <xf numFmtId="44" fontId="2" fillId="9" borderId="0" xfId="3" applyNumberFormat="1" applyFill="1"/>
    <xf numFmtId="43" fontId="6" fillId="0" borderId="0" xfId="3" applyNumberFormat="1" applyFont="1"/>
    <xf numFmtId="43" fontId="2" fillId="3" borderId="12" xfId="3" applyNumberFormat="1" applyFill="1" applyBorder="1"/>
    <xf numFmtId="0" fontId="2" fillId="0" borderId="0" xfId="3" applyAlignment="1">
      <alignment horizontal="left"/>
    </xf>
    <xf numFmtId="0" fontId="5" fillId="0" borderId="1" xfId="0" applyFont="1" applyBorder="1"/>
    <xf numFmtId="170" fontId="5" fillId="5" borderId="0" xfId="0" applyNumberFormat="1" applyFont="1" applyFill="1"/>
    <xf numFmtId="0" fontId="5" fillId="0" borderId="0" xfId="0" quotePrefix="1" applyFont="1"/>
    <xf numFmtId="170" fontId="5" fillId="0" borderId="1" xfId="0" applyNumberFormat="1" applyFont="1" applyBorder="1"/>
    <xf numFmtId="175" fontId="5" fillId="3" borderId="0" xfId="0" applyNumberFormat="1" applyFont="1" applyFill="1"/>
    <xf numFmtId="170" fontId="0" fillId="5" borderId="1" xfId="0" applyNumberFormat="1" applyFill="1" applyBorder="1"/>
    <xf numFmtId="44" fontId="2" fillId="11" borderId="0" xfId="3" applyNumberFormat="1" applyFill="1"/>
    <xf numFmtId="43" fontId="6" fillId="11" borderId="0" xfId="0" applyNumberFormat="1" applyFont="1" applyFill="1"/>
    <xf numFmtId="43" fontId="9" fillId="11" borderId="0" xfId="4" applyFont="1" applyFill="1"/>
    <xf numFmtId="170" fontId="2" fillId="11" borderId="1" xfId="3" applyNumberFormat="1" applyFill="1" applyBorder="1"/>
    <xf numFmtId="41" fontId="2" fillId="11" borderId="0" xfId="3" applyNumberFormat="1" applyFill="1"/>
    <xf numFmtId="166" fontId="2" fillId="0" borderId="0" xfId="2" applyNumberFormat="1"/>
    <xf numFmtId="43" fontId="2" fillId="0" borderId="0" xfId="3" applyNumberFormat="1" applyFill="1"/>
    <xf numFmtId="0" fontId="2" fillId="0" borderId="0" xfId="3" applyFill="1"/>
    <xf numFmtId="41" fontId="2" fillId="0" borderId="0" xfId="3" applyNumberFormat="1" applyFill="1"/>
    <xf numFmtId="170" fontId="2" fillId="12" borderId="1" xfId="3" applyNumberFormat="1" applyFill="1" applyBorder="1"/>
    <xf numFmtId="0" fontId="2" fillId="12" borderId="0" xfId="3" applyFill="1"/>
    <xf numFmtId="41" fontId="2" fillId="12" borderId="0" xfId="3" applyNumberFormat="1" applyFill="1"/>
    <xf numFmtId="41" fontId="2" fillId="12" borderId="2" xfId="3" applyNumberFormat="1" applyFill="1" applyBorder="1"/>
    <xf numFmtId="9" fontId="2" fillId="0" borderId="0" xfId="2"/>
    <xf numFmtId="41" fontId="2" fillId="5" borderId="0" xfId="0" applyNumberFormat="1" applyFont="1" applyFill="1"/>
    <xf numFmtId="171" fontId="2" fillId="10" borderId="0" xfId="3" applyNumberFormat="1" applyFill="1"/>
    <xf numFmtId="175" fontId="2" fillId="10" borderId="0" xfId="3" applyNumberFormat="1" applyFill="1"/>
    <xf numFmtId="175" fontId="2" fillId="11" borderId="0" xfId="3" applyNumberFormat="1" applyFill="1"/>
    <xf numFmtId="177" fontId="2" fillId="11" borderId="0" xfId="3" applyNumberFormat="1" applyFill="1"/>
    <xf numFmtId="175" fontId="2" fillId="10" borderId="2" xfId="3" applyNumberFormat="1" applyFill="1" applyBorder="1"/>
    <xf numFmtId="170" fontId="1" fillId="13" borderId="1" xfId="6" applyNumberFormat="1" applyBorder="1"/>
    <xf numFmtId="44" fontId="2" fillId="0" borderId="0" xfId="3" applyNumberFormat="1" applyFill="1"/>
    <xf numFmtId="0" fontId="12" fillId="0" borderId="0" xfId="0" applyFont="1"/>
    <xf numFmtId="41" fontId="2" fillId="0" borderId="0" xfId="0" applyNumberFormat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0" fontId="2" fillId="0" borderId="0" xfId="0" applyFont="1" applyFill="1"/>
    <xf numFmtId="44" fontId="2" fillId="11" borderId="0" xfId="3" applyNumberFormat="1" applyFont="1" applyFill="1"/>
    <xf numFmtId="44" fontId="4" fillId="0" borderId="0" xfId="3" applyNumberFormat="1" applyFont="1" applyFill="1"/>
  </cellXfs>
  <cellStyles count="7">
    <cellStyle name="40% - Accent6" xfId="6" builtinId="51"/>
    <cellStyle name="Comma" xfId="1" builtinId="3"/>
    <cellStyle name="Comma 2" xfId="4" xr:uid="{8604DFA5-D312-4E28-BCF3-322CE8851A21}"/>
    <cellStyle name="Currency 2" xfId="5" xr:uid="{6C8C2E4D-8C13-4506-98F2-011D561D4D7B}"/>
    <cellStyle name="Normal" xfId="0" builtinId="0"/>
    <cellStyle name="Normal 2" xfId="3" xr:uid="{89C10613-3759-47B0-8D66-7C9A2A83F3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04A8-F055-42C6-BC21-5F74F8E42DCD}">
  <dimension ref="A2:J41"/>
  <sheetViews>
    <sheetView topLeftCell="A7" zoomScaleNormal="100" workbookViewId="0">
      <selection activeCell="D27" sqref="D27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</cols>
  <sheetData>
    <row r="2" spans="1:10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0" x14ac:dyDescent="0.2">
      <c r="B3" s="30" t="s">
        <v>44</v>
      </c>
      <c r="C3" s="31"/>
      <c r="D3" s="32">
        <v>40633</v>
      </c>
      <c r="E3" s="31"/>
      <c r="F3" s="33" t="s">
        <v>35</v>
      </c>
      <c r="G3" s="31"/>
      <c r="H3" s="34">
        <v>40664</v>
      </c>
      <c r="J3" s="1" t="s">
        <v>198</v>
      </c>
    </row>
    <row r="4" spans="1:10" x14ac:dyDescent="0.2">
      <c r="B4" s="35"/>
      <c r="D4" s="36"/>
      <c r="F4" s="1" t="s">
        <v>36</v>
      </c>
      <c r="H4" s="37"/>
    </row>
    <row r="5" spans="1:10" x14ac:dyDescent="0.2">
      <c r="B5" s="38"/>
      <c r="C5" s="11"/>
      <c r="D5" s="39"/>
      <c r="E5" s="11"/>
      <c r="F5" s="25" t="s">
        <v>37</v>
      </c>
      <c r="G5" s="11"/>
      <c r="H5" s="40"/>
    </row>
    <row r="6" spans="1:10" x14ac:dyDescent="0.2">
      <c r="B6" s="30"/>
      <c r="C6" s="31"/>
      <c r="D6" s="32">
        <v>40724</v>
      </c>
      <c r="E6" s="31"/>
      <c r="F6" s="33" t="s">
        <v>38</v>
      </c>
      <c r="G6" s="31"/>
      <c r="H6" s="34">
        <v>40756</v>
      </c>
    </row>
    <row r="7" spans="1:10" x14ac:dyDescent="0.2">
      <c r="B7" s="35"/>
      <c r="D7" s="36"/>
      <c r="F7" s="1" t="s">
        <v>39</v>
      </c>
      <c r="H7" s="37"/>
    </row>
    <row r="8" spans="1:10" x14ac:dyDescent="0.2">
      <c r="B8" s="38"/>
      <c r="C8" s="11"/>
      <c r="D8" s="39"/>
      <c r="E8" s="11"/>
      <c r="F8" s="25" t="s">
        <v>40</v>
      </c>
      <c r="G8" s="11"/>
      <c r="H8" s="40"/>
    </row>
    <row r="9" spans="1:10" x14ac:dyDescent="0.2">
      <c r="B9" s="30"/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0" x14ac:dyDescent="0.2">
      <c r="B10" s="35"/>
      <c r="D10" s="36"/>
      <c r="F10" s="1" t="s">
        <v>42</v>
      </c>
      <c r="H10" s="37"/>
    </row>
    <row r="11" spans="1:10" x14ac:dyDescent="0.2">
      <c r="B11" s="38"/>
      <c r="C11" s="11"/>
      <c r="D11" s="39"/>
      <c r="E11" s="11"/>
      <c r="F11" s="25" t="s">
        <v>43</v>
      </c>
      <c r="G11" s="11"/>
      <c r="H11" s="40"/>
    </row>
    <row r="12" spans="1:10" x14ac:dyDescent="0.2">
      <c r="B12" s="30"/>
      <c r="C12" s="31"/>
      <c r="D12" s="32">
        <v>40908</v>
      </c>
      <c r="E12" s="31"/>
      <c r="F12" s="33" t="s">
        <v>45</v>
      </c>
      <c r="G12" s="31"/>
      <c r="H12" s="34">
        <v>40575</v>
      </c>
      <c r="J12" s="1"/>
    </row>
    <row r="13" spans="1:10" x14ac:dyDescent="0.2">
      <c r="B13" s="41"/>
      <c r="D13" s="42"/>
      <c r="F13" s="1" t="s">
        <v>46</v>
      </c>
      <c r="H13" s="43"/>
    </row>
    <row r="14" spans="1:10" x14ac:dyDescent="0.2">
      <c r="B14" s="38"/>
      <c r="C14" s="11"/>
      <c r="D14" s="39"/>
      <c r="E14" s="11"/>
      <c r="F14" s="25" t="s">
        <v>47</v>
      </c>
      <c r="G14" s="11"/>
      <c r="H14" s="40"/>
    </row>
    <row r="16" spans="1:10" x14ac:dyDescent="0.2">
      <c r="A16" s="1" t="s">
        <v>48</v>
      </c>
    </row>
    <row r="17" spans="2:3" x14ac:dyDescent="0.2">
      <c r="B17" s="1" t="s">
        <v>29</v>
      </c>
    </row>
    <row r="18" spans="2:3" x14ac:dyDescent="0.2">
      <c r="C18" s="1" t="s">
        <v>49</v>
      </c>
    </row>
    <row r="19" spans="2:3" x14ac:dyDescent="0.2">
      <c r="C19" s="1"/>
    </row>
    <row r="20" spans="2:3" x14ac:dyDescent="0.2">
      <c r="B20" t="s">
        <v>72</v>
      </c>
      <c r="C20" s="1"/>
    </row>
    <row r="21" spans="2:3" x14ac:dyDescent="0.2">
      <c r="C21" s="1" t="s">
        <v>49</v>
      </c>
    </row>
    <row r="22" spans="2:3" x14ac:dyDescent="0.2">
      <c r="C22" s="1"/>
    </row>
    <row r="23" spans="2:3" x14ac:dyDescent="0.2">
      <c r="B23" s="1" t="s">
        <v>50</v>
      </c>
      <c r="C23" s="1"/>
    </row>
    <row r="24" spans="2:3" x14ac:dyDescent="0.2">
      <c r="C24" s="1" t="s">
        <v>191</v>
      </c>
    </row>
    <row r="25" spans="2:3" x14ac:dyDescent="0.2">
      <c r="C25" s="1"/>
    </row>
    <row r="26" spans="2:3" x14ac:dyDescent="0.2">
      <c r="B26" s="1" t="s">
        <v>51</v>
      </c>
    </row>
    <row r="27" spans="2:3" x14ac:dyDescent="0.2">
      <c r="C27" s="1" t="s">
        <v>192</v>
      </c>
    </row>
    <row r="28" spans="2:3" x14ac:dyDescent="0.2">
      <c r="C28" s="1"/>
    </row>
    <row r="29" spans="2:3" x14ac:dyDescent="0.2">
      <c r="B29" s="1" t="s">
        <v>52</v>
      </c>
    </row>
    <row r="30" spans="2:3" x14ac:dyDescent="0.2">
      <c r="B30" s="1"/>
      <c r="C30" t="s">
        <v>193</v>
      </c>
    </row>
    <row r="32" spans="2:3" x14ac:dyDescent="0.2">
      <c r="B32" s="1" t="s">
        <v>28</v>
      </c>
    </row>
    <row r="33" spans="2:3" x14ac:dyDescent="0.2">
      <c r="C33" s="1" t="s">
        <v>49</v>
      </c>
    </row>
    <row r="35" spans="2:3" x14ac:dyDescent="0.2">
      <c r="B35" s="1" t="s">
        <v>53</v>
      </c>
    </row>
    <row r="36" spans="2:3" x14ac:dyDescent="0.2">
      <c r="C36" s="1" t="s">
        <v>49</v>
      </c>
    </row>
    <row r="38" spans="2:3" x14ac:dyDescent="0.2">
      <c r="B38" s="1" t="s">
        <v>54</v>
      </c>
    </row>
    <row r="39" spans="2:3" x14ac:dyDescent="0.2">
      <c r="C39" s="1" t="s">
        <v>55</v>
      </c>
    </row>
    <row r="41" spans="2:3" x14ac:dyDescent="0.2">
      <c r="C41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20DF-507E-47E7-9C89-E9B54D7A9DE3}">
  <dimension ref="A1:K35"/>
  <sheetViews>
    <sheetView topLeftCell="A4" workbookViewId="0">
      <selection activeCell="L27" sqref="L2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136</v>
      </c>
    </row>
    <row r="14" spans="1:11" x14ac:dyDescent="0.2">
      <c r="B14" s="122" t="s">
        <v>137</v>
      </c>
      <c r="C14" s="19" t="s">
        <v>138</v>
      </c>
      <c r="J14" s="127">
        <v>6.0720999999999998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23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27">
        <f>J14*J17</f>
        <v>7.4839597638510451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27">
        <v>3.8820999999999999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29">
        <v>250399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29">
        <v>204407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23">
        <f>J24/J25</f>
        <v>1.225002079185155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23">
        <f>J9/J27</f>
        <v>1.1077532218579149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27">
        <f>J23*J28</f>
        <v>4.3004087825746113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23">
        <f>J29</f>
        <v>4.3004087825746113</v>
      </c>
    </row>
    <row r="33" spans="3:10" x14ac:dyDescent="0.2">
      <c r="C33" s="19" t="s">
        <v>164</v>
      </c>
      <c r="J33" s="123">
        <f>J32</f>
        <v>4.3004087825746113</v>
      </c>
    </row>
    <row r="34" spans="3:10" x14ac:dyDescent="0.2">
      <c r="C34" s="19" t="s">
        <v>145</v>
      </c>
      <c r="J34" s="123">
        <f>J18</f>
        <v>7.4839597638510451</v>
      </c>
    </row>
    <row r="35" spans="3:10" x14ac:dyDescent="0.2">
      <c r="C35" s="121" t="s">
        <v>166</v>
      </c>
      <c r="J35" s="130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4063-99F4-4899-B594-1EB0E985D140}">
  <dimension ref="A1:M35"/>
  <sheetViews>
    <sheetView zoomScale="90" zoomScaleNormal="90" workbookViewId="0">
      <selection activeCell="J23" sqref="J23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100</v>
      </c>
      <c r="H2" s="13" t="s">
        <v>75</v>
      </c>
      <c r="J2" s="85">
        <f>J12</f>
        <v>10.000002036598577</v>
      </c>
      <c r="L2" s="1"/>
    </row>
    <row r="3" spans="1:13" x14ac:dyDescent="0.2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15" customHeight="1" x14ac:dyDescent="0.2">
      <c r="A4" s="68" t="s">
        <v>77</v>
      </c>
      <c r="B4" s="1" t="s">
        <v>102</v>
      </c>
      <c r="H4" s="13" t="s">
        <v>75</v>
      </c>
      <c r="J4" s="85">
        <f>J28</f>
        <v>0.90819830277324742</v>
      </c>
    </row>
    <row r="5" spans="1:13" x14ac:dyDescent="0.2">
      <c r="A5" s="68" t="s">
        <v>77</v>
      </c>
      <c r="B5" s="1" t="s">
        <v>103</v>
      </c>
      <c r="H5" s="13" t="s">
        <v>75</v>
      </c>
      <c r="J5" s="164">
        <f>J35</f>
        <v>0</v>
      </c>
    </row>
    <row r="6" spans="1:13" x14ac:dyDescent="0.2">
      <c r="A6" s="68" t="s">
        <v>104</v>
      </c>
      <c r="B6" s="1" t="s">
        <v>105</v>
      </c>
      <c r="H6" s="13" t="s">
        <v>75</v>
      </c>
      <c r="J6" s="98">
        <f>SUM(J2:J5)</f>
        <v>10.908200339371824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76</v>
      </c>
      <c r="J10" s="100">
        <f>'EGC (SII)'!L37</f>
        <v>1051771.2142035323</v>
      </c>
    </row>
    <row r="11" spans="1:13" x14ac:dyDescent="0.2">
      <c r="A11" s="68" t="s">
        <v>107</v>
      </c>
      <c r="B11" s="1" t="s">
        <v>108</v>
      </c>
      <c r="H11" s="13" t="s">
        <v>61</v>
      </c>
      <c r="J11" s="101">
        <f>'EGC (SII)'!H29</f>
        <v>105177.1</v>
      </c>
      <c r="L11" s="1"/>
    </row>
    <row r="12" spans="1:13" x14ac:dyDescent="0.2">
      <c r="C12" s="1" t="s">
        <v>28</v>
      </c>
      <c r="H12" s="13" t="s">
        <v>75</v>
      </c>
      <c r="J12" s="102">
        <f>J10/J11</f>
        <v>10.000002036598577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9" t="s">
        <v>109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s="20" customFormat="1" ht="11.25" x14ac:dyDescent="0.2">
      <c r="B15" s="20" t="s">
        <v>110</v>
      </c>
      <c r="H15" s="24"/>
      <c r="J15" s="160"/>
    </row>
    <row r="16" spans="1:13" s="20" customFormat="1" ht="11.25" x14ac:dyDescent="0.2">
      <c r="A16" s="161" t="s">
        <v>77</v>
      </c>
      <c r="B16" s="20" t="s">
        <v>111</v>
      </c>
      <c r="H16" s="24"/>
      <c r="J16" s="160"/>
    </row>
    <row r="17" spans="1:13" s="20" customFormat="1" ht="11.25" x14ac:dyDescent="0.2">
      <c r="A17" s="161" t="s">
        <v>77</v>
      </c>
      <c r="B17" s="20" t="s">
        <v>112</v>
      </c>
      <c r="H17" s="24"/>
      <c r="J17" s="160"/>
    </row>
    <row r="18" spans="1:13" s="20" customFormat="1" ht="11.25" x14ac:dyDescent="0.2">
      <c r="A18" s="161" t="s">
        <v>77</v>
      </c>
      <c r="B18" s="20" t="s">
        <v>113</v>
      </c>
      <c r="H18" s="24"/>
      <c r="J18" s="160"/>
    </row>
    <row r="19" spans="1:13" s="20" customFormat="1" ht="11.25" x14ac:dyDescent="0.2">
      <c r="A19" s="161" t="s">
        <v>77</v>
      </c>
      <c r="B19" s="20" t="s">
        <v>114</v>
      </c>
      <c r="H19" s="24"/>
      <c r="J19" s="162"/>
    </row>
    <row r="20" spans="1:13" s="20" customFormat="1" ht="11.25" x14ac:dyDescent="0.2">
      <c r="A20" s="161" t="s">
        <v>104</v>
      </c>
      <c r="B20" s="20" t="s">
        <v>115</v>
      </c>
      <c r="H20" s="24"/>
      <c r="J20" s="163">
        <f>SUM(J15:J19)</f>
        <v>0</v>
      </c>
      <c r="L20" s="20" t="s">
        <v>116</v>
      </c>
    </row>
    <row r="21" spans="1:13" ht="13.15" customHeight="1" x14ac:dyDescent="0.2"/>
    <row r="22" spans="1:13" x14ac:dyDescent="0.2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118</v>
      </c>
      <c r="H23" s="13" t="s">
        <v>75</v>
      </c>
      <c r="J23" s="85">
        <f>'Actual Adjustment (IV)'!Q30</f>
        <v>0.73957837716740238</v>
      </c>
      <c r="K23" s="1"/>
      <c r="L23" s="1"/>
    </row>
    <row r="24" spans="1:13" x14ac:dyDescent="0.2">
      <c r="A24" s="68" t="s">
        <v>77</v>
      </c>
      <c r="B24" s="1" t="s">
        <v>97</v>
      </c>
      <c r="H24" s="13"/>
      <c r="J24" s="85">
        <f>'Actual Adjustment (IV)'!K30</f>
        <v>0.16861992560584504</v>
      </c>
    </row>
    <row r="25" spans="1:13" x14ac:dyDescent="0.2">
      <c r="A25" s="68" t="s">
        <v>77</v>
      </c>
      <c r="B25" s="1" t="s">
        <v>96</v>
      </c>
      <c r="H25" s="13"/>
      <c r="J25" s="85"/>
    </row>
    <row r="26" spans="1:13" x14ac:dyDescent="0.2">
      <c r="A26" s="68" t="s">
        <v>77</v>
      </c>
      <c r="B26" s="1" t="s">
        <v>95</v>
      </c>
      <c r="H26" s="13"/>
      <c r="J26" s="85"/>
    </row>
    <row r="27" spans="1:13" x14ac:dyDescent="0.2">
      <c r="A27" s="68" t="s">
        <v>77</v>
      </c>
      <c r="B27" s="1" t="s">
        <v>114</v>
      </c>
      <c r="H27" s="13"/>
      <c r="J27" s="97"/>
    </row>
    <row r="28" spans="1:13" x14ac:dyDescent="0.2">
      <c r="A28" s="68" t="s">
        <v>104</v>
      </c>
      <c r="B28" s="1" t="s">
        <v>51</v>
      </c>
      <c r="H28" s="13" t="s">
        <v>75</v>
      </c>
      <c r="J28" s="98">
        <f>SUM(J23:J27)</f>
        <v>0.90819830277324742</v>
      </c>
      <c r="K28" s="1"/>
      <c r="L28" s="1"/>
    </row>
    <row r="29" spans="1:13" ht="13.15" customHeight="1" x14ac:dyDescent="0.2"/>
    <row r="30" spans="1:13" x14ac:dyDescent="0.2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120</v>
      </c>
      <c r="H31" s="13"/>
      <c r="J31" s="103"/>
      <c r="K31" s="1"/>
      <c r="L31" s="1"/>
    </row>
    <row r="32" spans="1:13" x14ac:dyDescent="0.2">
      <c r="A32" s="68" t="s">
        <v>77</v>
      </c>
      <c r="B32" s="1" t="s">
        <v>121</v>
      </c>
      <c r="H32" s="13"/>
      <c r="J32" s="103"/>
    </row>
    <row r="33" spans="1:12" x14ac:dyDescent="0.2">
      <c r="A33" s="68" t="s">
        <v>77</v>
      </c>
      <c r="B33" s="1" t="s">
        <v>122</v>
      </c>
      <c r="H33" s="13"/>
      <c r="J33" s="103"/>
    </row>
    <row r="34" spans="1:12" x14ac:dyDescent="0.2">
      <c r="A34" s="68" t="s">
        <v>77</v>
      </c>
      <c r="B34" s="1" t="s">
        <v>123</v>
      </c>
      <c r="H34" s="13"/>
      <c r="J34" s="103"/>
    </row>
    <row r="35" spans="1:12" x14ac:dyDescent="0.2">
      <c r="A35" s="68" t="s">
        <v>104</v>
      </c>
      <c r="B35" s="1" t="s">
        <v>124</v>
      </c>
      <c r="H35" s="13"/>
      <c r="J35" s="104">
        <f>SUM(J31:J34)</f>
        <v>0</v>
      </c>
      <c r="K35" s="1"/>
      <c r="L35" s="1"/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E327-B971-4054-B340-FDAB829470B7}">
  <sheetPr>
    <pageSetUpPr fitToPage="1"/>
  </sheetPr>
  <dimension ref="A1:V39"/>
  <sheetViews>
    <sheetView zoomScaleNormal="100" workbookViewId="0">
      <selection activeCell="H31" sqref="H31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47169.772111509134</v>
      </c>
      <c r="F6" s="57">
        <v>1.2</v>
      </c>
      <c r="H6" s="179">
        <f>Purchases!F14*Purchases!F27</f>
        <v>39308.143426257615</v>
      </c>
      <c r="J6" s="57">
        <v>8.49</v>
      </c>
      <c r="L6" s="106">
        <f>J6*H6</f>
        <v>333726.13768892718</v>
      </c>
      <c r="N6" s="50"/>
      <c r="P6" s="18"/>
      <c r="Q6" s="18"/>
    </row>
    <row r="7" spans="1:17" x14ac:dyDescent="0.2">
      <c r="B7" s="1" t="s">
        <v>64</v>
      </c>
      <c r="D7" s="106">
        <f>F7*H7</f>
        <v>43597.271991282178</v>
      </c>
      <c r="F7" s="57">
        <f>F6</f>
        <v>1.2</v>
      </c>
      <c r="H7" s="179">
        <f>Purchases!F21*Purchases!F27</f>
        <v>36331.05999273515</v>
      </c>
      <c r="J7" s="57">
        <f>J6-2</f>
        <v>6.49</v>
      </c>
      <c r="L7" s="106">
        <f>J7*H7</f>
        <v>235788.57935285114</v>
      </c>
      <c r="N7" s="50"/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75639.203418992765</v>
      </c>
      <c r="J10" s="108">
        <v>2.7172000000000001</v>
      </c>
      <c r="L10" s="106">
        <f>J10*H10</f>
        <v>205526.84353008715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90767.044102791318</v>
      </c>
      <c r="F12" s="57"/>
      <c r="H12" s="6"/>
      <c r="J12" s="57"/>
      <c r="L12" s="107">
        <f>SUM(L6:L11)</f>
        <v>800241.56057186553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87" t="s">
        <v>70</v>
      </c>
      <c r="D15" s="106">
        <f>F15*H15</f>
        <v>0</v>
      </c>
      <c r="F15" s="57">
        <v>1.357</v>
      </c>
      <c r="H15" s="188">
        <v>0</v>
      </c>
      <c r="I15" s="191"/>
      <c r="J15" s="190"/>
      <c r="K15" s="191"/>
      <c r="L15" s="189"/>
      <c r="P15" s="18"/>
      <c r="Q15" s="18"/>
    </row>
    <row r="16" spans="1:17" x14ac:dyDescent="0.2">
      <c r="B16" s="1" t="s">
        <v>26</v>
      </c>
      <c r="D16" s="106">
        <f>F16*H16</f>
        <v>24290.036079999994</v>
      </c>
      <c r="F16" s="57">
        <v>1.6312</v>
      </c>
      <c r="H16" s="179">
        <f>Purchases!F51</f>
        <v>14890.899999999998</v>
      </c>
      <c r="J16" s="109">
        <f>(J$7/F$7)*F16</f>
        <v>8.8220733333333339</v>
      </c>
      <c r="L16" s="106">
        <f>J16*H16</f>
        <v>131368.61179933333</v>
      </c>
      <c r="N16" s="1" t="s">
        <v>71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24290.036079999994</v>
      </c>
      <c r="F18" s="57"/>
      <c r="H18" s="111">
        <f>SUM(H15:H17)</f>
        <v>14890.899999999998</v>
      </c>
      <c r="J18" s="57"/>
      <c r="L18" s="107">
        <f>SUM(L15:L17)</f>
        <v>131368.61179933333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87" t="s">
        <v>27</v>
      </c>
      <c r="D21" s="106">
        <f>F21*H21</f>
        <v>0</v>
      </c>
      <c r="F21" s="57">
        <f>F23</f>
        <v>1.2724</v>
      </c>
      <c r="H21" s="188">
        <v>0</v>
      </c>
      <c r="I21" s="189"/>
      <c r="J21" s="190"/>
      <c r="K21" s="191"/>
      <c r="L21" s="189"/>
      <c r="N21" s="50"/>
      <c r="O21" s="18"/>
      <c r="P21" s="18"/>
      <c r="Q21" s="18"/>
      <c r="R21" s="18"/>
    </row>
    <row r="22" spans="1:18" x14ac:dyDescent="0.2">
      <c r="B22" s="1" t="s">
        <v>63</v>
      </c>
      <c r="D22" s="106"/>
      <c r="F22" s="57"/>
      <c r="H22" s="179"/>
      <c r="I22" s="18"/>
      <c r="J22" s="57"/>
      <c r="L22" s="106"/>
      <c r="N22" s="50"/>
      <c r="O22" s="18"/>
      <c r="P22" s="18"/>
      <c r="Q22" s="18"/>
      <c r="R22" s="18"/>
    </row>
    <row r="23" spans="1:18" x14ac:dyDescent="0.2">
      <c r="B23" s="1" t="s">
        <v>26</v>
      </c>
      <c r="D23" s="106">
        <f>F23*H23</f>
        <v>22217.758119999999</v>
      </c>
      <c r="F23" s="57">
        <v>1.2724</v>
      </c>
      <c r="H23" s="179">
        <f>Purchases!F79</f>
        <v>17461.3</v>
      </c>
      <c r="I23" s="18"/>
      <c r="J23" s="109">
        <f>(J$7/F$7)*F23</f>
        <v>6.8815633333333341</v>
      </c>
      <c r="L23" s="106">
        <f t="shared" ref="L23" si="0">J23*H23</f>
        <v>120161.04183233334</v>
      </c>
      <c r="N23" s="1" t="s">
        <v>71</v>
      </c>
      <c r="O23" s="18"/>
      <c r="P23" s="18"/>
      <c r="Q23" s="18"/>
      <c r="R23" s="18"/>
    </row>
    <row r="24" spans="1:18" x14ac:dyDescent="0.2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15" customHeight="1" x14ac:dyDescent="0.2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">
      <c r="B26" s="13" t="s">
        <v>25</v>
      </c>
      <c r="D26" s="106">
        <f>SUM(D21:D24)</f>
        <v>22217.758119999999</v>
      </c>
      <c r="F26" s="57"/>
      <c r="H26" s="111">
        <f>SUM(H21:H25)</f>
        <v>17461.3</v>
      </c>
      <c r="J26" s="57"/>
      <c r="L26" s="107">
        <f>SUM(L21:L25)</f>
        <v>120161.04183233334</v>
      </c>
      <c r="N26" s="50"/>
      <c r="P26" s="18"/>
      <c r="Q26" s="18"/>
    </row>
    <row r="27" spans="1:18" ht="7.15" customHeight="1" x14ac:dyDescent="0.2">
      <c r="H27" s="6"/>
      <c r="I27" s="18"/>
      <c r="J27" s="57"/>
      <c r="N27" s="18"/>
      <c r="O27" s="18"/>
      <c r="P27" s="18"/>
      <c r="Q27" s="18"/>
      <c r="R27" s="18"/>
    </row>
    <row r="28" spans="1:18" x14ac:dyDescent="0.2">
      <c r="F28" s="1" t="s">
        <v>72</v>
      </c>
      <c r="H28" s="110">
        <f>H10+H18+H26</f>
        <v>107991.40341899276</v>
      </c>
      <c r="P28" s="13"/>
      <c r="R28" s="49"/>
    </row>
    <row r="29" spans="1:18" x14ac:dyDescent="0.2">
      <c r="F29" s="1" t="s">
        <v>29</v>
      </c>
      <c r="H29" s="112">
        <f>Sales!F49</f>
        <v>105177.1</v>
      </c>
      <c r="P29" s="13"/>
      <c r="R29" s="49"/>
    </row>
    <row r="30" spans="1:18" x14ac:dyDescent="0.2">
      <c r="F30" s="1" t="s">
        <v>73</v>
      </c>
      <c r="H30" s="110">
        <f>H28-H29</f>
        <v>2814.3034189927566</v>
      </c>
      <c r="P30" s="13"/>
      <c r="R30" s="49"/>
    </row>
    <row r="31" spans="1:18" x14ac:dyDescent="0.2">
      <c r="H31" s="61">
        <f>H30/H29</f>
        <v>2.6757758285717675E-2</v>
      </c>
      <c r="P31" s="13"/>
      <c r="R31" s="49"/>
    </row>
    <row r="32" spans="1:18" ht="7.15" customHeight="1" thickBot="1" x14ac:dyDescent="0.25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">
      <c r="H33" s="6"/>
      <c r="I33" s="18"/>
      <c r="J33" s="13" t="s">
        <v>15</v>
      </c>
      <c r="L33" s="18">
        <f>L12+L18+L26</f>
        <v>1051771.2142035323</v>
      </c>
      <c r="N33" s="18"/>
      <c r="O33" s="18"/>
      <c r="P33" s="18"/>
      <c r="Q33" s="18"/>
      <c r="R33" s="18"/>
    </row>
    <row r="34" spans="4:22" x14ac:dyDescent="0.2">
      <c r="D34" s="18">
        <f>D12+D18+D26</f>
        <v>137274.83830279129</v>
      </c>
      <c r="F34" s="1" t="s">
        <v>59</v>
      </c>
      <c r="J34" s="13" t="s">
        <v>74</v>
      </c>
      <c r="L34" s="63">
        <f>H28</f>
        <v>107991.40341899276</v>
      </c>
      <c r="M34" s="18"/>
      <c r="N34" s="18"/>
      <c r="O34" s="18"/>
      <c r="P34" s="18"/>
      <c r="Q34" s="18"/>
      <c r="R34" s="18"/>
      <c r="V34" s="18"/>
    </row>
    <row r="35" spans="4:22" x14ac:dyDescent="0.2">
      <c r="J35" s="13" t="s">
        <v>75</v>
      </c>
      <c r="L35" s="64">
        <f>L33/L34</f>
        <v>9.739397590035896</v>
      </c>
      <c r="M35" s="18"/>
      <c r="N35" s="18"/>
      <c r="O35" s="18"/>
      <c r="P35" s="18"/>
      <c r="Q35" s="18"/>
      <c r="R35" s="18"/>
    </row>
    <row r="36" spans="4:22" x14ac:dyDescent="0.2">
      <c r="J36" s="13" t="s">
        <v>72</v>
      </c>
      <c r="L36" s="63">
        <f>L34</f>
        <v>107991.40341899276</v>
      </c>
      <c r="P36" s="13"/>
      <c r="R36" s="49"/>
    </row>
    <row r="37" spans="4:22" x14ac:dyDescent="0.2">
      <c r="J37" s="13" t="s">
        <v>76</v>
      </c>
      <c r="L37" s="65">
        <f>L35*L36</f>
        <v>1051771.2142035323</v>
      </c>
      <c r="N37" s="13"/>
      <c r="P37" s="13"/>
      <c r="R37" s="66"/>
    </row>
    <row r="38" spans="4:22" x14ac:dyDescent="0.2">
      <c r="P38" s="13"/>
      <c r="R38" s="49"/>
    </row>
    <row r="39" spans="4:22" x14ac:dyDescent="0.2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3344-E76A-459E-B1E1-BD6179D0DCBB}">
  <sheetPr>
    <pageSetUpPr fitToPage="1"/>
  </sheetPr>
  <dimension ref="A1:X75"/>
  <sheetViews>
    <sheetView tabSelected="1" zoomScale="120" zoomScaleNormal="120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W66" sqref="W66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16384" width="8.85546875" style="19"/>
  </cols>
  <sheetData>
    <row r="1" spans="2:24" x14ac:dyDescent="0.2">
      <c r="F1" s="131"/>
      <c r="G1" s="124"/>
      <c r="H1" s="124"/>
      <c r="I1" s="125" t="s">
        <v>169</v>
      </c>
      <c r="J1" s="124"/>
      <c r="K1" s="124"/>
      <c r="L1" s="131"/>
      <c r="M1" s="124"/>
      <c r="N1" s="124"/>
      <c r="O1" s="125" t="s">
        <v>170</v>
      </c>
      <c r="P1" s="124"/>
      <c r="Q1" s="124"/>
      <c r="R1" s="131"/>
      <c r="S1" s="124"/>
      <c r="T1" s="124"/>
      <c r="U1" s="125" t="s">
        <v>171</v>
      </c>
      <c r="V1" s="124"/>
      <c r="W1" s="124"/>
      <c r="X1" s="131"/>
    </row>
    <row r="2" spans="2:24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</row>
    <row r="3" spans="2:24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</row>
    <row r="4" spans="2:24" s="133" customFormat="1" x14ac:dyDescent="0.2">
      <c r="C4" s="134" t="s">
        <v>172</v>
      </c>
      <c r="F4" s="135"/>
      <c r="G4" s="136"/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</row>
    <row r="5" spans="2:24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</row>
    <row r="6" spans="2:24" x14ac:dyDescent="0.2">
      <c r="B6" s="19" t="s">
        <v>13</v>
      </c>
      <c r="F6" s="131"/>
      <c r="L6" s="131"/>
      <c r="R6" s="131"/>
      <c r="X6" s="131"/>
    </row>
    <row r="7" spans="2:24" x14ac:dyDescent="0.2">
      <c r="C7" s="19" t="s">
        <v>2</v>
      </c>
      <c r="F7" s="131"/>
      <c r="G7" s="137">
        <f>G44</f>
        <v>11604.135910784218</v>
      </c>
      <c r="I7" s="137">
        <f>I44</f>
        <v>10335.52729805014</v>
      </c>
      <c r="J7" s="116"/>
      <c r="K7" s="137">
        <f>K44</f>
        <v>22621.183955376917</v>
      </c>
      <c r="L7" s="131"/>
      <c r="M7" s="137">
        <f>M44</f>
        <v>46832.032654119452</v>
      </c>
      <c r="O7" s="137">
        <f>O44</f>
        <v>35022.380241663639</v>
      </c>
      <c r="P7" s="116"/>
      <c r="Q7" s="137">
        <f>Q44</f>
        <v>77775.950518493206</v>
      </c>
      <c r="R7" s="131"/>
      <c r="S7" s="137" t="e">
        <f>S44</f>
        <v>#DIV/0!</v>
      </c>
      <c r="U7" s="137" t="e">
        <f>U44</f>
        <v>#DIV/0!</v>
      </c>
      <c r="V7" s="116"/>
      <c r="W7" s="137" t="e">
        <f>W44</f>
        <v>#DIV/0!</v>
      </c>
      <c r="X7" s="131"/>
    </row>
    <row r="8" spans="2:24" x14ac:dyDescent="0.2">
      <c r="C8" s="19" t="s">
        <v>5</v>
      </c>
      <c r="F8" s="131"/>
      <c r="G8" s="137">
        <f>(G53+G54)</f>
        <v>2565.3199999999997</v>
      </c>
      <c r="I8" s="137">
        <f>(I53+I54)</f>
        <v>2081.37</v>
      </c>
      <c r="J8" s="116"/>
      <c r="K8" s="137">
        <f>(K53+K54)</f>
        <v>3758.48</v>
      </c>
      <c r="L8" s="131"/>
      <c r="M8" s="137">
        <f>(M53+M54)</f>
        <v>15333.39</v>
      </c>
      <c r="O8" s="137">
        <f>(O53+O54)</f>
        <v>11227.57</v>
      </c>
      <c r="P8" s="116"/>
      <c r="Q8" s="137">
        <f>(Q53+Q54)</f>
        <v>12025.3</v>
      </c>
      <c r="R8" s="131"/>
      <c r="S8" s="137">
        <f>(S53+S54)</f>
        <v>0</v>
      </c>
      <c r="U8" s="137">
        <f>(U53+U54)</f>
        <v>0</v>
      </c>
      <c r="V8" s="116"/>
      <c r="W8" s="137">
        <f>(W53+W54)</f>
        <v>0</v>
      </c>
      <c r="X8" s="131"/>
    </row>
    <row r="9" spans="2:24" x14ac:dyDescent="0.2">
      <c r="C9" s="19" t="s">
        <v>6</v>
      </c>
      <c r="F9" s="131"/>
      <c r="G9" s="137">
        <f>(G58+G59)</f>
        <v>1559.7600000000002</v>
      </c>
      <c r="I9" s="137">
        <f>(I58+I59)</f>
        <v>1499.7</v>
      </c>
      <c r="J9" s="116"/>
      <c r="K9" s="137">
        <f>(K58+K59)</f>
        <v>4763.63</v>
      </c>
      <c r="L9" s="131"/>
      <c r="M9" s="137">
        <f>(M58+M59)</f>
        <v>15480.68</v>
      </c>
      <c r="O9" s="137">
        <f>(O58+O59)</f>
        <v>14758.36</v>
      </c>
      <c r="P9" s="116"/>
      <c r="Q9" s="137">
        <f>(Q58+Q59)</f>
        <v>5392.91</v>
      </c>
      <c r="R9" s="131"/>
      <c r="S9" s="137">
        <f>(S58+S59)</f>
        <v>0</v>
      </c>
      <c r="U9" s="137">
        <f>(U58+U59)</f>
        <v>0</v>
      </c>
      <c r="V9" s="116"/>
      <c r="W9" s="137">
        <f>(W58+W59)</f>
        <v>0</v>
      </c>
      <c r="X9" s="131"/>
    </row>
    <row r="10" spans="2:24" x14ac:dyDescent="0.2">
      <c r="C10" s="121" t="s">
        <v>173</v>
      </c>
      <c r="F10" s="131"/>
      <c r="G10" s="138">
        <f>SUM(G7:G9)</f>
        <v>15729.215910784218</v>
      </c>
      <c r="I10" s="138">
        <f>SUM(I7:I9)</f>
        <v>13916.597298050139</v>
      </c>
      <c r="J10" s="116"/>
      <c r="K10" s="138">
        <f>SUM(K7:K9)</f>
        <v>31143.293955376917</v>
      </c>
      <c r="L10" s="131"/>
      <c r="M10" s="138">
        <f>SUM(M7:M9)</f>
        <v>77646.102654119459</v>
      </c>
      <c r="O10" s="138">
        <f>SUM(O7:O9)</f>
        <v>61008.310241663639</v>
      </c>
      <c r="P10" s="116"/>
      <c r="Q10" s="138">
        <f>SUM(Q7:Q9)</f>
        <v>95194.160518493212</v>
      </c>
      <c r="R10" s="131"/>
      <c r="S10" s="138" t="e">
        <f>SUM(S7:S9)</f>
        <v>#DIV/0!</v>
      </c>
      <c r="U10" s="138" t="e">
        <f>SUM(U7:U9)</f>
        <v>#DIV/0!</v>
      </c>
      <c r="V10" s="116"/>
      <c r="W10" s="138" t="e">
        <f>SUM(W7:W9)</f>
        <v>#DIV/0!</v>
      </c>
      <c r="X10" s="131"/>
    </row>
    <row r="11" spans="2:24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</row>
    <row r="12" spans="2:24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</row>
    <row r="13" spans="2:24" x14ac:dyDescent="0.2">
      <c r="C13" s="19" t="s">
        <v>2</v>
      </c>
      <c r="F13" s="131"/>
      <c r="G13" s="137">
        <f>G50</f>
        <v>7501.536542691756</v>
      </c>
      <c r="I13" s="137">
        <f>I50</f>
        <v>6887.131173259053</v>
      </c>
      <c r="J13" s="116"/>
      <c r="K13" s="137">
        <f>K50</f>
        <v>11540.944193690428</v>
      </c>
      <c r="L13" s="131"/>
      <c r="M13" s="137">
        <f>M50</f>
        <v>13817.100216339544</v>
      </c>
      <c r="O13" s="137">
        <f>O50</f>
        <v>10336.76988636623</v>
      </c>
      <c r="P13" s="116"/>
      <c r="Q13" s="137">
        <f>Q50</f>
        <v>28256.060891705816</v>
      </c>
      <c r="R13" s="131"/>
      <c r="S13" s="137" t="e">
        <f>S50</f>
        <v>#DIV/0!</v>
      </c>
      <c r="U13" s="137" t="e">
        <f>U50</f>
        <v>#DIV/0!</v>
      </c>
      <c r="V13" s="116"/>
      <c r="W13" s="137" t="e">
        <f>W50</f>
        <v>#DIV/0!</v>
      </c>
      <c r="X13" s="131"/>
    </row>
    <row r="14" spans="2:24" x14ac:dyDescent="0.2">
      <c r="C14" s="19" t="s">
        <v>5</v>
      </c>
      <c r="F14" s="131"/>
      <c r="G14" s="171"/>
      <c r="H14" s="172"/>
      <c r="I14" s="171"/>
      <c r="J14" s="173"/>
      <c r="K14" s="171"/>
      <c r="L14" s="172"/>
      <c r="M14" s="171"/>
      <c r="N14" s="172"/>
      <c r="O14" s="171"/>
      <c r="P14" s="173"/>
      <c r="Q14" s="171"/>
      <c r="R14" s="172"/>
      <c r="S14" s="171"/>
      <c r="T14" s="172"/>
      <c r="U14" s="171"/>
      <c r="V14" s="173"/>
      <c r="W14" s="171"/>
      <c r="X14" s="131"/>
    </row>
    <row r="15" spans="2:24" x14ac:dyDescent="0.2">
      <c r="C15" s="19" t="s">
        <v>6</v>
      </c>
      <c r="F15" s="131"/>
      <c r="G15" s="137">
        <f>(G58+G59)</f>
        <v>1559.7600000000002</v>
      </c>
      <c r="I15" s="137">
        <f>(I58+I59)</f>
        <v>1499.7</v>
      </c>
      <c r="J15" s="116"/>
      <c r="K15" s="137">
        <f>(K58+K59)</f>
        <v>4763.63</v>
      </c>
      <c r="L15" s="131"/>
      <c r="M15" s="137">
        <f>(M58+M59)</f>
        <v>15480.68</v>
      </c>
      <c r="O15" s="137">
        <f>(O58+O59)</f>
        <v>14758.36</v>
      </c>
      <c r="P15" s="116"/>
      <c r="Q15" s="137">
        <f>(Q58+Q59)</f>
        <v>5392.91</v>
      </c>
      <c r="R15" s="131"/>
      <c r="S15" s="137">
        <f>(S58+S59)</f>
        <v>0</v>
      </c>
      <c r="U15" s="137">
        <f>(U58+U59)</f>
        <v>0</v>
      </c>
      <c r="V15" s="116"/>
      <c r="W15" s="137">
        <f>(W58+W59)</f>
        <v>0</v>
      </c>
      <c r="X15" s="131"/>
    </row>
    <row r="16" spans="2:24" x14ac:dyDescent="0.2">
      <c r="C16" s="19" t="s">
        <v>194</v>
      </c>
      <c r="F16" s="131"/>
      <c r="G16" s="137"/>
      <c r="I16" s="137"/>
      <c r="J16" s="116"/>
      <c r="K16" s="137"/>
      <c r="L16" s="131"/>
      <c r="M16" s="137"/>
      <c r="O16" s="137"/>
      <c r="P16" s="116"/>
      <c r="Q16" s="137"/>
      <c r="R16" s="131"/>
      <c r="S16" s="137"/>
      <c r="U16" s="137"/>
      <c r="V16" s="116"/>
      <c r="W16" s="137"/>
      <c r="X16" s="131"/>
    </row>
    <row r="17" spans="1:24" x14ac:dyDescent="0.2">
      <c r="C17" s="121" t="s">
        <v>174</v>
      </c>
      <c r="F17" s="131"/>
      <c r="G17" s="138">
        <f>SUM(G13:G15)</f>
        <v>9061.2965426917563</v>
      </c>
      <c r="I17" s="138">
        <f>SUM(I13:I15)</f>
        <v>8386.8311732590537</v>
      </c>
      <c r="J17" s="116"/>
      <c r="K17" s="138">
        <f>SUM(K13:K15)</f>
        <v>16304.574193690427</v>
      </c>
      <c r="L17" s="131"/>
      <c r="M17" s="138">
        <f>SUM(M13:M15)</f>
        <v>29297.780216339546</v>
      </c>
      <c r="O17" s="138">
        <f>SUM(O13:O15)</f>
        <v>25095.12988636623</v>
      </c>
      <c r="P17" s="116"/>
      <c r="Q17" s="138">
        <f>SUM(Q13:Q15)</f>
        <v>33648.970891705816</v>
      </c>
      <c r="R17" s="131"/>
      <c r="S17" s="138" t="e">
        <f>SUM(S13:S15)</f>
        <v>#DIV/0!</v>
      </c>
      <c r="U17" s="138" t="e">
        <f>SUM(U13:U15)</f>
        <v>#DIV/0!</v>
      </c>
      <c r="V17" s="116"/>
      <c r="W17" s="138" t="e">
        <f>SUM(W13:W15)</f>
        <v>#DIV/0!</v>
      </c>
      <c r="X17" s="131"/>
    </row>
    <row r="18" spans="1:24" s="133" customFormat="1" ht="7.15" customHeight="1" thickBot="1" x14ac:dyDescent="0.25">
      <c r="C18" s="134"/>
      <c r="F18" s="135"/>
      <c r="G18" s="140"/>
      <c r="I18" s="140"/>
      <c r="K18" s="140"/>
      <c r="L18" s="135"/>
      <c r="M18" s="140"/>
      <c r="O18" s="140"/>
      <c r="Q18" s="140"/>
      <c r="R18" s="135"/>
      <c r="S18" s="140"/>
      <c r="U18" s="140"/>
      <c r="W18" s="140"/>
      <c r="X18" s="135"/>
    </row>
    <row r="19" spans="1:24" ht="13.5" thickTop="1" x14ac:dyDescent="0.2">
      <c r="C19" s="121" t="s">
        <v>15</v>
      </c>
      <c r="F19" s="131"/>
      <c r="G19" s="137">
        <f>G17+G10</f>
        <v>24790.512453475974</v>
      </c>
      <c r="I19" s="137">
        <f>I17+I10</f>
        <v>22303.428471309191</v>
      </c>
      <c r="K19" s="137">
        <f>K17+K10</f>
        <v>47447.868149067348</v>
      </c>
      <c r="L19" s="131"/>
      <c r="M19" s="137">
        <f>M17+M10</f>
        <v>106943.882870459</v>
      </c>
      <c r="O19" s="137">
        <f>O17+O10</f>
        <v>86103.440128029877</v>
      </c>
      <c r="Q19" s="137">
        <f>Q17+Q10</f>
        <v>128843.13141019903</v>
      </c>
      <c r="R19" s="131"/>
      <c r="S19" s="137" t="e">
        <f>S17+S10</f>
        <v>#DIV/0!</v>
      </c>
      <c r="U19" s="137" t="e">
        <f>U17+U10</f>
        <v>#DIV/0!</v>
      </c>
      <c r="W19" s="137" t="e">
        <f>W17+W10</f>
        <v>#DIV/0!</v>
      </c>
      <c r="X19" s="131"/>
    </row>
    <row r="20" spans="1:24" s="133" customFormat="1" ht="7.15" customHeight="1" x14ac:dyDescent="0.2">
      <c r="C20" s="134"/>
      <c r="F20" s="135"/>
      <c r="G20" s="136"/>
      <c r="I20" s="136"/>
      <c r="K20" s="136"/>
      <c r="L20" s="135"/>
      <c r="M20" s="136"/>
      <c r="O20" s="136"/>
      <c r="Q20" s="136"/>
      <c r="R20" s="135"/>
      <c r="S20" s="136"/>
      <c r="U20" s="136"/>
      <c r="W20" s="136"/>
      <c r="X20" s="135"/>
    </row>
    <row r="21" spans="1:24" x14ac:dyDescent="0.2">
      <c r="C21" s="19" t="s">
        <v>175</v>
      </c>
      <c r="F21" s="131"/>
      <c r="G21" s="141">
        <f>Sales!T46</f>
        <v>2667.8</v>
      </c>
      <c r="I21" s="141">
        <f>Sales!V46</f>
        <v>2471.6</v>
      </c>
      <c r="J21" s="116"/>
      <c r="K21" s="141">
        <f>Sales!X46</f>
        <v>4758.1000000000004</v>
      </c>
      <c r="L21" s="131"/>
      <c r="M21" s="141">
        <f>Sales!Z46</f>
        <v>8981</v>
      </c>
      <c r="O21" s="141">
        <f>Sales!AB46</f>
        <v>7429</v>
      </c>
      <c r="P21" s="116"/>
      <c r="Q21" s="141">
        <f>Sales!F47</f>
        <v>14891</v>
      </c>
      <c r="R21" s="131"/>
      <c r="S21" s="141"/>
      <c r="U21" s="141"/>
      <c r="V21" s="116"/>
      <c r="W21" s="141"/>
      <c r="X21" s="131"/>
    </row>
    <row r="22" spans="1:24" s="133" customFormat="1" ht="7.15" customHeight="1" x14ac:dyDescent="0.2">
      <c r="C22" s="134"/>
      <c r="F22" s="135"/>
      <c r="G22" s="136"/>
      <c r="I22" s="136"/>
      <c r="K22" s="136"/>
      <c r="L22" s="135"/>
      <c r="M22" s="136"/>
      <c r="O22" s="136"/>
      <c r="Q22" s="136"/>
      <c r="R22" s="135"/>
      <c r="S22" s="136"/>
      <c r="U22" s="136"/>
      <c r="W22" s="136"/>
      <c r="X22" s="135"/>
    </row>
    <row r="23" spans="1:24" x14ac:dyDescent="0.2">
      <c r="A23" s="19" t="s">
        <v>16</v>
      </c>
      <c r="F23" s="131"/>
      <c r="G23" s="142">
        <f>G19/G21</f>
        <v>9.2924928605877408</v>
      </c>
      <c r="H23" s="143"/>
      <c r="I23" s="142">
        <f>I19/I21</f>
        <v>9.0238826959496645</v>
      </c>
      <c r="J23" s="143"/>
      <c r="K23" s="142">
        <f>K19/K21</f>
        <v>9.9720199552483866</v>
      </c>
      <c r="L23" s="131"/>
      <c r="M23" s="142">
        <f>M19/M21</f>
        <v>11.907792324959248</v>
      </c>
      <c r="N23" s="143"/>
      <c r="O23" s="142">
        <f>O19/O21</f>
        <v>11.590179045366789</v>
      </c>
      <c r="P23" s="143"/>
      <c r="Q23" s="142">
        <f>Q19/Q21</f>
        <v>8.6524163192666066</v>
      </c>
      <c r="R23" s="131"/>
      <c r="S23" s="142" t="e">
        <f>S19/S21</f>
        <v>#DIV/0!</v>
      </c>
      <c r="T23" s="143"/>
      <c r="U23" s="142" t="e">
        <f>U19/U21</f>
        <v>#DIV/0!</v>
      </c>
      <c r="V23" s="143"/>
      <c r="W23" s="142" t="e">
        <f>W19/W21</f>
        <v>#DIV/0!</v>
      </c>
      <c r="X23" s="131"/>
    </row>
    <row r="24" spans="1:24" ht="15" x14ac:dyDescent="0.25">
      <c r="A24" s="19" t="s">
        <v>17</v>
      </c>
      <c r="F24" s="131"/>
      <c r="G24" s="174">
        <f>((G67*G72)+(G68*G73)+(G69*G74))/G75</f>
        <v>7.625015323487518</v>
      </c>
      <c r="H24" s="19" t="s">
        <v>186</v>
      </c>
      <c r="I24" s="168">
        <v>7.2892000000000001</v>
      </c>
      <c r="K24" s="168">
        <v>7.2892000000000001</v>
      </c>
      <c r="L24" s="131"/>
      <c r="M24" s="185">
        <v>7.2892000000000001</v>
      </c>
      <c r="N24" s="19" t="s">
        <v>186</v>
      </c>
      <c r="O24" s="185">
        <v>7.2892000000000001</v>
      </c>
      <c r="Q24" s="168">
        <v>7.2892000000000001</v>
      </c>
      <c r="R24" s="131"/>
      <c r="S24" s="168">
        <v>8.7695000000000007</v>
      </c>
      <c r="U24" s="168">
        <v>8.7695000000000007</v>
      </c>
      <c r="W24" s="168">
        <v>8.7695000000000007</v>
      </c>
      <c r="X24" s="131"/>
    </row>
    <row r="25" spans="1:24" x14ac:dyDescent="0.2">
      <c r="B25" s="19" t="s">
        <v>18</v>
      </c>
      <c r="F25" s="131"/>
      <c r="G25" s="137">
        <f>G23-G24</f>
        <v>1.6674775371002228</v>
      </c>
      <c r="I25" s="137">
        <f>I23-I24</f>
        <v>1.7346826959496644</v>
      </c>
      <c r="K25" s="137">
        <f>K23-K24</f>
        <v>2.6828199552483865</v>
      </c>
      <c r="L25" s="131"/>
      <c r="M25" s="137">
        <f>M23-M24</f>
        <v>4.6185923249592475</v>
      </c>
      <c r="O25" s="137">
        <f>O23-O24</f>
        <v>4.3009790453667884</v>
      </c>
      <c r="Q25" s="137">
        <f>Q23-Q24</f>
        <v>1.3632163192666065</v>
      </c>
      <c r="R25" s="131"/>
      <c r="S25" s="137" t="e">
        <f>S23-S24</f>
        <v>#DIV/0!</v>
      </c>
      <c r="U25" s="137" t="e">
        <f>U23-U24</f>
        <v>#DIV/0!</v>
      </c>
      <c r="W25" s="137" t="e">
        <f>W23-W24</f>
        <v>#DIV/0!</v>
      </c>
      <c r="X25" s="131"/>
    </row>
    <row r="26" spans="1:24" x14ac:dyDescent="0.2">
      <c r="C26" s="121" t="s">
        <v>19</v>
      </c>
      <c r="F26" s="131"/>
      <c r="G26" s="137">
        <f>G25*G21</f>
        <v>4448.4965734759744</v>
      </c>
      <c r="I26" s="137">
        <f>I25*I21</f>
        <v>4287.4417513091903</v>
      </c>
      <c r="K26" s="137">
        <f>K25*K21</f>
        <v>12765.125629067348</v>
      </c>
      <c r="L26" s="131"/>
      <c r="M26" s="137">
        <f>M25*M21</f>
        <v>41479.577670459003</v>
      </c>
      <c r="O26" s="137">
        <f>O25*O21</f>
        <v>31951.973328029871</v>
      </c>
      <c r="Q26" s="137">
        <f>Q25*Q21</f>
        <v>20299.654210199038</v>
      </c>
      <c r="R26" s="131"/>
      <c r="S26" s="137" t="e">
        <f>S25*S21</f>
        <v>#DIV/0!</v>
      </c>
      <c r="U26" s="137" t="e">
        <f>U25*U21</f>
        <v>#DIV/0!</v>
      </c>
      <c r="W26" s="137" t="e">
        <f>W25*W21</f>
        <v>#DIV/0!</v>
      </c>
      <c r="X26" s="131"/>
    </row>
    <row r="27" spans="1:24" x14ac:dyDescent="0.2">
      <c r="F27" s="131"/>
      <c r="G27" s="139">
        <f>SUM(G19:K19)/SUM(G21:K21)</f>
        <v>9.5520898281235187</v>
      </c>
      <c r="L27" s="131"/>
      <c r="M27" s="139">
        <f>SUM(M19:Q19)/SUM(M21:Q21)</f>
        <v>10.283711523871055</v>
      </c>
      <c r="R27" s="131"/>
      <c r="S27" s="139" t="e">
        <f>SUM(S19:W19)/SUM(S21:W21)</f>
        <v>#DIV/0!</v>
      </c>
      <c r="X27" s="131"/>
    </row>
    <row r="28" spans="1:24" x14ac:dyDescent="0.2">
      <c r="D28" s="121" t="s">
        <v>20</v>
      </c>
      <c r="F28" s="131"/>
      <c r="G28" s="139"/>
      <c r="I28" s="121"/>
      <c r="K28" s="137">
        <f>SUM(G26:K26)</f>
        <v>21501.063953852514</v>
      </c>
      <c r="L28" s="131"/>
      <c r="M28" s="139"/>
      <c r="O28" s="121"/>
      <c r="Q28" s="137">
        <f>SUM(M26:Q26)</f>
        <v>93731.205208687912</v>
      </c>
      <c r="R28" s="131"/>
      <c r="S28" s="139"/>
      <c r="U28" s="121"/>
      <c r="W28" s="137" t="e">
        <f>SUM(S26:W26)</f>
        <v>#DIV/0!</v>
      </c>
      <c r="X28" s="131"/>
    </row>
    <row r="29" spans="1:24" x14ac:dyDescent="0.2">
      <c r="D29" s="121" t="s">
        <v>176</v>
      </c>
      <c r="F29" s="131"/>
      <c r="G29" s="139"/>
      <c r="I29" s="121" t="s">
        <v>177</v>
      </c>
      <c r="K29" s="145">
        <v>127512</v>
      </c>
      <c r="L29" s="131"/>
      <c r="M29" s="139"/>
      <c r="O29" s="121" t="s">
        <v>177</v>
      </c>
      <c r="Q29" s="145">
        <v>126736</v>
      </c>
      <c r="R29" s="131"/>
      <c r="S29" s="139"/>
      <c r="U29" s="121" t="s">
        <v>177</v>
      </c>
      <c r="W29" s="145"/>
      <c r="X29" s="131"/>
    </row>
    <row r="30" spans="1:24" x14ac:dyDescent="0.2">
      <c r="D30" s="146" t="s">
        <v>51</v>
      </c>
      <c r="F30" s="131"/>
      <c r="G30" s="139"/>
      <c r="I30" s="146" t="s">
        <v>51</v>
      </c>
      <c r="K30" s="147">
        <f>(K28/K29)</f>
        <v>0.16861992560584504</v>
      </c>
      <c r="L30" s="131"/>
      <c r="M30" s="139"/>
      <c r="O30" s="146" t="s">
        <v>51</v>
      </c>
      <c r="Q30" s="147">
        <f>(Q28/Q29)</f>
        <v>0.73957837716740238</v>
      </c>
      <c r="R30" s="131"/>
      <c r="S30" s="139"/>
      <c r="U30" s="146" t="s">
        <v>51</v>
      </c>
      <c r="W30" s="147" t="e">
        <f>(W28/W29)</f>
        <v>#DIV/0!</v>
      </c>
      <c r="X30" s="131"/>
    </row>
    <row r="31" spans="1:24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</row>
    <row r="32" spans="1:24" x14ac:dyDescent="0.2">
      <c r="D32" s="146"/>
      <c r="G32" s="139"/>
      <c r="I32" s="146"/>
      <c r="K32" s="148"/>
      <c r="M32" s="139"/>
      <c r="O32" s="146"/>
      <c r="Q32" s="148"/>
      <c r="S32" s="139"/>
      <c r="U32" s="146"/>
      <c r="W32" s="148"/>
    </row>
    <row r="33" spans="1:24" x14ac:dyDescent="0.2">
      <c r="A33" s="149" t="s">
        <v>2</v>
      </c>
      <c r="G33" s="139"/>
      <c r="I33" s="121"/>
      <c r="M33" s="139"/>
      <c r="O33" s="121"/>
      <c r="S33" s="139"/>
      <c r="U33" s="121"/>
    </row>
    <row r="34" spans="1:24" x14ac:dyDescent="0.2">
      <c r="A34" s="19" t="s">
        <v>21</v>
      </c>
      <c r="G34" s="139"/>
      <c r="M34" s="139"/>
      <c r="S34" s="139"/>
    </row>
    <row r="35" spans="1:24" x14ac:dyDescent="0.2">
      <c r="C35" s="19" t="s">
        <v>22</v>
      </c>
      <c r="F35" s="22"/>
      <c r="G35" s="169">
        <v>780</v>
      </c>
      <c r="H35" s="116"/>
      <c r="I35" s="169">
        <v>728</v>
      </c>
      <c r="J35" s="116"/>
      <c r="K35" s="169">
        <v>1509</v>
      </c>
      <c r="L35" s="22"/>
      <c r="M35" s="169">
        <v>7908</v>
      </c>
      <c r="N35" s="116"/>
      <c r="O35" s="169">
        <v>6936</v>
      </c>
      <c r="P35" s="116"/>
      <c r="Q35" s="169">
        <v>19590</v>
      </c>
      <c r="R35" s="22"/>
      <c r="S35" s="165"/>
      <c r="U35" s="165"/>
      <c r="W35" s="165"/>
      <c r="X35" s="22"/>
    </row>
    <row r="36" spans="1:24" x14ac:dyDescent="0.2">
      <c r="C36" s="19" t="s">
        <v>178</v>
      </c>
      <c r="F36" s="22"/>
      <c r="G36" s="152">
        <f>Sales!T9</f>
        <v>2015.8</v>
      </c>
      <c r="H36" s="22"/>
      <c r="I36" s="152">
        <f>Sales!V9</f>
        <v>1794</v>
      </c>
      <c r="J36" s="22"/>
      <c r="K36" s="152">
        <f>Sales!X9</f>
        <v>3506.4</v>
      </c>
      <c r="L36" s="22"/>
      <c r="M36" s="152">
        <f>Sales!Z9</f>
        <v>4416.2</v>
      </c>
      <c r="N36" s="22"/>
      <c r="O36" s="152">
        <f>Sales!AB9</f>
        <v>3163</v>
      </c>
      <c r="P36" s="22"/>
      <c r="Q36" s="152">
        <f>Sales!F10</f>
        <v>9748</v>
      </c>
      <c r="R36" s="22"/>
      <c r="S36" s="152"/>
      <c r="T36" s="22"/>
      <c r="U36" s="152"/>
      <c r="V36" s="22"/>
      <c r="W36" s="152"/>
      <c r="X36" s="22"/>
    </row>
    <row r="37" spans="1:24" x14ac:dyDescent="0.2">
      <c r="C37" s="19" t="s">
        <v>179</v>
      </c>
      <c r="G37" s="153">
        <f>G36+((+G35)/10)</f>
        <v>2093.8000000000002</v>
      </c>
      <c r="I37" s="153">
        <f>I36+((+I35)/10)</f>
        <v>1866.8</v>
      </c>
      <c r="K37" s="153">
        <f>K36+((+K35)/10)</f>
        <v>3657.3</v>
      </c>
      <c r="M37" s="153">
        <f>M36+((+M35)/10)</f>
        <v>5207</v>
      </c>
      <c r="O37" s="153">
        <f>O36+((+O35)/10)</f>
        <v>3856.6</v>
      </c>
      <c r="Q37" s="153">
        <f>Q36+((+Q35)/10)</f>
        <v>11707</v>
      </c>
      <c r="S37" s="153">
        <f>S36+((+S35)/10)</f>
        <v>0</v>
      </c>
      <c r="U37" s="153">
        <f>U36+((+U35)/10)</f>
        <v>0</v>
      </c>
      <c r="W37" s="153">
        <f>W36+((+W35)/10)</f>
        <v>0</v>
      </c>
    </row>
    <row r="38" spans="1:24" x14ac:dyDescent="0.2">
      <c r="C38" s="19" t="s">
        <v>23</v>
      </c>
      <c r="G38" s="21">
        <f>G36/G37</f>
        <v>0.96274715827681712</v>
      </c>
      <c r="I38" s="21">
        <f>I36/I37</f>
        <v>0.96100278551532037</v>
      </c>
      <c r="K38" s="21">
        <f>K36/K37</f>
        <v>0.95874005413829877</v>
      </c>
      <c r="M38" s="21">
        <f>M36/M37</f>
        <v>0.84812752064528518</v>
      </c>
      <c r="O38" s="21">
        <f>O36/O37</f>
        <v>0.82015246590260849</v>
      </c>
      <c r="Q38" s="21">
        <f>Q36/Q37</f>
        <v>0.83266421798923718</v>
      </c>
      <c r="S38" s="21" t="e">
        <f>S36/S37</f>
        <v>#DIV/0!</v>
      </c>
      <c r="U38" s="21" t="e">
        <f>U36/U37</f>
        <v>#DIV/0!</v>
      </c>
      <c r="W38" s="21" t="e">
        <f>W36/W37</f>
        <v>#DIV/0!</v>
      </c>
    </row>
    <row r="39" spans="1:24" ht="6.75" customHeight="1" x14ac:dyDescent="0.2">
      <c r="G39" s="139"/>
      <c r="M39" s="139"/>
      <c r="S39" s="139"/>
    </row>
    <row r="40" spans="1:24" s="22" customFormat="1" ht="13.7" customHeight="1" x14ac:dyDescent="0.2">
      <c r="A40" s="19" t="s">
        <v>24</v>
      </c>
      <c r="G40" s="154"/>
      <c r="I40" s="154"/>
      <c r="K40" s="154"/>
      <c r="M40" s="154"/>
      <c r="O40" s="154"/>
      <c r="Q40" s="154"/>
      <c r="S40" s="154"/>
      <c r="U40" s="154"/>
      <c r="W40" s="154"/>
    </row>
    <row r="41" spans="1:24" x14ac:dyDescent="0.2">
      <c r="B41" s="19" t="s">
        <v>63</v>
      </c>
      <c r="G41" s="167">
        <v>5617.2</v>
      </c>
      <c r="H41" s="23"/>
      <c r="I41" s="167">
        <v>1315.44</v>
      </c>
      <c r="J41" s="23"/>
      <c r="K41" s="167">
        <v>3134.7</v>
      </c>
      <c r="M41" s="167">
        <v>38031.19</v>
      </c>
      <c r="N41" s="23"/>
      <c r="O41" s="167">
        <v>13636.6</v>
      </c>
      <c r="P41" s="23"/>
      <c r="Q41" s="167">
        <v>68452.86</v>
      </c>
      <c r="S41" s="165"/>
      <c r="U41" s="165"/>
      <c r="W41" s="165"/>
    </row>
    <row r="42" spans="1:24" x14ac:dyDescent="0.2">
      <c r="B42" s="19" t="s">
        <v>64</v>
      </c>
      <c r="G42" s="167">
        <v>6435.95</v>
      </c>
      <c r="H42" s="23"/>
      <c r="I42" s="167">
        <v>9439.5</v>
      </c>
      <c r="J42" s="23"/>
      <c r="K42" s="167">
        <v>20460</v>
      </c>
      <c r="M42" s="167">
        <v>17186.96</v>
      </c>
      <c r="N42" s="23"/>
      <c r="O42" s="167">
        <v>29065.68</v>
      </c>
      <c r="P42" s="23"/>
      <c r="Q42" s="167">
        <v>24953.279999999999</v>
      </c>
      <c r="S42" s="165"/>
      <c r="U42" s="165"/>
      <c r="W42" s="165"/>
    </row>
    <row r="43" spans="1:24" x14ac:dyDescent="0.2">
      <c r="C43" s="19" t="s">
        <v>25</v>
      </c>
      <c r="G43" s="157">
        <f>SUM(G41:G42)</f>
        <v>12053.15</v>
      </c>
      <c r="I43" s="157">
        <f>SUM(I41:I42)</f>
        <v>10754.94</v>
      </c>
      <c r="K43" s="157">
        <f>SUM(K41:K42)</f>
        <v>23594.7</v>
      </c>
      <c r="M43" s="157">
        <f>SUM(M41:M42)</f>
        <v>55218.15</v>
      </c>
      <c r="O43" s="157">
        <f>SUM(O41:O42)</f>
        <v>42702.28</v>
      </c>
      <c r="Q43" s="157">
        <f>SUM(Q41:Q42)</f>
        <v>93406.14</v>
      </c>
      <c r="S43" s="157">
        <f>SUM(S41:S42)</f>
        <v>0</v>
      </c>
      <c r="U43" s="157">
        <f>SUM(U41:U42)</f>
        <v>0</v>
      </c>
      <c r="W43" s="157">
        <f>SUM(W41:W42)</f>
        <v>0</v>
      </c>
    </row>
    <row r="44" spans="1:24" x14ac:dyDescent="0.2">
      <c r="C44" s="121" t="s">
        <v>21</v>
      </c>
      <c r="G44" s="138">
        <f>G43*G38</f>
        <v>11604.135910784218</v>
      </c>
      <c r="I44" s="138">
        <f>I43*I38</f>
        <v>10335.52729805014</v>
      </c>
      <c r="K44" s="138">
        <f>K43*K38</f>
        <v>22621.183955376917</v>
      </c>
      <c r="M44" s="138">
        <f>M43*M38</f>
        <v>46832.032654119452</v>
      </c>
      <c r="O44" s="138">
        <f>O43*O38</f>
        <v>35022.380241663639</v>
      </c>
      <c r="Q44" s="138">
        <f>Q43*Q38</f>
        <v>77775.950518493206</v>
      </c>
      <c r="S44" s="138" t="e">
        <f>S43*S38</f>
        <v>#DIV/0!</v>
      </c>
      <c r="U44" s="138" t="e">
        <f>U43*U38</f>
        <v>#DIV/0!</v>
      </c>
      <c r="W44" s="138" t="e">
        <f>W43*W38</f>
        <v>#DIV/0!</v>
      </c>
    </row>
    <row r="45" spans="1:24" ht="6.75" customHeight="1" x14ac:dyDescent="0.2">
      <c r="G45" s="139"/>
      <c r="M45" s="139"/>
      <c r="S45" s="139"/>
    </row>
    <row r="46" spans="1:24" x14ac:dyDescent="0.2">
      <c r="A46" s="19" t="s">
        <v>180</v>
      </c>
      <c r="G46" s="139"/>
      <c r="M46" s="139"/>
      <c r="S46" s="139"/>
    </row>
    <row r="47" spans="1:24" x14ac:dyDescent="0.2">
      <c r="B47" s="19" t="s">
        <v>181</v>
      </c>
      <c r="C47" s="158"/>
      <c r="G47" s="166">
        <v>2102.5300000000002</v>
      </c>
      <c r="H47" s="23"/>
      <c r="I47" s="166">
        <v>2094.14</v>
      </c>
      <c r="J47" s="23"/>
      <c r="K47" s="166">
        <v>2100</v>
      </c>
      <c r="M47" s="166">
        <v>2142.84</v>
      </c>
      <c r="N47" s="23"/>
      <c r="O47" s="166">
        <v>2124.3200000000002</v>
      </c>
      <c r="P47" s="23"/>
      <c r="Q47" s="166">
        <v>2124.2600000000002</v>
      </c>
      <c r="S47" s="165"/>
      <c r="U47" s="165"/>
      <c r="W47" s="165"/>
    </row>
    <row r="48" spans="1:24" x14ac:dyDescent="0.2">
      <c r="C48" s="121" t="s">
        <v>21</v>
      </c>
      <c r="G48" s="138">
        <f>G47*G38</f>
        <v>2024.2047826917565</v>
      </c>
      <c r="I48" s="138">
        <f>I47*I38</f>
        <v>2012.474373259053</v>
      </c>
      <c r="K48" s="138">
        <f>K47*K38</f>
        <v>2013.3541136904273</v>
      </c>
      <c r="M48" s="138">
        <f>M47*M38</f>
        <v>1817.401576339543</v>
      </c>
      <c r="O48" s="138">
        <f>O47*O38</f>
        <v>1742.2662863662295</v>
      </c>
      <c r="Q48" s="138">
        <f>Q47*Q38</f>
        <v>1768.7952917058171</v>
      </c>
      <c r="S48" s="138" t="e">
        <f>S47*S38</f>
        <v>#DIV/0!</v>
      </c>
      <c r="U48" s="138" t="e">
        <f>U47*U38</f>
        <v>#DIV/0!</v>
      </c>
      <c r="W48" s="138" t="e">
        <f>W47*W38</f>
        <v>#DIV/0!</v>
      </c>
    </row>
    <row r="49" spans="1:23" x14ac:dyDescent="0.2">
      <c r="B49" s="19" t="s">
        <v>182</v>
      </c>
      <c r="G49" s="137">
        <f>2.7172*G36</f>
        <v>5477.33176</v>
      </c>
      <c r="I49" s="137">
        <f>2.7172*I36</f>
        <v>4874.6567999999997</v>
      </c>
      <c r="K49" s="137">
        <f>2.7172*K36</f>
        <v>9527.5900799999999</v>
      </c>
      <c r="M49" s="137">
        <f>2.7172*M36</f>
        <v>11999.698640000001</v>
      </c>
      <c r="O49" s="137">
        <f>2.7172*O36</f>
        <v>8594.5036</v>
      </c>
      <c r="Q49" s="137">
        <f>2.7172*Q36</f>
        <v>26487.265599999999</v>
      </c>
      <c r="S49" s="137">
        <f>2.7172*S36</f>
        <v>0</v>
      </c>
      <c r="U49" s="137">
        <f>2.7172*U36</f>
        <v>0</v>
      </c>
      <c r="W49" s="137">
        <f>2.7172*W36</f>
        <v>0</v>
      </c>
    </row>
    <row r="50" spans="1:23" x14ac:dyDescent="0.2">
      <c r="C50" s="121"/>
      <c r="G50" s="138">
        <f>SUM(G48:G49)</f>
        <v>7501.536542691756</v>
      </c>
      <c r="I50" s="138">
        <f>SUM(I48:I49)</f>
        <v>6887.131173259053</v>
      </c>
      <c r="K50" s="138">
        <f>SUM(K48:K49)</f>
        <v>11540.944193690428</v>
      </c>
      <c r="M50" s="138">
        <f>SUM(M48:M49)</f>
        <v>13817.100216339544</v>
      </c>
      <c r="O50" s="138">
        <f>SUM(O48:O49)</f>
        <v>10336.76988636623</v>
      </c>
      <c r="Q50" s="138">
        <f>SUM(Q48:Q49)</f>
        <v>28256.060891705816</v>
      </c>
      <c r="S50" s="138" t="e">
        <f>SUM(S48:S49)</f>
        <v>#DIV/0!</v>
      </c>
      <c r="U50" s="138" t="e">
        <f>SUM(U48:U49)</f>
        <v>#DIV/0!</v>
      </c>
      <c r="W50" s="138" t="e">
        <f>SUM(W48:W49)</f>
        <v>#DIV/0!</v>
      </c>
    </row>
    <row r="52" spans="1:23" x14ac:dyDescent="0.2">
      <c r="A52" s="19" t="s">
        <v>5</v>
      </c>
    </row>
    <row r="53" spans="1:23" x14ac:dyDescent="0.2">
      <c r="B53" s="19" t="s">
        <v>70</v>
      </c>
      <c r="G53" s="165">
        <v>2519.9499999999998</v>
      </c>
      <c r="I53" s="165">
        <v>2081.37</v>
      </c>
      <c r="K53" s="165">
        <v>3758.48</v>
      </c>
      <c r="M53" s="165">
        <v>3559.57</v>
      </c>
      <c r="O53" s="186"/>
      <c r="P53" s="172"/>
      <c r="Q53" s="186"/>
      <c r="S53" s="165"/>
      <c r="U53" s="165"/>
      <c r="W53" s="165"/>
    </row>
    <row r="54" spans="1:23" x14ac:dyDescent="0.2">
      <c r="B54" s="19" t="s">
        <v>185</v>
      </c>
      <c r="G54" s="165">
        <v>45.37</v>
      </c>
      <c r="I54" s="165">
        <v>0</v>
      </c>
      <c r="K54" s="165">
        <v>0</v>
      </c>
      <c r="M54" s="165">
        <v>11773.82</v>
      </c>
      <c r="O54" s="165">
        <v>11227.57</v>
      </c>
      <c r="Q54" s="165">
        <v>12025.3</v>
      </c>
      <c r="S54" s="165"/>
      <c r="U54" s="165"/>
      <c r="W54" s="165"/>
    </row>
    <row r="55" spans="1:23" ht="6.75" customHeight="1" x14ac:dyDescent="0.2">
      <c r="G55" s="139"/>
      <c r="M55" s="139"/>
      <c r="S55" s="139"/>
    </row>
    <row r="57" spans="1:23" x14ac:dyDescent="0.2">
      <c r="A57" s="19" t="s">
        <v>6</v>
      </c>
    </row>
    <row r="58" spans="1:23" x14ac:dyDescent="0.2">
      <c r="B58" s="19" t="s">
        <v>27</v>
      </c>
      <c r="G58" s="165">
        <v>841.32</v>
      </c>
      <c r="I58" s="165">
        <v>698.87</v>
      </c>
      <c r="K58" s="165">
        <v>3201.48</v>
      </c>
      <c r="M58" s="165">
        <v>10350.92</v>
      </c>
      <c r="O58" s="165">
        <v>10105.58</v>
      </c>
      <c r="Q58" s="186"/>
      <c r="S58" s="165"/>
      <c r="U58" s="165"/>
      <c r="W58" s="165"/>
    </row>
    <row r="59" spans="1:23" x14ac:dyDescent="0.2">
      <c r="B59" s="19" t="s">
        <v>185</v>
      </c>
      <c r="G59" s="165">
        <v>718.44</v>
      </c>
      <c r="I59" s="165">
        <v>800.83</v>
      </c>
      <c r="K59" s="165">
        <v>1562.15</v>
      </c>
      <c r="M59" s="165">
        <v>5129.76</v>
      </c>
      <c r="O59" s="165">
        <v>4652.78</v>
      </c>
      <c r="Q59" s="165">
        <v>5392.91</v>
      </c>
      <c r="S59" s="165"/>
      <c r="U59" s="165"/>
      <c r="W59" s="165"/>
    </row>
    <row r="60" spans="1:23" x14ac:dyDescent="0.2">
      <c r="B60" s="19" t="s">
        <v>26</v>
      </c>
      <c r="G60" s="165">
        <v>930.62</v>
      </c>
      <c r="I60" s="165">
        <v>947.21</v>
      </c>
      <c r="K60" s="165">
        <v>902.97</v>
      </c>
      <c r="M60" s="192">
        <v>773.41</v>
      </c>
      <c r="O60" s="165">
        <v>755.24</v>
      </c>
      <c r="Q60" s="193"/>
      <c r="S60" s="186"/>
      <c r="U60" s="186"/>
      <c r="W60" s="186"/>
    </row>
    <row r="61" spans="1:23" x14ac:dyDescent="0.2">
      <c r="B61" s="19" t="s">
        <v>195</v>
      </c>
      <c r="C61" s="158"/>
      <c r="M61" s="186"/>
      <c r="N61" s="172"/>
      <c r="O61" s="186"/>
      <c r="Q61" s="165">
        <v>7592.36</v>
      </c>
      <c r="S61" s="165"/>
      <c r="U61" s="165"/>
      <c r="W61" s="165"/>
    </row>
    <row r="62" spans="1:23" x14ac:dyDescent="0.2">
      <c r="B62" s="19" t="s">
        <v>194</v>
      </c>
      <c r="M62" s="165">
        <v>841.99</v>
      </c>
      <c r="O62" s="165">
        <v>118.48</v>
      </c>
      <c r="Q62" s="165">
        <v>837.35</v>
      </c>
      <c r="S62" s="165"/>
      <c r="U62" s="165"/>
      <c r="W62" s="165"/>
    </row>
    <row r="64" spans="1:23" x14ac:dyDescent="0.2">
      <c r="A64" s="19" t="s">
        <v>187</v>
      </c>
      <c r="C64" s="19" t="s">
        <v>188</v>
      </c>
    </row>
    <row r="65" spans="3:13" x14ac:dyDescent="0.2">
      <c r="C65" s="19" t="s">
        <v>189</v>
      </c>
    </row>
    <row r="66" spans="3:13" x14ac:dyDescent="0.2">
      <c r="C66" s="19" t="s">
        <v>28</v>
      </c>
    </row>
    <row r="67" spans="3:13" x14ac:dyDescent="0.2">
      <c r="C67" s="121" t="s">
        <v>8</v>
      </c>
      <c r="G67" s="175">
        <v>8.4405999999999999</v>
      </c>
      <c r="M67"/>
    </row>
    <row r="68" spans="3:13" x14ac:dyDescent="0.2">
      <c r="C68" s="121" t="s">
        <v>9</v>
      </c>
      <c r="G68" s="175">
        <v>5.2417999999999996</v>
      </c>
      <c r="M68"/>
    </row>
    <row r="69" spans="3:13" x14ac:dyDescent="0.2">
      <c r="C69" s="121" t="s">
        <v>10</v>
      </c>
      <c r="G69" s="175">
        <v>4.7462</v>
      </c>
      <c r="M69"/>
    </row>
    <row r="71" spans="3:13" x14ac:dyDescent="0.2">
      <c r="C71" s="19" t="s">
        <v>29</v>
      </c>
    </row>
    <row r="72" spans="3:13" x14ac:dyDescent="0.2">
      <c r="C72" s="121" t="s">
        <v>8</v>
      </c>
      <c r="G72" s="176">
        <f>Sales!T9</f>
        <v>2015.8</v>
      </c>
      <c r="M72"/>
    </row>
    <row r="73" spans="3:13" x14ac:dyDescent="0.2">
      <c r="C73" s="121" t="s">
        <v>9</v>
      </c>
      <c r="G73" s="176">
        <f>Sales!T21</f>
        <v>470</v>
      </c>
      <c r="M73"/>
    </row>
    <row r="74" spans="3:13" x14ac:dyDescent="0.2">
      <c r="C74" s="121" t="s">
        <v>10</v>
      </c>
      <c r="G74" s="176">
        <f>Sales!T33</f>
        <v>182</v>
      </c>
      <c r="M74"/>
    </row>
    <row r="75" spans="3:13" x14ac:dyDescent="0.2">
      <c r="G75" s="177">
        <f>SUM(G72:G74)</f>
        <v>2667.8</v>
      </c>
      <c r="M75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6144-7539-412D-8696-5C176C985E7B}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1"/>
      <c r="G1" s="124"/>
      <c r="H1" s="124"/>
      <c r="I1" s="125" t="s">
        <v>167</v>
      </c>
      <c r="J1" s="124"/>
      <c r="K1" s="124"/>
      <c r="L1" s="131"/>
      <c r="M1" s="124"/>
      <c r="N1" s="124"/>
      <c r="O1" s="125" t="s">
        <v>168</v>
      </c>
      <c r="P1" s="124"/>
      <c r="Q1" s="124"/>
      <c r="R1" s="131"/>
      <c r="S1" s="124"/>
      <c r="T1" s="124"/>
      <c r="U1" s="125" t="s">
        <v>169</v>
      </c>
      <c r="V1" s="124"/>
      <c r="W1" s="124"/>
      <c r="X1" s="131"/>
      <c r="Y1" s="124"/>
      <c r="Z1" s="124"/>
      <c r="AA1" s="125" t="s">
        <v>170</v>
      </c>
      <c r="AB1" s="124"/>
      <c r="AC1" s="124"/>
      <c r="AD1" s="131"/>
      <c r="AE1" s="124"/>
      <c r="AF1" s="124"/>
      <c r="AG1" s="125" t="s">
        <v>171</v>
      </c>
      <c r="AH1" s="124"/>
      <c r="AI1" s="124"/>
      <c r="AJ1" s="131"/>
    </row>
    <row r="2" spans="2:36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J2" s="131"/>
    </row>
    <row r="3" spans="2:36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135"/>
    </row>
    <row r="4" spans="2:36" s="133" customFormat="1" x14ac:dyDescent="0.2">
      <c r="C4" s="134" t="s">
        <v>172</v>
      </c>
      <c r="F4" s="135"/>
      <c r="G4" s="136">
        <v>44377</v>
      </c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135"/>
    </row>
    <row r="5" spans="2:36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135"/>
    </row>
    <row r="6" spans="2:36" x14ac:dyDescent="0.2">
      <c r="B6" s="19" t="s">
        <v>13</v>
      </c>
      <c r="F6" s="131"/>
      <c r="L6" s="131"/>
      <c r="R6" s="131"/>
      <c r="X6" s="131"/>
      <c r="AD6" s="131"/>
      <c r="AJ6" s="131"/>
    </row>
    <row r="7" spans="2:36" x14ac:dyDescent="0.2">
      <c r="C7" s="19" t="s">
        <v>2</v>
      </c>
      <c r="F7" s="131"/>
      <c r="G7" s="137">
        <f>G43</f>
        <v>21782.178217821784</v>
      </c>
      <c r="I7" s="137">
        <f>I43</f>
        <v>21782.178217821784</v>
      </c>
      <c r="J7" s="116"/>
      <c r="K7" s="137">
        <f>K43</f>
        <v>21782.178217821784</v>
      </c>
      <c r="L7" s="131"/>
      <c r="M7" s="137">
        <f>M43</f>
        <v>21782.178217821784</v>
      </c>
      <c r="O7" s="137">
        <f>O43</f>
        <v>21782.178217821784</v>
      </c>
      <c r="P7" s="116"/>
      <c r="Q7" s="137">
        <f>Q43</f>
        <v>21782.178217821784</v>
      </c>
      <c r="R7" s="131"/>
      <c r="S7" s="137">
        <f>S43</f>
        <v>21782.178217821784</v>
      </c>
      <c r="U7" s="137">
        <f>U43</f>
        <v>21782.178217821784</v>
      </c>
      <c r="V7" s="116"/>
      <c r="W7" s="137">
        <f>W43</f>
        <v>21782.178217821784</v>
      </c>
      <c r="X7" s="131"/>
      <c r="Y7" s="137">
        <f>Y43</f>
        <v>21782.178217821784</v>
      </c>
      <c r="AA7" s="137">
        <f>AA43</f>
        <v>21782.178217821784</v>
      </c>
      <c r="AB7" s="116"/>
      <c r="AC7" s="137">
        <f>AC43</f>
        <v>21782.178217821784</v>
      </c>
      <c r="AD7" s="131"/>
      <c r="AE7" s="137">
        <f>AE43</f>
        <v>21782.178217821784</v>
      </c>
      <c r="AG7" s="137">
        <f>AG43</f>
        <v>21782.178217821784</v>
      </c>
      <c r="AH7" s="116"/>
      <c r="AI7" s="137">
        <f>AI43</f>
        <v>21782.178217821784</v>
      </c>
      <c r="AJ7" s="131"/>
    </row>
    <row r="8" spans="2:36" x14ac:dyDescent="0.2">
      <c r="C8" s="19" t="s">
        <v>5</v>
      </c>
      <c r="F8" s="131"/>
      <c r="G8" s="137">
        <f>G55</f>
        <v>9000</v>
      </c>
      <c r="I8" s="137">
        <f>I55</f>
        <v>9000</v>
      </c>
      <c r="J8" s="116"/>
      <c r="K8" s="137">
        <f>K55</f>
        <v>9000</v>
      </c>
      <c r="L8" s="131"/>
      <c r="M8" s="137">
        <f>M55</f>
        <v>9000</v>
      </c>
      <c r="O8" s="137">
        <f>O55</f>
        <v>9000</v>
      </c>
      <c r="P8" s="116"/>
      <c r="Q8" s="137">
        <f>Q55</f>
        <v>9000</v>
      </c>
      <c r="R8" s="131"/>
      <c r="S8" s="137">
        <f>S55</f>
        <v>9000</v>
      </c>
      <c r="U8" s="137">
        <f>U55</f>
        <v>9000</v>
      </c>
      <c r="V8" s="116"/>
      <c r="W8" s="137">
        <f>W55</f>
        <v>9000</v>
      </c>
      <c r="X8" s="131"/>
      <c r="Y8" s="137">
        <f>Y55</f>
        <v>9000</v>
      </c>
      <c r="AA8" s="137">
        <f>AA55</f>
        <v>9000</v>
      </c>
      <c r="AB8" s="116"/>
      <c r="AC8" s="137">
        <f>AC55</f>
        <v>9000</v>
      </c>
      <c r="AD8" s="131"/>
      <c r="AE8" s="137">
        <f>AE55</f>
        <v>9000</v>
      </c>
      <c r="AG8" s="137">
        <f>AG55</f>
        <v>9000</v>
      </c>
      <c r="AH8" s="116"/>
      <c r="AI8" s="137">
        <f>AI55</f>
        <v>9000</v>
      </c>
      <c r="AJ8" s="131"/>
    </row>
    <row r="9" spans="2:36" x14ac:dyDescent="0.2">
      <c r="C9" s="19" t="s">
        <v>6</v>
      </c>
      <c r="F9" s="131"/>
      <c r="G9" s="137">
        <f>G65</f>
        <v>21000</v>
      </c>
      <c r="I9" s="137">
        <f>I65</f>
        <v>21000</v>
      </c>
      <c r="J9" s="116"/>
      <c r="K9" s="137">
        <f>K65</f>
        <v>21000</v>
      </c>
      <c r="L9" s="131"/>
      <c r="M9" s="137">
        <f>M65</f>
        <v>21000</v>
      </c>
      <c r="O9" s="137">
        <f>O65</f>
        <v>21000</v>
      </c>
      <c r="P9" s="116"/>
      <c r="Q9" s="137">
        <f>Q65</f>
        <v>21000</v>
      </c>
      <c r="R9" s="131"/>
      <c r="S9" s="137">
        <f>S65</f>
        <v>21000</v>
      </c>
      <c r="U9" s="137">
        <f>U65</f>
        <v>21000</v>
      </c>
      <c r="V9" s="116"/>
      <c r="W9" s="137">
        <f>W65</f>
        <v>21000</v>
      </c>
      <c r="X9" s="131"/>
      <c r="Y9" s="137">
        <f>Y65</f>
        <v>21000</v>
      </c>
      <c r="AA9" s="137">
        <f>AA65</f>
        <v>21000</v>
      </c>
      <c r="AB9" s="116"/>
      <c r="AC9" s="137">
        <f>AC65</f>
        <v>21000</v>
      </c>
      <c r="AD9" s="131"/>
      <c r="AE9" s="137">
        <f>AE65</f>
        <v>21000</v>
      </c>
      <c r="AG9" s="137">
        <f>AG65</f>
        <v>21000</v>
      </c>
      <c r="AH9" s="116"/>
      <c r="AI9" s="137">
        <f>AI65</f>
        <v>21000</v>
      </c>
      <c r="AJ9" s="131"/>
    </row>
    <row r="10" spans="2:36" x14ac:dyDescent="0.2">
      <c r="C10" s="121" t="s">
        <v>173</v>
      </c>
      <c r="F10" s="131"/>
      <c r="G10" s="138">
        <f>SUM(G7:G9)</f>
        <v>51782.178217821784</v>
      </c>
      <c r="I10" s="138">
        <f>SUM(I7:I9)</f>
        <v>51782.178217821784</v>
      </c>
      <c r="J10" s="116"/>
      <c r="K10" s="138">
        <f>SUM(K7:K9)</f>
        <v>51782.178217821784</v>
      </c>
      <c r="L10" s="131"/>
      <c r="M10" s="138">
        <f>SUM(M7:M9)</f>
        <v>51782.178217821784</v>
      </c>
      <c r="O10" s="138">
        <f>SUM(O7:O9)</f>
        <v>51782.178217821784</v>
      </c>
      <c r="P10" s="116"/>
      <c r="Q10" s="138">
        <f>SUM(Q7:Q9)</f>
        <v>51782.178217821784</v>
      </c>
      <c r="R10" s="131"/>
      <c r="S10" s="138">
        <f>SUM(S7:S9)</f>
        <v>51782.178217821784</v>
      </c>
      <c r="U10" s="138">
        <f>SUM(U7:U9)</f>
        <v>51782.178217821784</v>
      </c>
      <c r="V10" s="116"/>
      <c r="W10" s="138">
        <f>SUM(W7:W9)</f>
        <v>51782.178217821784</v>
      </c>
      <c r="X10" s="131"/>
      <c r="Y10" s="138">
        <f>SUM(Y7:Y9)</f>
        <v>51782.178217821784</v>
      </c>
      <c r="AA10" s="138">
        <f>SUM(AA7:AA9)</f>
        <v>51782.178217821784</v>
      </c>
      <c r="AB10" s="116"/>
      <c r="AC10" s="138">
        <f>SUM(AC7:AC9)</f>
        <v>51782.178217821784</v>
      </c>
      <c r="AD10" s="131"/>
      <c r="AE10" s="138">
        <f>SUM(AE7:AE9)</f>
        <v>51782.178217821784</v>
      </c>
      <c r="AG10" s="138">
        <f>SUM(AG7:AG9)</f>
        <v>51782.178217821784</v>
      </c>
      <c r="AH10" s="116"/>
      <c r="AI10" s="138">
        <f>SUM(AI7:AI9)</f>
        <v>51782.178217821784</v>
      </c>
      <c r="AJ10" s="131"/>
    </row>
    <row r="11" spans="2:36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135"/>
    </row>
    <row r="12" spans="2:36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J12" s="131"/>
    </row>
    <row r="13" spans="2:36" x14ac:dyDescent="0.2">
      <c r="C13" s="19" t="s">
        <v>2</v>
      </c>
      <c r="F13" s="131"/>
      <c r="G13" s="137">
        <f>G49</f>
        <v>30142.297029702971</v>
      </c>
      <c r="I13" s="137">
        <f>I49</f>
        <v>30142.297029702971</v>
      </c>
      <c r="J13" s="116"/>
      <c r="K13" s="137">
        <f>K49</f>
        <v>30142.297029702971</v>
      </c>
      <c r="L13" s="131"/>
      <c r="M13" s="137">
        <f>M49</f>
        <v>30142.297029702971</v>
      </c>
      <c r="O13" s="137">
        <f>O49</f>
        <v>30142.297029702971</v>
      </c>
      <c r="P13" s="116"/>
      <c r="Q13" s="137">
        <f>Q49</f>
        <v>30142.297029702971</v>
      </c>
      <c r="R13" s="131"/>
      <c r="S13" s="137">
        <f>S49</f>
        <v>30142.297029702971</v>
      </c>
      <c r="U13" s="137">
        <f>U49</f>
        <v>30142.297029702971</v>
      </c>
      <c r="V13" s="116"/>
      <c r="W13" s="137">
        <f>W49</f>
        <v>30142.297029702971</v>
      </c>
      <c r="X13" s="131"/>
      <c r="Y13" s="137">
        <f>Y49</f>
        <v>30142.297029702971</v>
      </c>
      <c r="AA13" s="137">
        <f>AA49</f>
        <v>30142.297029702971</v>
      </c>
      <c r="AB13" s="116"/>
      <c r="AC13" s="137">
        <f>AC49</f>
        <v>30142.297029702971</v>
      </c>
      <c r="AD13" s="131"/>
      <c r="AE13" s="137">
        <f>AE49</f>
        <v>30142.297029702971</v>
      </c>
      <c r="AG13" s="137">
        <f>AG49</f>
        <v>30142.297029702971</v>
      </c>
      <c r="AH13" s="116"/>
      <c r="AI13" s="137">
        <f>AI49</f>
        <v>30142.297029702971</v>
      </c>
      <c r="AJ13" s="131"/>
    </row>
    <row r="14" spans="2:36" x14ac:dyDescent="0.2">
      <c r="C14" s="19" t="s">
        <v>5</v>
      </c>
      <c r="F14" s="131"/>
      <c r="G14" s="137">
        <v>0</v>
      </c>
      <c r="I14" s="137">
        <v>0</v>
      </c>
      <c r="J14" s="116"/>
      <c r="K14" s="137">
        <v>0</v>
      </c>
      <c r="L14" s="131"/>
      <c r="M14" s="137">
        <v>0</v>
      </c>
      <c r="O14" s="137">
        <v>0</v>
      </c>
      <c r="P14" s="116"/>
      <c r="Q14" s="137">
        <v>0</v>
      </c>
      <c r="R14" s="131"/>
      <c r="S14" s="137">
        <v>0</v>
      </c>
      <c r="U14" s="137">
        <v>0</v>
      </c>
      <c r="V14" s="116"/>
      <c r="W14" s="137">
        <v>0</v>
      </c>
      <c r="X14" s="131"/>
      <c r="Y14" s="137">
        <v>0</v>
      </c>
      <c r="AA14" s="137">
        <v>0</v>
      </c>
      <c r="AB14" s="116"/>
      <c r="AC14" s="137">
        <v>0</v>
      </c>
      <c r="AD14" s="131"/>
      <c r="AE14" s="137">
        <v>0</v>
      </c>
      <c r="AG14" s="137">
        <v>0</v>
      </c>
      <c r="AH14" s="116"/>
      <c r="AI14" s="137">
        <v>0</v>
      </c>
      <c r="AJ14" s="131"/>
    </row>
    <row r="15" spans="2:36" x14ac:dyDescent="0.2">
      <c r="C15" s="19" t="s">
        <v>6</v>
      </c>
      <c r="F15" s="131"/>
      <c r="G15" s="137">
        <v>0</v>
      </c>
      <c r="I15" s="137">
        <v>0</v>
      </c>
      <c r="J15" s="116"/>
      <c r="K15" s="137">
        <v>0</v>
      </c>
      <c r="L15" s="131"/>
      <c r="M15" s="137">
        <v>0</v>
      </c>
      <c r="O15" s="137">
        <v>0</v>
      </c>
      <c r="P15" s="116"/>
      <c r="Q15" s="137">
        <v>0</v>
      </c>
      <c r="R15" s="131"/>
      <c r="S15" s="137">
        <v>0</v>
      </c>
      <c r="U15" s="137">
        <v>0</v>
      </c>
      <c r="V15" s="116"/>
      <c r="W15" s="137">
        <v>0</v>
      </c>
      <c r="X15" s="131"/>
      <c r="Y15" s="137">
        <v>0</v>
      </c>
      <c r="AA15" s="137">
        <v>0</v>
      </c>
      <c r="AB15" s="116"/>
      <c r="AC15" s="137">
        <v>0</v>
      </c>
      <c r="AD15" s="131"/>
      <c r="AE15" s="137">
        <v>0</v>
      </c>
      <c r="AG15" s="137">
        <v>0</v>
      </c>
      <c r="AH15" s="116"/>
      <c r="AI15" s="137">
        <v>0</v>
      </c>
      <c r="AJ15" s="131"/>
    </row>
    <row r="16" spans="2:36" x14ac:dyDescent="0.2">
      <c r="C16" s="121" t="s">
        <v>174</v>
      </c>
      <c r="F16" s="131"/>
      <c r="G16" s="138">
        <f>SUM(G13:G15)</f>
        <v>30142.297029702971</v>
      </c>
      <c r="I16" s="138">
        <f>SUM(I13:I15)</f>
        <v>30142.297029702971</v>
      </c>
      <c r="J16" s="116"/>
      <c r="K16" s="138">
        <f>SUM(K13:K15)</f>
        <v>30142.297029702971</v>
      </c>
      <c r="L16" s="131"/>
      <c r="M16" s="138">
        <f>SUM(M13:M15)</f>
        <v>30142.297029702971</v>
      </c>
      <c r="O16" s="138">
        <f>SUM(O13:O15)</f>
        <v>30142.297029702971</v>
      </c>
      <c r="P16" s="116"/>
      <c r="Q16" s="138">
        <f>SUM(Q13:Q15)</f>
        <v>30142.297029702971</v>
      </c>
      <c r="R16" s="131"/>
      <c r="S16" s="138">
        <f>SUM(S13:S15)</f>
        <v>30142.297029702971</v>
      </c>
      <c r="U16" s="138">
        <f>SUM(U13:U15)</f>
        <v>30142.297029702971</v>
      </c>
      <c r="V16" s="116"/>
      <c r="W16" s="138">
        <f>SUM(W13:W15)</f>
        <v>30142.297029702971</v>
      </c>
      <c r="X16" s="131"/>
      <c r="Y16" s="138">
        <f>SUM(Y13:Y15)</f>
        <v>30142.297029702971</v>
      </c>
      <c r="AA16" s="138">
        <f>SUM(AA13:AA15)</f>
        <v>30142.297029702971</v>
      </c>
      <c r="AB16" s="116"/>
      <c r="AC16" s="138">
        <f>SUM(AC13:AC15)</f>
        <v>30142.297029702971</v>
      </c>
      <c r="AD16" s="131"/>
      <c r="AE16" s="138">
        <f>SUM(AE13:AE15)</f>
        <v>30142.297029702971</v>
      </c>
      <c r="AG16" s="138">
        <f>SUM(AG13:AG15)</f>
        <v>30142.297029702971</v>
      </c>
      <c r="AH16" s="116"/>
      <c r="AI16" s="138">
        <f>SUM(AI13:AI15)</f>
        <v>30142.297029702971</v>
      </c>
      <c r="AJ16" s="131"/>
    </row>
    <row r="17" spans="1:36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135"/>
    </row>
    <row r="18" spans="1:36" ht="13.5" thickTop="1" x14ac:dyDescent="0.2">
      <c r="C18" s="121" t="s">
        <v>15</v>
      </c>
      <c r="F18" s="131"/>
      <c r="G18" s="137">
        <f>SUM(G7:G15)</f>
        <v>133706.65346534655</v>
      </c>
      <c r="I18" s="137">
        <f>SUM(I7:I15)</f>
        <v>133706.65346534655</v>
      </c>
      <c r="K18" s="137">
        <f>SUM(K7:K15)</f>
        <v>133706.65346534655</v>
      </c>
      <c r="L18" s="131"/>
      <c r="M18" s="137">
        <f>SUM(M7:M15)</f>
        <v>133706.65346534655</v>
      </c>
      <c r="O18" s="137">
        <f>SUM(O7:O15)</f>
        <v>133706.65346534655</v>
      </c>
      <c r="Q18" s="137">
        <f>SUM(Q7:Q15)</f>
        <v>133706.65346534655</v>
      </c>
      <c r="R18" s="131"/>
      <c r="S18" s="137">
        <f>SUM(S7:S15)</f>
        <v>133706.65346534655</v>
      </c>
      <c r="U18" s="137">
        <f>SUM(U7:U15)</f>
        <v>133706.65346534655</v>
      </c>
      <c r="W18" s="137">
        <f>SUM(W7:W15)</f>
        <v>133706.65346534655</v>
      </c>
      <c r="X18" s="131"/>
      <c r="Y18" s="137">
        <f>SUM(Y7:Y15)</f>
        <v>133706.65346534655</v>
      </c>
      <c r="AA18" s="137">
        <f>SUM(AA7:AA15)</f>
        <v>133706.65346534655</v>
      </c>
      <c r="AC18" s="137">
        <f>SUM(AC7:AC15)</f>
        <v>133706.65346534655</v>
      </c>
      <c r="AD18" s="131"/>
      <c r="AE18" s="137">
        <f>SUM(AE7:AE15)</f>
        <v>133706.65346534655</v>
      </c>
      <c r="AG18" s="137">
        <f>SUM(AG7:AG15)</f>
        <v>133706.65346534655</v>
      </c>
      <c r="AI18" s="137">
        <f>SUM(AI7:AI15)</f>
        <v>133706.65346534655</v>
      </c>
      <c r="AJ18" s="131"/>
    </row>
    <row r="19" spans="1:36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135"/>
    </row>
    <row r="20" spans="1:36" x14ac:dyDescent="0.2">
      <c r="C20" s="19" t="s">
        <v>175</v>
      </c>
      <c r="F20" s="131"/>
      <c r="G20" s="141">
        <v>27000</v>
      </c>
      <c r="I20" s="141">
        <v>27000</v>
      </c>
      <c r="J20" s="116"/>
      <c r="K20" s="141">
        <v>27000</v>
      </c>
      <c r="L20" s="131"/>
      <c r="M20" s="141">
        <v>27000</v>
      </c>
      <c r="O20" s="141">
        <v>27000</v>
      </c>
      <c r="P20" s="116"/>
      <c r="Q20" s="141">
        <v>27000</v>
      </c>
      <c r="R20" s="131"/>
      <c r="S20" s="141">
        <v>27000</v>
      </c>
      <c r="U20" s="141">
        <v>27000</v>
      </c>
      <c r="V20" s="116"/>
      <c r="W20" s="141">
        <v>27000</v>
      </c>
      <c r="X20" s="131"/>
      <c r="Y20" s="141">
        <v>27000</v>
      </c>
      <c r="AA20" s="141">
        <v>27000</v>
      </c>
      <c r="AB20" s="116"/>
      <c r="AC20" s="141">
        <v>27000</v>
      </c>
      <c r="AD20" s="131"/>
      <c r="AE20" s="141">
        <v>27000</v>
      </c>
      <c r="AG20" s="141">
        <v>27000</v>
      </c>
      <c r="AH20" s="116"/>
      <c r="AI20" s="141">
        <v>27000</v>
      </c>
      <c r="AJ20" s="131"/>
    </row>
    <row r="21" spans="1:36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135"/>
    </row>
    <row r="22" spans="1:36" x14ac:dyDescent="0.2">
      <c r="A22" s="19" t="s">
        <v>16</v>
      </c>
      <c r="F22" s="131"/>
      <c r="G22" s="142">
        <f>G18/G20</f>
        <v>4.9520982764943167</v>
      </c>
      <c r="H22" s="143"/>
      <c r="I22" s="142">
        <f>I18/I20</f>
        <v>4.9520982764943167</v>
      </c>
      <c r="J22" s="143"/>
      <c r="K22" s="142">
        <f>K18/K20</f>
        <v>4.9520982764943167</v>
      </c>
      <c r="L22" s="131"/>
      <c r="M22" s="142">
        <f>M18/M20</f>
        <v>4.9520982764943167</v>
      </c>
      <c r="N22" s="143"/>
      <c r="O22" s="142">
        <f>O18/O20</f>
        <v>4.9520982764943167</v>
      </c>
      <c r="P22" s="143"/>
      <c r="Q22" s="142">
        <f>Q18/Q20</f>
        <v>4.9520982764943167</v>
      </c>
      <c r="R22" s="131"/>
      <c r="S22" s="142">
        <f>S18/S20</f>
        <v>4.9520982764943167</v>
      </c>
      <c r="T22" s="143"/>
      <c r="U22" s="142">
        <f>U18/U20</f>
        <v>4.9520982764943167</v>
      </c>
      <c r="V22" s="143"/>
      <c r="W22" s="142">
        <f>W18/W20</f>
        <v>4.9520982764943167</v>
      </c>
      <c r="X22" s="131"/>
      <c r="Y22" s="142">
        <f>Y18/Y20</f>
        <v>4.9520982764943167</v>
      </c>
      <c r="Z22" s="143"/>
      <c r="AA22" s="142">
        <f>AA18/AA20</f>
        <v>4.9520982764943167</v>
      </c>
      <c r="AB22" s="143"/>
      <c r="AC22" s="142">
        <f>AC18/AC20</f>
        <v>4.9520982764943167</v>
      </c>
      <c r="AD22" s="131"/>
      <c r="AE22" s="142">
        <f>AE18/AE20</f>
        <v>4.9520982764943167</v>
      </c>
      <c r="AF22" s="143"/>
      <c r="AG22" s="142">
        <f>AG18/AG20</f>
        <v>4.9520982764943167</v>
      </c>
      <c r="AH22" s="143"/>
      <c r="AI22" s="142">
        <f>AI18/AI20</f>
        <v>4.9520982764943167</v>
      </c>
      <c r="AJ22" s="131"/>
    </row>
    <row r="23" spans="1:36" x14ac:dyDescent="0.2">
      <c r="A23" s="19" t="s">
        <v>17</v>
      </c>
      <c r="F23" s="131"/>
      <c r="G23" s="144">
        <v>7.25</v>
      </c>
      <c r="I23" s="144">
        <v>7.25</v>
      </c>
      <c r="K23" s="144">
        <v>7.25</v>
      </c>
      <c r="L23" s="131"/>
      <c r="M23" s="144">
        <v>7.25</v>
      </c>
      <c r="O23" s="144">
        <v>7.25</v>
      </c>
      <c r="Q23" s="144">
        <v>7.25</v>
      </c>
      <c r="R23" s="131"/>
      <c r="S23" s="144">
        <v>7.25</v>
      </c>
      <c r="U23" s="144">
        <v>7.25</v>
      </c>
      <c r="W23" s="144">
        <v>7.25</v>
      </c>
      <c r="X23" s="131"/>
      <c r="Y23" s="144">
        <v>7.25</v>
      </c>
      <c r="AA23" s="144">
        <v>7.25</v>
      </c>
      <c r="AC23" s="144">
        <v>7.25</v>
      </c>
      <c r="AD23" s="131"/>
      <c r="AE23" s="144">
        <v>7.25</v>
      </c>
      <c r="AG23" s="144">
        <v>7.25</v>
      </c>
      <c r="AI23" s="144">
        <v>7.25</v>
      </c>
      <c r="AJ23" s="131"/>
    </row>
    <row r="24" spans="1:36" x14ac:dyDescent="0.2">
      <c r="B24" s="19" t="s">
        <v>18</v>
      </c>
      <c r="F24" s="131"/>
      <c r="G24" s="137">
        <f>G22-G23</f>
        <v>-2.2979017235056833</v>
      </c>
      <c r="I24" s="137">
        <f>I22-I23</f>
        <v>-2.2979017235056833</v>
      </c>
      <c r="K24" s="137">
        <f>K22-K23</f>
        <v>-2.2979017235056833</v>
      </c>
      <c r="L24" s="131"/>
      <c r="M24" s="137">
        <f>M22-M23</f>
        <v>-2.2979017235056833</v>
      </c>
      <c r="O24" s="137">
        <f>O22-O23</f>
        <v>-2.2979017235056833</v>
      </c>
      <c r="Q24" s="137">
        <f>Q22-Q23</f>
        <v>-2.2979017235056833</v>
      </c>
      <c r="R24" s="131"/>
      <c r="S24" s="137">
        <f>S22-S23</f>
        <v>-2.2979017235056833</v>
      </c>
      <c r="U24" s="137">
        <f>U22-U23</f>
        <v>-2.2979017235056833</v>
      </c>
      <c r="W24" s="137">
        <f>W22-W23</f>
        <v>-2.2979017235056833</v>
      </c>
      <c r="X24" s="131"/>
      <c r="Y24" s="137">
        <f>Y22-Y23</f>
        <v>-2.2979017235056833</v>
      </c>
      <c r="AA24" s="137">
        <f>AA22-AA23</f>
        <v>-2.2979017235056833</v>
      </c>
      <c r="AC24" s="137">
        <f>AC22-AC23</f>
        <v>-2.2979017235056833</v>
      </c>
      <c r="AD24" s="131"/>
      <c r="AE24" s="137">
        <f>AE22-AE23</f>
        <v>-2.2979017235056833</v>
      </c>
      <c r="AG24" s="137">
        <f>AG22-AG23</f>
        <v>-2.2979017235056833</v>
      </c>
      <c r="AI24" s="137">
        <f>AI22-AI23</f>
        <v>-2.2979017235056833</v>
      </c>
      <c r="AJ24" s="131"/>
    </row>
    <row r="25" spans="1:36" x14ac:dyDescent="0.2">
      <c r="C25" s="121" t="s">
        <v>19</v>
      </c>
      <c r="F25" s="131"/>
      <c r="G25" s="137">
        <f>G24*G20</f>
        <v>-62043.34653465345</v>
      </c>
      <c r="I25" s="137">
        <f>I24*I20</f>
        <v>-62043.34653465345</v>
      </c>
      <c r="K25" s="137">
        <f>K24*K20</f>
        <v>-62043.34653465345</v>
      </c>
      <c r="L25" s="131"/>
      <c r="M25" s="137">
        <f>M24*M20</f>
        <v>-62043.34653465345</v>
      </c>
      <c r="O25" s="137">
        <f>O24*O20</f>
        <v>-62043.34653465345</v>
      </c>
      <c r="Q25" s="137">
        <f>Q24*Q20</f>
        <v>-62043.34653465345</v>
      </c>
      <c r="R25" s="131"/>
      <c r="S25" s="137">
        <f>S24*S20</f>
        <v>-62043.34653465345</v>
      </c>
      <c r="U25" s="137">
        <f>U24*U20</f>
        <v>-62043.34653465345</v>
      </c>
      <c r="W25" s="137">
        <f>W24*W20</f>
        <v>-62043.34653465345</v>
      </c>
      <c r="X25" s="131"/>
      <c r="Y25" s="137">
        <f>Y24*Y20</f>
        <v>-62043.34653465345</v>
      </c>
      <c r="AA25" s="137">
        <f>AA24*AA20</f>
        <v>-62043.34653465345</v>
      </c>
      <c r="AC25" s="137">
        <f>AC24*AC20</f>
        <v>-62043.34653465345</v>
      </c>
      <c r="AD25" s="131"/>
      <c r="AE25" s="137">
        <f>AE24*AE20</f>
        <v>-62043.34653465345</v>
      </c>
      <c r="AG25" s="137">
        <f>AG24*AG20</f>
        <v>-62043.34653465345</v>
      </c>
      <c r="AI25" s="137">
        <f>AI24*AI20</f>
        <v>-62043.34653465345</v>
      </c>
      <c r="AJ25" s="131"/>
    </row>
    <row r="26" spans="1:36" x14ac:dyDescent="0.2">
      <c r="F26" s="131"/>
      <c r="G26" s="139">
        <f>SUM(G18:K18)/SUM(G20:K20)</f>
        <v>4.9520982764943167</v>
      </c>
      <c r="L26" s="131"/>
      <c r="M26" s="139">
        <f>SUM(M18:Q18)/SUM(M20:Q20)</f>
        <v>4.9520982764943167</v>
      </c>
      <c r="R26" s="131"/>
      <c r="S26" s="139">
        <f>SUM(S18:W18)/SUM(S20:W20)</f>
        <v>4.9520982764943167</v>
      </c>
      <c r="X26" s="131"/>
      <c r="Y26" s="139">
        <f>SUM(Y18:AC18)/SUM(Y20:AC20)</f>
        <v>4.9520982764943167</v>
      </c>
      <c r="AD26" s="131"/>
      <c r="AE26" s="139">
        <f>SUM(AE18:AI18)/SUM(AE20:AI20)</f>
        <v>4.9520982764943167</v>
      </c>
      <c r="AJ26" s="131"/>
    </row>
    <row r="27" spans="1:36" x14ac:dyDescent="0.2">
      <c r="D27" s="121" t="s">
        <v>20</v>
      </c>
      <c r="F27" s="131"/>
      <c r="G27" s="139"/>
      <c r="I27" s="121"/>
      <c r="K27" s="137">
        <f>SUM(G25:K25)</f>
        <v>-186130.03960396035</v>
      </c>
      <c r="L27" s="131"/>
      <c r="M27" s="139"/>
      <c r="O27" s="121"/>
      <c r="Q27" s="137">
        <f>SUM(M25:Q25)</f>
        <v>-186130.03960396035</v>
      </c>
      <c r="R27" s="131"/>
      <c r="S27" s="139"/>
      <c r="U27" s="121"/>
      <c r="W27" s="137">
        <f>SUM(S25:W25)</f>
        <v>-186130.03960396035</v>
      </c>
      <c r="X27" s="131"/>
      <c r="Y27" s="139"/>
      <c r="AA27" s="121"/>
      <c r="AC27" s="137">
        <f>SUM(Y25:AC25)</f>
        <v>-186130.03960396035</v>
      </c>
      <c r="AD27" s="131"/>
      <c r="AE27" s="139"/>
      <c r="AG27" s="121"/>
      <c r="AI27" s="137">
        <f>SUM(AE25:AI25)</f>
        <v>-186130.03960396035</v>
      </c>
      <c r="AJ27" s="131"/>
    </row>
    <row r="28" spans="1:36" x14ac:dyDescent="0.2">
      <c r="D28" s="121" t="s">
        <v>176</v>
      </c>
      <c r="F28" s="131"/>
      <c r="G28" s="139"/>
      <c r="I28" s="121" t="s">
        <v>177</v>
      </c>
      <c r="K28" s="145">
        <v>125000</v>
      </c>
      <c r="L28" s="131"/>
      <c r="M28" s="139"/>
      <c r="O28" s="121" t="s">
        <v>177</v>
      </c>
      <c r="Q28" s="145">
        <v>125000</v>
      </c>
      <c r="R28" s="131"/>
      <c r="S28" s="139"/>
      <c r="U28" s="121" t="s">
        <v>177</v>
      </c>
      <c r="W28" s="145">
        <v>125000</v>
      </c>
      <c r="X28" s="131"/>
      <c r="Y28" s="139"/>
      <c r="AA28" s="121" t="s">
        <v>177</v>
      </c>
      <c r="AC28" s="145">
        <v>125000</v>
      </c>
      <c r="AD28" s="131"/>
      <c r="AE28" s="139"/>
      <c r="AG28" s="121" t="s">
        <v>177</v>
      </c>
      <c r="AI28" s="145">
        <v>125000</v>
      </c>
      <c r="AJ28" s="131"/>
    </row>
    <row r="29" spans="1:36" x14ac:dyDescent="0.2">
      <c r="D29" s="146" t="s">
        <v>51</v>
      </c>
      <c r="F29" s="131"/>
      <c r="G29" s="139"/>
      <c r="I29" s="146" t="s">
        <v>51</v>
      </c>
      <c r="K29" s="147">
        <f>(K27/K28)</f>
        <v>-1.4890403168316828</v>
      </c>
      <c r="L29" s="131"/>
      <c r="M29" s="139"/>
      <c r="O29" s="146" t="s">
        <v>51</v>
      </c>
      <c r="Q29" s="147">
        <f>(Q27/Q28)</f>
        <v>-1.4890403168316828</v>
      </c>
      <c r="R29" s="131"/>
      <c r="S29" s="139"/>
      <c r="U29" s="146" t="s">
        <v>51</v>
      </c>
      <c r="W29" s="147">
        <f>(W27/W28)</f>
        <v>-1.4890403168316828</v>
      </c>
      <c r="X29" s="131"/>
      <c r="Y29" s="139"/>
      <c r="AA29" s="146" t="s">
        <v>51</v>
      </c>
      <c r="AC29" s="147">
        <f>(AC27/AC28)</f>
        <v>-1.4890403168316828</v>
      </c>
      <c r="AD29" s="131"/>
      <c r="AE29" s="139"/>
      <c r="AG29" s="146" t="s">
        <v>51</v>
      </c>
      <c r="AI29" s="147">
        <f>(AI27/AI28)</f>
        <v>-1.4890403168316828</v>
      </c>
      <c r="AJ29" s="131"/>
    </row>
    <row r="30" spans="1:36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6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6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50">
        <v>1000</v>
      </c>
      <c r="H34" s="22"/>
      <c r="I34" s="150">
        <v>1000</v>
      </c>
      <c r="J34" s="22"/>
      <c r="K34" s="150">
        <v>1000</v>
      </c>
      <c r="L34" s="22"/>
      <c r="M34" s="150">
        <v>1000</v>
      </c>
      <c r="N34" s="22"/>
      <c r="O34" s="150">
        <v>1000</v>
      </c>
      <c r="P34" s="22"/>
      <c r="Q34" s="150">
        <v>1000</v>
      </c>
      <c r="R34" s="22"/>
      <c r="S34" s="150">
        <v>1000</v>
      </c>
      <c r="T34" s="22"/>
      <c r="U34" s="150">
        <v>1000</v>
      </c>
      <c r="V34" s="22"/>
      <c r="W34" s="150">
        <v>1000</v>
      </c>
      <c r="X34" s="22"/>
      <c r="Y34" s="150">
        <v>1000</v>
      </c>
      <c r="Z34" s="22"/>
      <c r="AA34" s="150">
        <v>1000</v>
      </c>
      <c r="AB34" s="151"/>
      <c r="AC34" s="150">
        <v>1000</v>
      </c>
      <c r="AD34" s="22"/>
      <c r="AE34" s="150">
        <v>1000</v>
      </c>
      <c r="AF34" s="22"/>
      <c r="AG34" s="150">
        <v>1000</v>
      </c>
      <c r="AH34" s="22"/>
      <c r="AI34" s="150">
        <v>1000</v>
      </c>
      <c r="AJ34" s="22"/>
    </row>
    <row r="35" spans="1:36" x14ac:dyDescent="0.2">
      <c r="C35" s="19" t="s">
        <v>178</v>
      </c>
      <c r="F35" s="22"/>
      <c r="G35" s="152">
        <v>10000</v>
      </c>
      <c r="H35" s="22"/>
      <c r="I35" s="152">
        <v>10000</v>
      </c>
      <c r="J35" s="22"/>
      <c r="K35" s="152">
        <v>10000</v>
      </c>
      <c r="L35" s="22"/>
      <c r="M35" s="152">
        <v>10000</v>
      </c>
      <c r="N35" s="22"/>
      <c r="O35" s="152">
        <v>10000</v>
      </c>
      <c r="P35" s="22"/>
      <c r="Q35" s="152">
        <v>10000</v>
      </c>
      <c r="R35" s="22"/>
      <c r="S35" s="152">
        <v>10000</v>
      </c>
      <c r="T35" s="22"/>
      <c r="U35" s="152">
        <v>10000</v>
      </c>
      <c r="V35" s="22"/>
      <c r="W35" s="152">
        <v>10000</v>
      </c>
      <c r="X35" s="22"/>
      <c r="Y35" s="152">
        <v>10000</v>
      </c>
      <c r="Z35" s="22"/>
      <c r="AA35" s="152">
        <v>10000</v>
      </c>
      <c r="AB35" s="151"/>
      <c r="AC35" s="152">
        <v>10000</v>
      </c>
      <c r="AD35" s="22"/>
      <c r="AE35" s="152">
        <v>10000</v>
      </c>
      <c r="AF35" s="22"/>
      <c r="AG35" s="152">
        <v>10000</v>
      </c>
      <c r="AH35" s="22"/>
      <c r="AI35" s="152">
        <v>10000</v>
      </c>
      <c r="AJ35" s="22"/>
    </row>
    <row r="36" spans="1:36" x14ac:dyDescent="0.2">
      <c r="C36" s="19" t="s">
        <v>179</v>
      </c>
      <c r="G36" s="153">
        <f>G35+((+G34)/10)</f>
        <v>10100</v>
      </c>
      <c r="I36" s="153">
        <f>I35+((+I34)/10)</f>
        <v>10100</v>
      </c>
      <c r="K36" s="153">
        <f>K35+((+K34)/10)</f>
        <v>10100</v>
      </c>
      <c r="M36" s="153">
        <f>M35+((+M34)/10)</f>
        <v>10100</v>
      </c>
      <c r="O36" s="153">
        <f>O35+((+O34)/10)</f>
        <v>10100</v>
      </c>
      <c r="Q36" s="153">
        <f>Q35+((+Q34)/10)</f>
        <v>10100</v>
      </c>
      <c r="S36" s="153">
        <f>S35+((+S34)/10)</f>
        <v>10100</v>
      </c>
      <c r="U36" s="153">
        <f>U35+((+U34)/10)</f>
        <v>10100</v>
      </c>
      <c r="W36" s="153">
        <f>W35+((+W34)/10)</f>
        <v>10100</v>
      </c>
      <c r="Y36" s="153">
        <f>Y35+((+Y34)/10)</f>
        <v>10100</v>
      </c>
      <c r="AA36" s="153">
        <f>AA35+((+AA34)/10)</f>
        <v>10100</v>
      </c>
      <c r="AC36" s="153">
        <f>AC35+((+AC34)/10)</f>
        <v>10100</v>
      </c>
      <c r="AE36" s="153">
        <f>AE35+((+AE34)/10)</f>
        <v>10100</v>
      </c>
      <c r="AG36" s="153">
        <f>AG35+((+AG34)/10)</f>
        <v>10100</v>
      </c>
      <c r="AI36" s="153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9"/>
      <c r="M38" s="139"/>
      <c r="S38" s="139"/>
      <c r="Y38" s="139"/>
      <c r="AE38" s="139"/>
    </row>
    <row r="39" spans="1:36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55">
        <v>2000</v>
      </c>
      <c r="I40" s="155">
        <v>2000</v>
      </c>
      <c r="K40" s="155">
        <v>2000</v>
      </c>
      <c r="M40" s="155">
        <v>2000</v>
      </c>
      <c r="O40" s="155">
        <v>2000</v>
      </c>
      <c r="Q40" s="155">
        <v>2000</v>
      </c>
      <c r="S40" s="155">
        <v>2000</v>
      </c>
      <c r="U40" s="155">
        <v>2000</v>
      </c>
      <c r="W40" s="155">
        <v>2000</v>
      </c>
      <c r="Y40" s="155">
        <v>2000</v>
      </c>
      <c r="AA40" s="155">
        <v>2000</v>
      </c>
      <c r="AB40" s="156"/>
      <c r="AC40" s="155">
        <v>2000</v>
      </c>
      <c r="AE40" s="155">
        <v>2000</v>
      </c>
      <c r="AG40" s="155">
        <v>2000</v>
      </c>
      <c r="AI40" s="155">
        <v>2000</v>
      </c>
    </row>
    <row r="41" spans="1:36" x14ac:dyDescent="0.2">
      <c r="B41" s="19" t="s">
        <v>64</v>
      </c>
      <c r="G41" s="155">
        <v>20000</v>
      </c>
      <c r="I41" s="155">
        <v>20000</v>
      </c>
      <c r="K41" s="155">
        <v>20000</v>
      </c>
      <c r="M41" s="155">
        <v>20000</v>
      </c>
      <c r="O41" s="155">
        <v>20000</v>
      </c>
      <c r="Q41" s="155">
        <v>20000</v>
      </c>
      <c r="S41" s="155">
        <v>20000</v>
      </c>
      <c r="U41" s="155">
        <v>20000</v>
      </c>
      <c r="W41" s="155">
        <v>20000</v>
      </c>
      <c r="Y41" s="155">
        <v>20000</v>
      </c>
      <c r="AA41" s="155">
        <v>20000</v>
      </c>
      <c r="AB41" s="156"/>
      <c r="AC41" s="155">
        <v>20000</v>
      </c>
      <c r="AE41" s="155">
        <v>20000</v>
      </c>
      <c r="AG41" s="155">
        <v>20000</v>
      </c>
      <c r="AI41" s="155">
        <v>20000</v>
      </c>
    </row>
    <row r="42" spans="1:36" x14ac:dyDescent="0.2">
      <c r="C42" s="19" t="s">
        <v>25</v>
      </c>
      <c r="G42" s="157">
        <f>SUM(G40:G41)</f>
        <v>22000</v>
      </c>
      <c r="I42" s="157">
        <f>SUM(I40:I41)</f>
        <v>22000</v>
      </c>
      <c r="K42" s="157">
        <f>SUM(K40:K41)</f>
        <v>22000</v>
      </c>
      <c r="M42" s="157">
        <f>SUM(M40:M41)</f>
        <v>22000</v>
      </c>
      <c r="O42" s="157">
        <f>SUM(O40:O41)</f>
        <v>22000</v>
      </c>
      <c r="Q42" s="157">
        <f>SUM(Q40:Q41)</f>
        <v>22000</v>
      </c>
      <c r="S42" s="157">
        <f>SUM(S40:S41)</f>
        <v>22000</v>
      </c>
      <c r="U42" s="157">
        <f>SUM(U40:U41)</f>
        <v>22000</v>
      </c>
      <c r="W42" s="157">
        <f>SUM(W40:W41)</f>
        <v>22000</v>
      </c>
      <c r="Y42" s="157">
        <f>SUM(Y40:Y41)</f>
        <v>22000</v>
      </c>
      <c r="AA42" s="157">
        <f>SUM(AA40:AA41)</f>
        <v>22000</v>
      </c>
      <c r="AC42" s="157">
        <f>SUM(AC40:AC41)</f>
        <v>22000</v>
      </c>
      <c r="AE42" s="157">
        <f>SUM(AE40:AE41)</f>
        <v>22000</v>
      </c>
      <c r="AG42" s="157">
        <f>SUM(AG40:AG41)</f>
        <v>22000</v>
      </c>
      <c r="AI42" s="157">
        <f>SUM(AI40:AI41)</f>
        <v>22000</v>
      </c>
    </row>
    <row r="43" spans="1:36" x14ac:dyDescent="0.2">
      <c r="C43" s="121" t="s">
        <v>21</v>
      </c>
      <c r="G43" s="138">
        <f>G42*G37</f>
        <v>21782.178217821784</v>
      </c>
      <c r="I43" s="138">
        <f>I42*I37</f>
        <v>21782.178217821784</v>
      </c>
      <c r="K43" s="138">
        <f>K42*K37</f>
        <v>21782.178217821784</v>
      </c>
      <c r="M43" s="138">
        <f>M42*M37</f>
        <v>21782.178217821784</v>
      </c>
      <c r="O43" s="138">
        <f>O42*O37</f>
        <v>21782.178217821784</v>
      </c>
      <c r="Q43" s="138">
        <f>Q42*Q37</f>
        <v>21782.178217821784</v>
      </c>
      <c r="S43" s="138">
        <f>S42*S37</f>
        <v>21782.178217821784</v>
      </c>
      <c r="U43" s="138">
        <f>U42*U37</f>
        <v>21782.178217821784</v>
      </c>
      <c r="W43" s="138">
        <f>W42*W37</f>
        <v>21782.178217821784</v>
      </c>
      <c r="Y43" s="138">
        <f>Y42*Y37</f>
        <v>21782.178217821784</v>
      </c>
      <c r="AA43" s="138">
        <f>AA42*AA37</f>
        <v>21782.178217821784</v>
      </c>
      <c r="AC43" s="138">
        <f>AC42*AC37</f>
        <v>21782.178217821784</v>
      </c>
      <c r="AE43" s="138">
        <f>AE42*AE37</f>
        <v>21782.178217821784</v>
      </c>
      <c r="AG43" s="138">
        <f>AG42*AG37</f>
        <v>21782.178217821784</v>
      </c>
      <c r="AI43" s="138">
        <f>AI42*AI37</f>
        <v>21782.178217821784</v>
      </c>
    </row>
    <row r="44" spans="1:36" ht="6.75" customHeight="1" x14ac:dyDescent="0.2">
      <c r="G44" s="139"/>
      <c r="M44" s="139"/>
      <c r="S44" s="139"/>
      <c r="Y44" s="139"/>
      <c r="AE44" s="139"/>
    </row>
    <row r="45" spans="1:36" x14ac:dyDescent="0.2">
      <c r="A45" s="19" t="s">
        <v>180</v>
      </c>
      <c r="G45" s="139"/>
      <c r="M45" s="139"/>
      <c r="S45" s="139"/>
      <c r="Y45" s="139"/>
      <c r="AE45" s="139"/>
    </row>
    <row r="46" spans="1:36" x14ac:dyDescent="0.2">
      <c r="B46" s="19" t="s">
        <v>181</v>
      </c>
      <c r="C46" s="158"/>
      <c r="G46" s="155">
        <v>3000</v>
      </c>
      <c r="I46" s="155">
        <v>3000</v>
      </c>
      <c r="K46" s="155">
        <v>3000</v>
      </c>
      <c r="M46" s="155">
        <v>3000</v>
      </c>
      <c r="O46" s="155">
        <v>3000</v>
      </c>
      <c r="Q46" s="155">
        <v>3000</v>
      </c>
      <c r="S46" s="155">
        <v>3000</v>
      </c>
      <c r="U46" s="155">
        <v>3000</v>
      </c>
      <c r="W46" s="155">
        <v>3000</v>
      </c>
      <c r="Y46" s="155">
        <v>3000</v>
      </c>
      <c r="Z46" s="156"/>
      <c r="AA46" s="155">
        <v>3000</v>
      </c>
      <c r="AC46" s="155">
        <v>3000</v>
      </c>
      <c r="AE46" s="155">
        <v>3000</v>
      </c>
      <c r="AG46" s="155">
        <v>3000</v>
      </c>
      <c r="AI46" s="155">
        <v>3000</v>
      </c>
    </row>
    <row r="47" spans="1:36" x14ac:dyDescent="0.2">
      <c r="C47" s="121" t="s">
        <v>21</v>
      </c>
      <c r="G47" s="138">
        <f>G46*G37</f>
        <v>2970.2970297029701</v>
      </c>
      <c r="I47" s="138">
        <f>I46*I37</f>
        <v>2970.2970297029701</v>
      </c>
      <c r="K47" s="138">
        <f>K46*K37</f>
        <v>2970.2970297029701</v>
      </c>
      <c r="M47" s="138">
        <f>M46*M37</f>
        <v>2970.2970297029701</v>
      </c>
      <c r="O47" s="138">
        <f>O46*O37</f>
        <v>2970.2970297029701</v>
      </c>
      <c r="Q47" s="138">
        <f>Q46*Q37</f>
        <v>2970.2970297029701</v>
      </c>
      <c r="S47" s="138">
        <f>S46*S37</f>
        <v>2970.2970297029701</v>
      </c>
      <c r="U47" s="138">
        <f>U46*U37</f>
        <v>2970.2970297029701</v>
      </c>
      <c r="W47" s="138">
        <f>W46*W37</f>
        <v>2970.2970297029701</v>
      </c>
      <c r="Y47" s="138">
        <f>Y46*Y37</f>
        <v>2970.2970297029701</v>
      </c>
      <c r="AA47" s="138">
        <f>AA46*AA37</f>
        <v>2970.2970297029701</v>
      </c>
      <c r="AC47" s="138">
        <f>AC46*AC37</f>
        <v>2970.2970297029701</v>
      </c>
      <c r="AE47" s="138">
        <f>AE46*AE37</f>
        <v>2970.2970297029701</v>
      </c>
      <c r="AG47" s="138">
        <f>AG46*AG37</f>
        <v>2970.2970297029701</v>
      </c>
      <c r="AI47" s="138">
        <f>AI46*AI37</f>
        <v>2970.2970297029701</v>
      </c>
    </row>
    <row r="48" spans="1:36" x14ac:dyDescent="0.2">
      <c r="B48" s="19" t="s">
        <v>182</v>
      </c>
      <c r="G48" s="137">
        <f>2.7172*G35</f>
        <v>27172</v>
      </c>
      <c r="I48" s="137">
        <f>2.7172*I35</f>
        <v>27172</v>
      </c>
      <c r="K48" s="137">
        <f>2.7172*K35</f>
        <v>27172</v>
      </c>
      <c r="M48" s="137">
        <f>2.7172*M35</f>
        <v>27172</v>
      </c>
      <c r="O48" s="137">
        <f>2.7172*O35</f>
        <v>27172</v>
      </c>
      <c r="Q48" s="137">
        <f>2.7172*Q35</f>
        <v>27172</v>
      </c>
      <c r="S48" s="137">
        <f>2.7172*S35</f>
        <v>27172</v>
      </c>
      <c r="U48" s="137">
        <f>2.7172*U35</f>
        <v>27172</v>
      </c>
      <c r="W48" s="137">
        <f>2.7172*W35</f>
        <v>27172</v>
      </c>
      <c r="Y48" s="137">
        <f>2.7172*Y35</f>
        <v>27172</v>
      </c>
      <c r="AA48" s="137">
        <f>2.7172*AA35</f>
        <v>27172</v>
      </c>
      <c r="AC48" s="137">
        <f>2.7172*AC35</f>
        <v>27172</v>
      </c>
      <c r="AE48" s="137">
        <f>2.7172*AE35</f>
        <v>27172</v>
      </c>
      <c r="AG48" s="137">
        <f>2.7172*AG35</f>
        <v>27172</v>
      </c>
      <c r="AI48" s="137">
        <f>2.7172*AI35</f>
        <v>27172</v>
      </c>
    </row>
    <row r="49" spans="1:35" x14ac:dyDescent="0.2">
      <c r="C49" s="121"/>
      <c r="G49" s="138">
        <f>SUM(G47:G48)</f>
        <v>30142.297029702971</v>
      </c>
      <c r="I49" s="138">
        <f>SUM(I47:I48)</f>
        <v>30142.297029702971</v>
      </c>
      <c r="K49" s="138">
        <f>SUM(K47:K48)</f>
        <v>30142.297029702971</v>
      </c>
      <c r="M49" s="138">
        <f>SUM(M47:M48)</f>
        <v>30142.297029702971</v>
      </c>
      <c r="O49" s="138">
        <f>SUM(O47:O48)</f>
        <v>30142.297029702971</v>
      </c>
      <c r="Q49" s="138">
        <f>SUM(Q47:Q48)</f>
        <v>30142.297029702971</v>
      </c>
      <c r="S49" s="138">
        <f>SUM(S47:S48)</f>
        <v>30142.297029702971</v>
      </c>
      <c r="U49" s="138">
        <f>SUM(U47:U48)</f>
        <v>30142.297029702971</v>
      </c>
      <c r="W49" s="138">
        <f>SUM(W47:W48)</f>
        <v>30142.297029702971</v>
      </c>
      <c r="Y49" s="138">
        <f>SUM(Y47:Y48)</f>
        <v>30142.297029702971</v>
      </c>
      <c r="AA49" s="138">
        <f>SUM(AA47:AA48)</f>
        <v>30142.297029702971</v>
      </c>
      <c r="AC49" s="138">
        <f>SUM(AC47:AC48)</f>
        <v>30142.297029702971</v>
      </c>
      <c r="AE49" s="138">
        <f>SUM(AE47:AE48)</f>
        <v>30142.297029702971</v>
      </c>
      <c r="AG49" s="138">
        <f>SUM(AG47:AG48)</f>
        <v>30142.297029702971</v>
      </c>
      <c r="AI49" s="138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5">
        <v>4000</v>
      </c>
      <c r="I53" s="155">
        <v>4000</v>
      </c>
      <c r="K53" s="155">
        <v>4000</v>
      </c>
      <c r="M53" s="155">
        <v>4000</v>
      </c>
      <c r="O53" s="155">
        <v>4000</v>
      </c>
      <c r="Q53" s="155">
        <v>4000</v>
      </c>
      <c r="S53" s="155">
        <v>4000</v>
      </c>
      <c r="U53" s="155">
        <v>4000</v>
      </c>
      <c r="W53" s="155">
        <v>4000</v>
      </c>
      <c r="Y53" s="155">
        <v>4000</v>
      </c>
      <c r="AA53" s="155">
        <v>4000</v>
      </c>
      <c r="AC53" s="155">
        <v>4000</v>
      </c>
      <c r="AE53" s="155">
        <v>4000</v>
      </c>
      <c r="AG53" s="155">
        <v>4000</v>
      </c>
      <c r="AI53" s="155">
        <v>4000</v>
      </c>
    </row>
    <row r="54" spans="1:35" x14ac:dyDescent="0.2">
      <c r="B54" s="19" t="s">
        <v>26</v>
      </c>
      <c r="G54" s="155">
        <v>5000</v>
      </c>
      <c r="I54" s="155">
        <v>5000</v>
      </c>
      <c r="K54" s="155">
        <v>5000</v>
      </c>
      <c r="M54" s="155">
        <v>5000</v>
      </c>
      <c r="O54" s="155">
        <v>5000</v>
      </c>
      <c r="Q54" s="155">
        <v>5000</v>
      </c>
      <c r="S54" s="155">
        <v>5000</v>
      </c>
      <c r="U54" s="155">
        <v>5000</v>
      </c>
      <c r="W54" s="155">
        <v>5000</v>
      </c>
      <c r="Y54" s="155">
        <v>5000</v>
      </c>
      <c r="AA54" s="155">
        <v>5000</v>
      </c>
      <c r="AC54" s="155">
        <v>5000</v>
      </c>
      <c r="AE54" s="155">
        <v>5000</v>
      </c>
      <c r="AG54" s="155">
        <v>5000</v>
      </c>
      <c r="AI54" s="155">
        <v>5000</v>
      </c>
    </row>
    <row r="55" spans="1:35" x14ac:dyDescent="0.2">
      <c r="C55" s="19" t="s">
        <v>25</v>
      </c>
      <c r="G55" s="138">
        <f>SUM(G53:G54)</f>
        <v>9000</v>
      </c>
      <c r="I55" s="138">
        <f>SUM(I53:I54)</f>
        <v>9000</v>
      </c>
      <c r="K55" s="138">
        <f>SUM(K53:K54)</f>
        <v>9000</v>
      </c>
      <c r="M55" s="138">
        <f>SUM(M53:M54)</f>
        <v>9000</v>
      </c>
      <c r="O55" s="138">
        <f>SUM(O53:O54)</f>
        <v>9000</v>
      </c>
      <c r="Q55" s="138">
        <f>SUM(Q53:Q54)</f>
        <v>9000</v>
      </c>
      <c r="S55" s="138">
        <f>SUM(S53:S54)</f>
        <v>9000</v>
      </c>
      <c r="U55" s="138">
        <f>SUM(U53:U54)</f>
        <v>9000</v>
      </c>
      <c r="W55" s="138">
        <f>SUM(W53:W54)</f>
        <v>9000</v>
      </c>
      <c r="Y55" s="138">
        <f>SUM(Y53:Y54)</f>
        <v>9000</v>
      </c>
      <c r="AA55" s="138">
        <f>SUM(AA53:AA54)</f>
        <v>9000</v>
      </c>
      <c r="AC55" s="138">
        <f>SUM(AC53:AC54)</f>
        <v>9000</v>
      </c>
      <c r="AE55" s="138">
        <f>SUM(AE53:AE54)</f>
        <v>9000</v>
      </c>
      <c r="AG55" s="138">
        <f>SUM(AG53:AG54)</f>
        <v>9000</v>
      </c>
      <c r="AI55" s="138">
        <f>SUM(AI53:AI54)</f>
        <v>9000</v>
      </c>
    </row>
    <row r="56" spans="1:35" ht="6.75" customHeight="1" x14ac:dyDescent="0.2">
      <c r="G56" s="139"/>
      <c r="M56" s="139"/>
      <c r="S56" s="139"/>
      <c r="Y56" s="139"/>
      <c r="AE56" s="139"/>
    </row>
    <row r="57" spans="1:35" x14ac:dyDescent="0.2">
      <c r="A57" s="19" t="s">
        <v>180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5">
        <v>6000</v>
      </c>
      <c r="I62" s="155">
        <v>6000</v>
      </c>
      <c r="K62" s="155">
        <v>6000</v>
      </c>
      <c r="M62" s="155">
        <v>6000</v>
      </c>
      <c r="O62" s="155">
        <v>6000</v>
      </c>
      <c r="Q62" s="155">
        <v>6000</v>
      </c>
      <c r="S62" s="155">
        <v>6000</v>
      </c>
      <c r="U62" s="155">
        <v>6000</v>
      </c>
      <c r="W62" s="155">
        <v>6000</v>
      </c>
      <c r="Y62" s="155">
        <v>6000</v>
      </c>
      <c r="AA62" s="155">
        <v>6000</v>
      </c>
      <c r="AC62" s="155">
        <v>6000</v>
      </c>
      <c r="AE62" s="155">
        <v>6000</v>
      </c>
      <c r="AG62" s="155">
        <v>6000</v>
      </c>
      <c r="AI62" s="155">
        <v>6000</v>
      </c>
    </row>
    <row r="63" spans="1:35" x14ac:dyDescent="0.2">
      <c r="B63" s="19" t="s">
        <v>26</v>
      </c>
      <c r="G63" s="155">
        <v>7000</v>
      </c>
      <c r="I63" s="155">
        <v>7000</v>
      </c>
      <c r="K63" s="155">
        <v>7000</v>
      </c>
      <c r="M63" s="155">
        <v>7000</v>
      </c>
      <c r="O63" s="155">
        <v>7000</v>
      </c>
      <c r="Q63" s="155">
        <v>7000</v>
      </c>
      <c r="S63" s="155">
        <v>7000</v>
      </c>
      <c r="U63" s="155">
        <v>7000</v>
      </c>
      <c r="W63" s="155">
        <v>7000</v>
      </c>
      <c r="Y63" s="155">
        <v>7000</v>
      </c>
      <c r="AA63" s="155">
        <v>7000</v>
      </c>
      <c r="AC63" s="155">
        <v>7000</v>
      </c>
      <c r="AE63" s="155">
        <v>7000</v>
      </c>
      <c r="AG63" s="155">
        <v>7000</v>
      </c>
      <c r="AI63" s="155">
        <v>7000</v>
      </c>
    </row>
    <row r="64" spans="1:35" x14ac:dyDescent="0.2">
      <c r="B64" s="19" t="s">
        <v>183</v>
      </c>
      <c r="G64" s="155">
        <v>8000</v>
      </c>
      <c r="I64" s="155">
        <v>8000</v>
      </c>
      <c r="K64" s="155">
        <v>8000</v>
      </c>
      <c r="M64" s="155">
        <v>8000</v>
      </c>
      <c r="O64" s="155">
        <v>8000</v>
      </c>
      <c r="Q64" s="155">
        <v>8000</v>
      </c>
      <c r="S64" s="155">
        <v>8000</v>
      </c>
      <c r="U64" s="155">
        <v>8000</v>
      </c>
      <c r="W64" s="155">
        <v>8000</v>
      </c>
      <c r="Y64" s="155">
        <v>8000</v>
      </c>
      <c r="AA64" s="155">
        <v>8000</v>
      </c>
      <c r="AC64" s="155">
        <v>8000</v>
      </c>
      <c r="AE64" s="155">
        <v>8000</v>
      </c>
      <c r="AG64" s="155">
        <v>8000</v>
      </c>
      <c r="AI64" s="155">
        <v>8000</v>
      </c>
    </row>
    <row r="65" spans="1:35" x14ac:dyDescent="0.2">
      <c r="C65" s="19" t="s">
        <v>25</v>
      </c>
      <c r="G65" s="138">
        <f>SUM(G62:G64)</f>
        <v>21000</v>
      </c>
      <c r="I65" s="138">
        <f>SUM(I62:I64)</f>
        <v>21000</v>
      </c>
      <c r="K65" s="138">
        <f>SUM(K62:K64)</f>
        <v>21000</v>
      </c>
      <c r="M65" s="138">
        <f>SUM(M62:M64)</f>
        <v>21000</v>
      </c>
      <c r="O65" s="138">
        <f>SUM(O62:O64)</f>
        <v>21000</v>
      </c>
      <c r="Q65" s="138">
        <f>SUM(Q62:Q64)</f>
        <v>21000</v>
      </c>
      <c r="S65" s="138">
        <f>SUM(S62:S64)</f>
        <v>21000</v>
      </c>
      <c r="U65" s="138">
        <f>SUM(U62:U64)</f>
        <v>21000</v>
      </c>
      <c r="W65" s="138">
        <f>SUM(W62:W64)</f>
        <v>21000</v>
      </c>
      <c r="Y65" s="138">
        <f>SUM(Y62:Y64)</f>
        <v>21000</v>
      </c>
      <c r="AA65" s="138">
        <f>SUM(AA62:AA64)</f>
        <v>21000</v>
      </c>
      <c r="AC65" s="138">
        <f>SUM(AC62:AC64)</f>
        <v>21000</v>
      </c>
      <c r="AE65" s="138">
        <f>SUM(AE62:AE64)</f>
        <v>21000</v>
      </c>
      <c r="AG65" s="138">
        <f>SUM(AG62:AG64)</f>
        <v>21000</v>
      </c>
      <c r="AI65" s="138">
        <f>SUM(AI62:AI64)</f>
        <v>21000</v>
      </c>
    </row>
    <row r="66" spans="1:35" ht="6.75" customHeight="1" x14ac:dyDescent="0.2">
      <c r="G66" s="139"/>
      <c r="M66" s="139"/>
      <c r="S66" s="139"/>
      <c r="Y66" s="139"/>
      <c r="AE66" s="139"/>
    </row>
    <row r="67" spans="1:35" x14ac:dyDescent="0.2">
      <c r="A67" s="19" t="s">
        <v>180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6795-E74C-4CDD-980D-A894710FBE78}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77</v>
      </c>
      <c r="C2" s="1" t="s">
        <v>78</v>
      </c>
    </row>
    <row r="3" spans="1:118" x14ac:dyDescent="0.2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D86BE-C172-4C82-A6D8-B64D8715B75E}">
  <sheetPr>
    <pageSetUpPr fitToPage="1"/>
  </sheetPr>
  <dimension ref="A1:AE94"/>
  <sheetViews>
    <sheetView zoomScaleNormal="100" workbookViewId="0">
      <pane xSplit="4" ySplit="2" topLeftCell="E45" activePane="bottomRight" state="frozen"/>
      <selection pane="topRight" activeCell="E1" sqref="E1"/>
      <selection pane="bottomLeft" activeCell="A3" sqref="A3"/>
      <selection pane="bottomRight" activeCell="F27" sqref="F27"/>
    </sheetView>
  </sheetViews>
  <sheetFormatPr defaultColWidth="9.140625" defaultRowHeight="12.75" x14ac:dyDescent="0.2"/>
  <cols>
    <col min="1" max="2" width="1.28515625" style="19" customWidth="1"/>
    <col min="3" max="3" width="10.7109375" style="19" customWidth="1"/>
    <col min="4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10.7109375" style="19" customWidth="1"/>
    <col min="31" max="31" width="9.140625" style="19"/>
    <col min="32" max="32" width="15.85546875" style="19" customWidth="1"/>
    <col min="33" max="33" width="9.7109375" style="19" customWidth="1"/>
    <col min="34" max="16384" width="9.140625" style="19"/>
  </cols>
  <sheetData>
    <row r="1" spans="1:30" x14ac:dyDescent="0.2">
      <c r="A1" s="19" t="s">
        <v>0</v>
      </c>
    </row>
    <row r="2" spans="1:30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  <c r="AD2" s="115"/>
    </row>
    <row r="3" spans="1:30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30" x14ac:dyDescent="0.2">
      <c r="C4" s="19" t="s">
        <v>63</v>
      </c>
      <c r="F4" s="116" t="s">
        <v>59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D4" s="116"/>
    </row>
    <row r="5" spans="1:30" x14ac:dyDescent="0.2">
      <c r="C5" s="19">
        <v>2020</v>
      </c>
      <c r="F5" s="116"/>
      <c r="G5" s="116"/>
      <c r="H5" s="116"/>
      <c r="I5" s="116"/>
      <c r="J5" s="116"/>
      <c r="K5" s="116"/>
      <c r="L5" s="116"/>
      <c r="M5" s="116"/>
      <c r="N5" s="116">
        <v>2602</v>
      </c>
      <c r="O5" s="116"/>
      <c r="P5" s="116">
        <v>2986</v>
      </c>
      <c r="Q5" s="116"/>
      <c r="R5" s="116">
        <v>3294</v>
      </c>
      <c r="S5" s="116"/>
      <c r="T5" s="116">
        <v>2248</v>
      </c>
      <c r="U5" s="116"/>
      <c r="V5" s="116">
        <v>3641</v>
      </c>
      <c r="W5" s="116"/>
      <c r="X5" s="116">
        <v>4076</v>
      </c>
      <c r="Y5" s="116"/>
      <c r="Z5" s="116">
        <v>7543</v>
      </c>
      <c r="AA5" s="116"/>
      <c r="AB5" s="116">
        <v>15801</v>
      </c>
      <c r="AD5" s="116"/>
    </row>
    <row r="6" spans="1:30" x14ac:dyDescent="0.2">
      <c r="C6" s="19">
        <v>2021</v>
      </c>
      <c r="F6" s="116">
        <v>8062</v>
      </c>
      <c r="G6" s="116"/>
      <c r="H6" s="116">
        <v>9011</v>
      </c>
      <c r="I6" s="116"/>
      <c r="J6" s="116">
        <v>8648</v>
      </c>
      <c r="K6" s="116"/>
      <c r="L6" s="116">
        <v>6721</v>
      </c>
      <c r="M6" s="116"/>
      <c r="N6" s="116">
        <v>4576</v>
      </c>
      <c r="O6" s="116"/>
      <c r="P6" s="116">
        <v>3920</v>
      </c>
      <c r="Q6" s="116"/>
      <c r="R6" s="116">
        <v>1949</v>
      </c>
      <c r="S6" s="116"/>
      <c r="T6" s="116">
        <v>930</v>
      </c>
      <c r="U6" s="116"/>
      <c r="V6" s="116">
        <v>203</v>
      </c>
      <c r="W6" s="116"/>
      <c r="X6" s="116">
        <v>405</v>
      </c>
      <c r="Y6" s="116"/>
      <c r="Z6" s="116">
        <v>4469</v>
      </c>
      <c r="AA6" s="116"/>
      <c r="AB6" s="116">
        <v>1663</v>
      </c>
      <c r="AD6" s="116"/>
    </row>
    <row r="7" spans="1:30" x14ac:dyDescent="0.2">
      <c r="C7" s="19">
        <v>2022</v>
      </c>
      <c r="F7" s="116">
        <v>9807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D7" s="116"/>
    </row>
    <row r="8" spans="1:30" x14ac:dyDescent="0.2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116"/>
    </row>
    <row r="9" spans="1:30" x14ac:dyDescent="0.2">
      <c r="C9" s="19" t="s">
        <v>63</v>
      </c>
      <c r="F9" s="116" t="s">
        <v>61</v>
      </c>
      <c r="G9" s="116"/>
      <c r="H9" s="117">
        <v>1.2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D9" s="116"/>
    </row>
    <row r="10" spans="1:30" x14ac:dyDescent="0.2">
      <c r="C10" s="19">
        <v>2020</v>
      </c>
      <c r="F10" s="116"/>
      <c r="G10" s="116"/>
      <c r="H10" s="116"/>
      <c r="I10" s="116"/>
      <c r="J10" s="116"/>
      <c r="K10" s="116"/>
      <c r="L10" s="116"/>
      <c r="M10" s="116"/>
      <c r="N10" s="116">
        <f>N5/$H$9</f>
        <v>2168.3333333333335</v>
      </c>
      <c r="O10" s="116"/>
      <c r="P10" s="116">
        <f>P5/$H$9</f>
        <v>2488.3333333333335</v>
      </c>
      <c r="Q10" s="116"/>
      <c r="R10" s="116">
        <f>R5/$H$9</f>
        <v>2745</v>
      </c>
      <c r="S10" s="116"/>
      <c r="T10" s="116">
        <f>T5/$H$9</f>
        <v>1873.3333333333335</v>
      </c>
      <c r="U10" s="116"/>
      <c r="V10" s="116">
        <f>V5/$H$9</f>
        <v>3034.166666666667</v>
      </c>
      <c r="W10" s="116"/>
      <c r="X10" s="116">
        <f>X5/$H$9</f>
        <v>3396.666666666667</v>
      </c>
      <c r="Y10" s="116"/>
      <c r="Z10" s="116">
        <f>Z5/$H$9</f>
        <v>6285.8333333333339</v>
      </c>
      <c r="AA10" s="116"/>
      <c r="AB10" s="116">
        <f>AB5/$H$9</f>
        <v>13167.5</v>
      </c>
      <c r="AD10" s="116"/>
    </row>
    <row r="11" spans="1:30" x14ac:dyDescent="0.2">
      <c r="C11" s="19">
        <v>2021</v>
      </c>
      <c r="F11" s="116">
        <f>F6/$H$9</f>
        <v>6718.3333333333339</v>
      </c>
      <c r="G11" s="116"/>
      <c r="H11" s="116">
        <f>H6/$H$9</f>
        <v>7509.166666666667</v>
      </c>
      <c r="I11" s="116"/>
      <c r="J11" s="116">
        <f>J6/$H$9</f>
        <v>7206.666666666667</v>
      </c>
      <c r="K11" s="116"/>
      <c r="L11" s="116">
        <f>L6/$H$9</f>
        <v>5600.8333333333339</v>
      </c>
      <c r="M11" s="116"/>
      <c r="N11" s="116">
        <f>N6/$H$9</f>
        <v>3813.3333333333335</v>
      </c>
      <c r="O11" s="116"/>
      <c r="P11" s="116">
        <f>P6/$H$9</f>
        <v>3266.666666666667</v>
      </c>
      <c r="Q11" s="116"/>
      <c r="R11" s="116">
        <f>R6/$H$9</f>
        <v>1624.1666666666667</v>
      </c>
      <c r="S11" s="116"/>
      <c r="T11" s="116">
        <f>T6/$H$9</f>
        <v>775</v>
      </c>
      <c r="U11" s="116"/>
      <c r="V11" s="116">
        <f>V6/$H$9</f>
        <v>169.16666666666669</v>
      </c>
      <c r="W11" s="116"/>
      <c r="X11" s="116">
        <f>X6/$H$9</f>
        <v>337.5</v>
      </c>
      <c r="Y11" s="116"/>
      <c r="Z11" s="116">
        <f>Z6/$H$9</f>
        <v>3724.166666666667</v>
      </c>
      <c r="AA11" s="116"/>
      <c r="AB11" s="116">
        <f>AB6/$H$9</f>
        <v>1385.8333333333335</v>
      </c>
      <c r="AD11" s="116"/>
    </row>
    <row r="12" spans="1:30" x14ac:dyDescent="0.2">
      <c r="C12" s="19">
        <v>2022</v>
      </c>
      <c r="F12" s="116">
        <f>F7/$H$9</f>
        <v>8172.5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D12" s="116"/>
    </row>
    <row r="13" spans="1:30" x14ac:dyDescent="0.2"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D13" s="116"/>
    </row>
    <row r="14" spans="1:30" x14ac:dyDescent="0.2">
      <c r="F14" s="116">
        <f>SUM($F12:F12)+SUM(H11:$AB11)</f>
        <v>43585.000000000007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D14" s="116"/>
    </row>
    <row r="15" spans="1:30" x14ac:dyDescent="0.2"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D15" s="116"/>
    </row>
    <row r="16" spans="1:30" x14ac:dyDescent="0.2">
      <c r="C16" s="19" t="s">
        <v>64</v>
      </c>
      <c r="F16" s="116" t="s">
        <v>61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D16" s="116"/>
    </row>
    <row r="17" spans="3:31" x14ac:dyDescent="0.2">
      <c r="C17" s="19">
        <v>2020</v>
      </c>
      <c r="F17" s="116"/>
      <c r="G17" s="116"/>
      <c r="H17" s="116"/>
      <c r="I17" s="116"/>
      <c r="J17" s="116"/>
      <c r="K17" s="116"/>
      <c r="L17" s="116"/>
      <c r="M17" s="116"/>
      <c r="N17" s="116">
        <v>5353</v>
      </c>
      <c r="O17" s="116"/>
      <c r="P17" s="116">
        <v>4112</v>
      </c>
      <c r="Q17" s="116"/>
      <c r="R17" s="116">
        <v>3477</v>
      </c>
      <c r="S17" s="116"/>
      <c r="T17" s="116">
        <v>4107</v>
      </c>
      <c r="U17" s="116"/>
      <c r="V17" s="116">
        <v>3683</v>
      </c>
      <c r="W17" s="116"/>
      <c r="X17" s="116">
        <v>5476</v>
      </c>
      <c r="Y17" s="116"/>
      <c r="Z17" s="116">
        <v>5128</v>
      </c>
      <c r="AA17" s="116"/>
      <c r="AB17" s="116">
        <v>2275</v>
      </c>
      <c r="AD17" s="116"/>
    </row>
    <row r="18" spans="3:31" x14ac:dyDescent="0.2">
      <c r="C18" s="19">
        <v>2021</v>
      </c>
      <c r="F18" s="116">
        <v>4628</v>
      </c>
      <c r="G18" s="116"/>
      <c r="H18" s="116">
        <v>4320</v>
      </c>
      <c r="I18" s="116"/>
      <c r="J18" s="116">
        <v>4627</v>
      </c>
      <c r="K18" s="116"/>
      <c r="L18" s="116">
        <v>4162</v>
      </c>
      <c r="M18" s="116"/>
      <c r="N18" s="116">
        <v>4508</v>
      </c>
      <c r="O18" s="116"/>
      <c r="P18" s="116">
        <v>3506</v>
      </c>
      <c r="Q18" s="116"/>
      <c r="R18" s="116">
        <v>1840</v>
      </c>
      <c r="S18" s="116"/>
      <c r="T18" s="116">
        <v>1327</v>
      </c>
      <c r="U18" s="116"/>
      <c r="V18" s="116">
        <v>1798</v>
      </c>
      <c r="W18" s="116"/>
      <c r="X18" s="116">
        <v>2632</v>
      </c>
      <c r="Y18" s="116"/>
      <c r="Z18" s="116">
        <v>2750</v>
      </c>
      <c r="AA18" s="116"/>
      <c r="AB18" s="116">
        <v>4088</v>
      </c>
      <c r="AD18" s="116"/>
    </row>
    <row r="19" spans="3:31" x14ac:dyDescent="0.2">
      <c r="C19" s="19">
        <v>2022</v>
      </c>
      <c r="F19" s="116">
        <v>4726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D19" s="116"/>
    </row>
    <row r="20" spans="3:31" x14ac:dyDescent="0.2"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D20" s="116"/>
    </row>
    <row r="21" spans="3:31" x14ac:dyDescent="0.2">
      <c r="F21" s="116">
        <f>SUM($F19:F19)+SUM(H18:$AB18)</f>
        <v>40284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Y21" s="116"/>
      <c r="Z21" s="116"/>
      <c r="AA21" s="116"/>
      <c r="AB21" s="116"/>
      <c r="AD21" s="116"/>
    </row>
    <row r="22" spans="3:31" x14ac:dyDescent="0.2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Y22" s="116"/>
      <c r="Z22" s="116"/>
      <c r="AA22" s="116"/>
      <c r="AB22" s="116"/>
      <c r="AD22" s="116"/>
    </row>
    <row r="23" spans="3:31" x14ac:dyDescent="0.2">
      <c r="C23" s="19" t="s">
        <v>125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116"/>
    </row>
    <row r="24" spans="3:31" x14ac:dyDescent="0.2">
      <c r="C24" s="19">
        <v>2020</v>
      </c>
      <c r="F24" s="116"/>
      <c r="G24" s="116"/>
      <c r="H24" s="116"/>
      <c r="I24" s="116"/>
      <c r="J24" s="116"/>
      <c r="K24" s="116"/>
      <c r="L24" s="116"/>
      <c r="M24" s="116"/>
      <c r="N24" s="118">
        <v>0.92374141040011692</v>
      </c>
      <c r="O24" s="9"/>
      <c r="P24" s="61">
        <v>0.98412406008741815</v>
      </c>
      <c r="Q24" s="61"/>
      <c r="R24" s="118">
        <v>0.98578976134086349</v>
      </c>
      <c r="S24" s="9"/>
      <c r="T24" s="119">
        <v>0.98336382346215412</v>
      </c>
      <c r="U24" s="9"/>
      <c r="V24" s="9">
        <v>0.98474955694431487</v>
      </c>
      <c r="W24" s="9"/>
      <c r="X24" s="9">
        <v>0.977122283981809</v>
      </c>
      <c r="Y24" s="9"/>
      <c r="Z24" s="9">
        <v>0.94188011429390739</v>
      </c>
      <c r="AA24" s="9"/>
      <c r="AB24" s="9">
        <v>0.86897474409622744</v>
      </c>
      <c r="AD24" s="116"/>
    </row>
    <row r="25" spans="3:31" x14ac:dyDescent="0.2">
      <c r="C25" s="19">
        <v>2021</v>
      </c>
      <c r="F25" s="9">
        <v>0.8244498467008945</v>
      </c>
      <c r="G25" s="9"/>
      <c r="H25" s="9">
        <v>0.80864379016338361</v>
      </c>
      <c r="I25" s="9"/>
      <c r="J25" s="118">
        <v>0.93746554120689263</v>
      </c>
      <c r="K25" s="120"/>
      <c r="L25" s="118">
        <v>0.95346585775138759</v>
      </c>
      <c r="M25" s="116"/>
      <c r="N25" s="170">
        <v>0.97623035028216787</v>
      </c>
      <c r="O25" s="170"/>
      <c r="P25" s="170">
        <v>0.98571513335508942</v>
      </c>
      <c r="Q25" s="170"/>
      <c r="R25" s="170">
        <v>0.9787276914219919</v>
      </c>
      <c r="S25" s="116"/>
      <c r="T25" s="170">
        <v>0.96274715827681712</v>
      </c>
      <c r="U25" s="116"/>
      <c r="V25" s="170">
        <v>0.96100278551532037</v>
      </c>
      <c r="W25" s="116"/>
      <c r="X25" s="170">
        <v>0.95874005413829877</v>
      </c>
      <c r="Y25" s="116"/>
      <c r="Z25" s="61">
        <v>0.84812168702466006</v>
      </c>
      <c r="AA25" s="170"/>
      <c r="AB25" s="170">
        <v>0.82015246590260849</v>
      </c>
      <c r="AD25" s="116"/>
    </row>
    <row r="26" spans="3:31" x14ac:dyDescent="0.2">
      <c r="C26" s="19">
        <v>2022</v>
      </c>
      <c r="F26" s="170">
        <v>0.83266421798923718</v>
      </c>
      <c r="G26" s="116"/>
      <c r="H26" s="170">
        <v>0.82810555785980922</v>
      </c>
      <c r="I26" s="116"/>
      <c r="J26" s="116"/>
      <c r="K26" s="116"/>
      <c r="L26" s="61"/>
      <c r="M26" s="116"/>
      <c r="S26" s="116"/>
      <c r="T26" s="116"/>
      <c r="U26" s="116"/>
      <c r="V26" s="116"/>
      <c r="W26" s="116"/>
      <c r="X26" s="61"/>
      <c r="Y26" s="116"/>
      <c r="Z26" s="116"/>
      <c r="AA26" s="116"/>
      <c r="AB26" s="116"/>
      <c r="AD26" s="116"/>
    </row>
    <row r="27" spans="3:31" x14ac:dyDescent="0.2">
      <c r="F27" s="61">
        <f>F33/(F14+F21)</f>
        <v>0.90187320009768512</v>
      </c>
      <c r="G27" s="116"/>
      <c r="H27" s="116"/>
      <c r="I27" s="116"/>
      <c r="J27" s="116"/>
      <c r="K27" s="116"/>
      <c r="L27" s="61"/>
      <c r="M27" s="116"/>
      <c r="R27" s="170"/>
      <c r="S27" s="170"/>
      <c r="T27" s="170"/>
      <c r="U27" s="170"/>
      <c r="V27" s="170"/>
      <c r="W27" s="170"/>
      <c r="X27" s="170"/>
      <c r="Y27" s="170"/>
      <c r="AC27" s="170"/>
      <c r="AE27" s="170"/>
    </row>
    <row r="28" spans="3:31" x14ac:dyDescent="0.2">
      <c r="C28" s="121" t="s">
        <v>1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D28" s="116"/>
    </row>
    <row r="29" spans="3:31" x14ac:dyDescent="0.2">
      <c r="C29" s="19">
        <v>2020</v>
      </c>
      <c r="F29" s="116"/>
      <c r="G29" s="116"/>
      <c r="H29" s="116"/>
      <c r="I29" s="116"/>
      <c r="J29" s="116"/>
      <c r="K29" s="116"/>
      <c r="L29" s="116"/>
      <c r="M29" s="116"/>
      <c r="N29" s="116">
        <f>(N17+N10)*N24</f>
        <v>6947.7670614227463</v>
      </c>
      <c r="O29" s="116"/>
      <c r="P29" s="116">
        <f>(P17+P10)*P24</f>
        <v>6495.5468379303229</v>
      </c>
      <c r="Q29" s="116"/>
      <c r="R29" s="116">
        <f>(R17+R10)*R24</f>
        <v>6133.5838950628522</v>
      </c>
      <c r="S29" s="116"/>
      <c r="T29" s="116">
        <f>(T17+T10)*T24</f>
        <v>5880.843452244836</v>
      </c>
      <c r="U29" s="116"/>
      <c r="V29" s="116">
        <f>(V17+V10)*V24</f>
        <v>6614.7268989211207</v>
      </c>
      <c r="W29" s="116"/>
      <c r="X29" s="116">
        <f>(X17+X10)*X24</f>
        <v>8669.6803183425982</v>
      </c>
      <c r="Y29" s="116"/>
      <c r="Z29" s="116">
        <f>(Z17+Z10)*Z24</f>
        <v>10750.46264453161</v>
      </c>
      <c r="AA29" s="116"/>
      <c r="AB29" s="116">
        <f>(AB17+AB5)*AB24</f>
        <v>15707.587474283408</v>
      </c>
      <c r="AD29" s="116"/>
    </row>
    <row r="30" spans="3:31" x14ac:dyDescent="0.2">
      <c r="C30" s="19">
        <v>2021</v>
      </c>
      <c r="F30" s="116">
        <f>(F18+F11)*F25</f>
        <v>9354.4827772839162</v>
      </c>
      <c r="G30" s="116"/>
      <c r="H30" s="116">
        <f>(H18+H11)*H25</f>
        <v>9565.5821678076936</v>
      </c>
      <c r="I30" s="116"/>
      <c r="J30" s="116">
        <f>(J18+J11)*J25</f>
        <v>11093.654726128632</v>
      </c>
      <c r="K30" s="116"/>
      <c r="L30" s="116">
        <f>(L18+L11)*L25</f>
        <v>9308.528258250506</v>
      </c>
      <c r="M30" s="116"/>
      <c r="N30" s="116">
        <f>(N18+N11)*N25</f>
        <v>8123.5381548146797</v>
      </c>
      <c r="O30" s="116"/>
      <c r="P30" s="116">
        <f>(P18+P11)*P25</f>
        <v>6675.9200265029021</v>
      </c>
      <c r="Q30" s="116"/>
      <c r="R30" s="116">
        <f>(R18+R11)*R25</f>
        <v>3390.4758443676837</v>
      </c>
      <c r="S30" s="116"/>
      <c r="T30" s="116">
        <f>(T18+T11)*T25</f>
        <v>2023.6945266978696</v>
      </c>
      <c r="U30" s="116"/>
      <c r="V30" s="116">
        <f>(V18+V11)*V25</f>
        <v>1890.4526462395545</v>
      </c>
      <c r="W30" s="116"/>
      <c r="X30" s="116">
        <f>(X18+X11)*X25</f>
        <v>2846.9785907636783</v>
      </c>
      <c r="Y30" s="116"/>
      <c r="Z30" s="116">
        <f>(Z18+Z11)*Z25</f>
        <v>5490.8811554121539</v>
      </c>
      <c r="AA30" s="116"/>
      <c r="AB30" s="116">
        <f>(AB18+AB11)*AB25</f>
        <v>4489.3779062732292</v>
      </c>
      <c r="AD30" s="116"/>
    </row>
    <row r="31" spans="3:31" x14ac:dyDescent="0.2">
      <c r="C31" s="19">
        <v>2022</v>
      </c>
      <c r="F31" s="116">
        <f>(F19+F12)*F26</f>
        <v>10740.119415734176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D31" s="116"/>
    </row>
    <row r="32" spans="3:31" x14ac:dyDescent="0.2"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D32" s="116"/>
    </row>
    <row r="33" spans="2:30" x14ac:dyDescent="0.2">
      <c r="C33" s="121" t="s">
        <v>3</v>
      </c>
      <c r="F33" s="116">
        <f>SUM($F31:F31)+SUM(H30:$AB30)</f>
        <v>75639.203418992751</v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D33" s="116"/>
    </row>
    <row r="34" spans="2:30" x14ac:dyDescent="0.2"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D34" s="116"/>
    </row>
    <row r="35" spans="2:30" x14ac:dyDescent="0.2"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D35" s="116"/>
    </row>
    <row r="36" spans="2:30" x14ac:dyDescent="0.2">
      <c r="B36" s="124" t="s">
        <v>5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2:30" x14ac:dyDescent="0.2">
      <c r="C37" s="19" t="s">
        <v>30</v>
      </c>
      <c r="F37" s="116" t="s">
        <v>61</v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D37" s="116"/>
    </row>
    <row r="38" spans="2:30" x14ac:dyDescent="0.2">
      <c r="C38" s="19">
        <v>2020</v>
      </c>
      <c r="F38" s="116"/>
      <c r="G38" s="116"/>
      <c r="H38" s="116"/>
      <c r="I38" s="116"/>
      <c r="J38" s="116"/>
      <c r="K38" s="116"/>
      <c r="L38" s="116"/>
      <c r="M38" s="116"/>
      <c r="N38" s="116">
        <v>806</v>
      </c>
      <c r="O38" s="116"/>
      <c r="P38" s="116">
        <v>448</v>
      </c>
      <c r="Q38" s="116"/>
      <c r="R38" s="116">
        <v>413</v>
      </c>
      <c r="S38" s="116"/>
      <c r="T38" s="116">
        <v>329</v>
      </c>
      <c r="U38" s="116"/>
      <c r="V38" s="116">
        <v>450</v>
      </c>
      <c r="W38" s="116"/>
      <c r="X38" s="116">
        <v>639</v>
      </c>
      <c r="Y38" s="116"/>
      <c r="Z38" s="116">
        <v>1194</v>
      </c>
      <c r="AA38" s="116"/>
      <c r="AB38" s="116">
        <v>1521</v>
      </c>
      <c r="AD38" s="116"/>
    </row>
    <row r="39" spans="2:30" x14ac:dyDescent="0.2">
      <c r="C39" s="19">
        <v>2021</v>
      </c>
      <c r="F39" s="116">
        <v>747</v>
      </c>
      <c r="G39" s="116"/>
      <c r="H39" s="116">
        <v>1261</v>
      </c>
      <c r="I39" s="116"/>
      <c r="J39" s="116">
        <v>1048</v>
      </c>
      <c r="K39" s="116"/>
      <c r="L39" s="116">
        <v>1025</v>
      </c>
      <c r="M39" s="116"/>
      <c r="N39" s="116">
        <v>1349.4</v>
      </c>
      <c r="O39" s="116"/>
      <c r="P39" s="116">
        <v>413.7</v>
      </c>
      <c r="Q39" s="116"/>
      <c r="R39" s="116">
        <v>169.7</v>
      </c>
      <c r="S39" s="116"/>
      <c r="T39" s="116">
        <v>470</v>
      </c>
      <c r="U39" s="116"/>
      <c r="V39" s="116">
        <v>388.2</v>
      </c>
      <c r="W39" s="116"/>
      <c r="X39" s="116">
        <v>701</v>
      </c>
      <c r="Y39" s="116"/>
      <c r="Z39" s="116">
        <v>663.9</v>
      </c>
      <c r="AA39" s="116"/>
      <c r="AB39" s="116"/>
      <c r="AD39" s="116"/>
    </row>
    <row r="40" spans="2:30" x14ac:dyDescent="0.2">
      <c r="C40" s="19">
        <v>2022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D40" s="116"/>
    </row>
    <row r="41" spans="2:30" x14ac:dyDescent="0.2">
      <c r="L41" s="116"/>
      <c r="X41" s="116"/>
    </row>
    <row r="42" spans="2:30" x14ac:dyDescent="0.2">
      <c r="F42" s="116">
        <f>SUM($F40:F40)+SUM(H39:$AB39)</f>
        <v>7489.8999999999987</v>
      </c>
      <c r="L42" s="116"/>
      <c r="X42" s="116"/>
    </row>
    <row r="43" spans="2:30" x14ac:dyDescent="0.2">
      <c r="L43" s="116"/>
    </row>
    <row r="44" spans="2:30" x14ac:dyDescent="0.2">
      <c r="C44" s="19" t="s">
        <v>126</v>
      </c>
      <c r="F44" s="116" t="s">
        <v>61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D44" s="116"/>
    </row>
    <row r="45" spans="2:30" x14ac:dyDescent="0.2">
      <c r="C45" s="19">
        <v>2020</v>
      </c>
      <c r="F45" s="116"/>
      <c r="G45" s="116"/>
      <c r="H45" s="116"/>
      <c r="I45" s="116"/>
      <c r="J45" s="116"/>
      <c r="K45" s="116"/>
      <c r="L45" s="116"/>
      <c r="M45" s="116"/>
      <c r="N45" s="116">
        <v>0</v>
      </c>
      <c r="O45" s="116"/>
      <c r="P45" s="116">
        <v>101</v>
      </c>
      <c r="Q45" s="116"/>
      <c r="R45" s="116">
        <v>1</v>
      </c>
      <c r="S45" s="116"/>
      <c r="T45" s="116">
        <v>0</v>
      </c>
      <c r="U45" s="116"/>
      <c r="V45" s="116">
        <v>0</v>
      </c>
      <c r="W45" s="116"/>
      <c r="X45" s="116">
        <v>11</v>
      </c>
      <c r="Y45" s="116"/>
      <c r="Z45" s="116">
        <v>715</v>
      </c>
      <c r="AA45" s="116"/>
      <c r="AB45" s="116">
        <f>95+1616</f>
        <v>1711</v>
      </c>
      <c r="AD45" s="116"/>
    </row>
    <row r="46" spans="2:30" x14ac:dyDescent="0.2">
      <c r="C46" s="19">
        <v>2021</v>
      </c>
      <c r="F46" s="116">
        <f>1022+1424</f>
        <v>2446</v>
      </c>
      <c r="G46" s="116"/>
      <c r="H46" s="116">
        <f>1020+1181</f>
        <v>2201</v>
      </c>
      <c r="I46" s="116"/>
      <c r="J46" s="116">
        <f>576+445</f>
        <v>1021</v>
      </c>
      <c r="K46" s="116"/>
      <c r="L46" s="116">
        <f>127+145</f>
        <v>272</v>
      </c>
      <c r="M46" s="116"/>
      <c r="N46" s="116">
        <v>35</v>
      </c>
      <c r="O46" s="116"/>
      <c r="P46" s="116">
        <v>0</v>
      </c>
      <c r="Q46" s="116"/>
      <c r="R46" s="116">
        <v>210</v>
      </c>
      <c r="S46" s="116"/>
      <c r="T46" s="116">
        <v>6</v>
      </c>
      <c r="U46" s="116"/>
      <c r="V46" s="116">
        <v>0</v>
      </c>
      <c r="W46" s="116"/>
      <c r="X46" s="116">
        <v>0</v>
      </c>
      <c r="Y46" s="116"/>
      <c r="Z46" s="116">
        <f>829+211</f>
        <v>1040</v>
      </c>
      <c r="AA46" s="116"/>
      <c r="AB46" s="116">
        <f>973+107</f>
        <v>1080</v>
      </c>
      <c r="AD46" s="116"/>
    </row>
    <row r="47" spans="2:30" x14ac:dyDescent="0.2">
      <c r="C47" s="19">
        <v>2022</v>
      </c>
      <c r="F47" s="116">
        <v>1536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D47" s="116"/>
    </row>
    <row r="48" spans="2:30" x14ac:dyDescent="0.2"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D48" s="116"/>
    </row>
    <row r="49" spans="2:30" x14ac:dyDescent="0.2">
      <c r="F49" s="116">
        <f>SUM($F47:F47)+SUM(H46:$AB46)</f>
        <v>7401</v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D49" s="116"/>
    </row>
    <row r="50" spans="2:30" x14ac:dyDescent="0.2"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D50" s="116"/>
    </row>
    <row r="51" spans="2:30" x14ac:dyDescent="0.2">
      <c r="C51" s="121" t="s">
        <v>127</v>
      </c>
      <c r="F51" s="116">
        <f>F49+F42</f>
        <v>14890.899999999998</v>
      </c>
      <c r="G51" s="116"/>
      <c r="H51" s="116" t="s">
        <v>61</v>
      </c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AA51" s="116"/>
      <c r="AB51" s="116"/>
      <c r="AD51" s="116"/>
    </row>
    <row r="52" spans="2:30" x14ac:dyDescent="0.2"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D52" s="116"/>
    </row>
    <row r="53" spans="2:30" x14ac:dyDescent="0.2">
      <c r="B53" s="124" t="s">
        <v>6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</row>
    <row r="54" spans="2:30" x14ac:dyDescent="0.2">
      <c r="C54" s="19" t="s">
        <v>128</v>
      </c>
      <c r="F54" s="116" t="s">
        <v>61</v>
      </c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D54" s="116"/>
    </row>
    <row r="55" spans="2:30" x14ac:dyDescent="0.2">
      <c r="C55" s="19">
        <v>2020</v>
      </c>
      <c r="F55" s="116"/>
      <c r="G55" s="116"/>
      <c r="H55" s="116"/>
      <c r="I55" s="116"/>
      <c r="J55" s="116"/>
      <c r="K55" s="116"/>
      <c r="L55" s="116"/>
      <c r="M55" s="116"/>
      <c r="N55" s="116">
        <v>341</v>
      </c>
      <c r="O55" s="116"/>
      <c r="P55" s="116">
        <v>43</v>
      </c>
      <c r="Q55" s="116"/>
      <c r="R55" s="116">
        <v>9</v>
      </c>
      <c r="S55" s="116"/>
      <c r="T55" s="116">
        <v>17</v>
      </c>
      <c r="U55" s="116"/>
      <c r="V55" s="116">
        <v>151</v>
      </c>
      <c r="W55" s="116"/>
      <c r="X55" s="116">
        <v>271</v>
      </c>
      <c r="Y55" s="116"/>
      <c r="Z55" s="116">
        <v>922</v>
      </c>
      <c r="AA55" s="116"/>
      <c r="AB55" s="116">
        <v>1631</v>
      </c>
      <c r="AD55" s="116"/>
    </row>
    <row r="56" spans="2:30" x14ac:dyDescent="0.2">
      <c r="C56" s="19">
        <v>2021</v>
      </c>
      <c r="F56" s="116">
        <v>1771</v>
      </c>
      <c r="G56" s="116"/>
      <c r="H56" s="116">
        <v>2445</v>
      </c>
      <c r="I56" s="116"/>
      <c r="J56" s="116">
        <v>1533</v>
      </c>
      <c r="K56" s="116"/>
      <c r="L56" s="116">
        <v>497</v>
      </c>
      <c r="M56" s="116"/>
      <c r="N56" s="116">
        <v>500.9</v>
      </c>
      <c r="O56" s="116"/>
      <c r="P56" s="116">
        <v>120.2</v>
      </c>
      <c r="Q56" s="116"/>
      <c r="R56" s="116">
        <v>102.4</v>
      </c>
      <c r="S56" s="116"/>
      <c r="T56" s="116">
        <v>139.19999999999999</v>
      </c>
      <c r="U56" s="116"/>
      <c r="V56" s="116">
        <v>108.3</v>
      </c>
      <c r="W56" s="116"/>
      <c r="X56" s="116">
        <v>408.3</v>
      </c>
      <c r="Y56" s="116"/>
      <c r="Z56" s="116">
        <v>1262</v>
      </c>
      <c r="AA56" s="116"/>
      <c r="AB56" s="116">
        <v>1357</v>
      </c>
      <c r="AD56" s="116"/>
    </row>
    <row r="57" spans="2:30" x14ac:dyDescent="0.2">
      <c r="C57" s="19">
        <v>2022</v>
      </c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D57" s="116"/>
    </row>
    <row r="58" spans="2:30" x14ac:dyDescent="0.2">
      <c r="L58" s="116"/>
      <c r="X58" s="116"/>
    </row>
    <row r="59" spans="2:30" x14ac:dyDescent="0.2">
      <c r="F59" s="116">
        <f>SUM($F57:F57)+SUM(H56:$AB56)</f>
        <v>8473.2999999999993</v>
      </c>
      <c r="L59" s="116"/>
      <c r="X59" s="116"/>
    </row>
    <row r="60" spans="2:30" x14ac:dyDescent="0.2">
      <c r="L60" s="116"/>
    </row>
    <row r="61" spans="2:30" x14ac:dyDescent="0.2">
      <c r="C61" s="19" t="s">
        <v>126</v>
      </c>
      <c r="F61" s="116" t="s">
        <v>61</v>
      </c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D61" s="116"/>
    </row>
    <row r="62" spans="2:30" x14ac:dyDescent="0.2">
      <c r="C62" s="19">
        <v>2020</v>
      </c>
      <c r="F62" s="116"/>
      <c r="G62" s="116"/>
      <c r="H62" s="116"/>
      <c r="I62" s="116"/>
      <c r="J62" s="116"/>
      <c r="K62" s="116"/>
      <c r="L62" s="116"/>
      <c r="M62" s="116"/>
      <c r="N62" s="116">
        <v>234</v>
      </c>
      <c r="O62" s="116"/>
      <c r="P62" s="116">
        <v>133</v>
      </c>
      <c r="Q62" s="116"/>
      <c r="R62" s="116">
        <v>111</v>
      </c>
      <c r="S62" s="116"/>
      <c r="T62" s="116">
        <v>120</v>
      </c>
      <c r="U62" s="116"/>
      <c r="V62" s="116">
        <v>135</v>
      </c>
      <c r="W62" s="116"/>
      <c r="X62" s="116">
        <v>187</v>
      </c>
      <c r="Y62" s="116"/>
      <c r="Z62" s="116">
        <v>387</v>
      </c>
      <c r="AA62" s="116"/>
      <c r="AB62" s="116">
        <v>745</v>
      </c>
      <c r="AD62" s="116"/>
    </row>
    <row r="63" spans="2:30" x14ac:dyDescent="0.2">
      <c r="C63" s="19">
        <v>2021</v>
      </c>
      <c r="F63" s="116">
        <v>789</v>
      </c>
      <c r="G63" s="116"/>
      <c r="H63" s="116">
        <v>461</v>
      </c>
      <c r="I63" s="116"/>
      <c r="J63" s="116">
        <v>164</v>
      </c>
      <c r="K63" s="116"/>
      <c r="L63" s="116">
        <v>353</v>
      </c>
      <c r="M63" s="116"/>
      <c r="N63" s="116">
        <v>225</v>
      </c>
      <c r="O63" s="116"/>
      <c r="P63" s="116">
        <v>150</v>
      </c>
      <c r="Q63" s="116"/>
      <c r="R63" s="116">
        <v>117</v>
      </c>
      <c r="S63" s="116"/>
      <c r="T63" s="116">
        <v>115</v>
      </c>
      <c r="U63" s="116"/>
      <c r="V63" s="116">
        <v>116</v>
      </c>
      <c r="W63" s="116"/>
      <c r="X63" s="116">
        <v>183</v>
      </c>
      <c r="Y63" s="116"/>
      <c r="Z63" s="116">
        <v>531</v>
      </c>
      <c r="AA63" s="116"/>
      <c r="AB63" s="116">
        <v>531</v>
      </c>
      <c r="AD63" s="116"/>
    </row>
    <row r="64" spans="2:30" x14ac:dyDescent="0.2">
      <c r="C64" s="19">
        <v>2022</v>
      </c>
      <c r="F64" s="116">
        <v>845</v>
      </c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D64" s="116"/>
    </row>
    <row r="65" spans="3:30" x14ac:dyDescent="0.2"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D65" s="116"/>
    </row>
    <row r="66" spans="3:30" x14ac:dyDescent="0.2">
      <c r="F66" s="116">
        <f>SUM($F63:X63)+SUM(Z62:$AB62)</f>
        <v>3805</v>
      </c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Y66" s="116"/>
      <c r="Z66" s="116"/>
      <c r="AA66" s="116"/>
      <c r="AB66" s="116"/>
      <c r="AD66" s="116"/>
    </row>
    <row r="67" spans="3:30" x14ac:dyDescent="0.2"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D67" s="116"/>
    </row>
    <row r="68" spans="3:30" x14ac:dyDescent="0.2">
      <c r="C68" s="19" t="s">
        <v>196</v>
      </c>
      <c r="F68" s="116" t="s">
        <v>61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D68" s="116"/>
    </row>
    <row r="69" spans="3:30" x14ac:dyDescent="0.2">
      <c r="C69" s="19">
        <v>2022</v>
      </c>
      <c r="F69" s="116">
        <v>1094</v>
      </c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D69" s="116"/>
    </row>
    <row r="70" spans="3:30" x14ac:dyDescent="0.2"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>
        <f>SUM($F68:X68)+SUM(Z67:$AB67)</f>
        <v>0</v>
      </c>
      <c r="Y70" s="116"/>
      <c r="Z70" s="116"/>
      <c r="AA70" s="116"/>
      <c r="AB70" s="116"/>
      <c r="AD70" s="116"/>
    </row>
    <row r="71" spans="3:30" x14ac:dyDescent="0.2">
      <c r="F71" s="116">
        <f>SUM($F69:X69)+SUM(Z68:$AB68)</f>
        <v>1094</v>
      </c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D71" s="116"/>
    </row>
    <row r="72" spans="3:30" x14ac:dyDescent="0.2"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D72" s="116"/>
    </row>
    <row r="73" spans="3:30" x14ac:dyDescent="0.2">
      <c r="C73" s="19" t="s">
        <v>197</v>
      </c>
      <c r="F73" s="116" t="s">
        <v>61</v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D73" s="116"/>
    </row>
    <row r="74" spans="3:30" x14ac:dyDescent="0.2">
      <c r="C74" s="19">
        <v>2021</v>
      </c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>
        <v>1685</v>
      </c>
      <c r="AA74" s="116"/>
      <c r="AB74" s="116">
        <v>298</v>
      </c>
      <c r="AD74" s="116"/>
    </row>
    <row r="75" spans="3:30" x14ac:dyDescent="0.2">
      <c r="C75" s="19">
        <v>2022</v>
      </c>
      <c r="F75" s="116">
        <v>2106</v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D75" s="116"/>
    </row>
    <row r="76" spans="3:30" x14ac:dyDescent="0.2"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D76" s="116"/>
    </row>
    <row r="77" spans="3:30" x14ac:dyDescent="0.2">
      <c r="F77" s="116">
        <f>SUM($F75:X75)+SUM(Z74:$AB74)</f>
        <v>4089</v>
      </c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D77" s="116"/>
    </row>
    <row r="78" spans="3:30" x14ac:dyDescent="0.2"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D78" s="116"/>
    </row>
    <row r="79" spans="3:30" x14ac:dyDescent="0.2">
      <c r="C79" s="121" t="s">
        <v>129</v>
      </c>
      <c r="F79" s="116">
        <f>F59+F66+F71+F77</f>
        <v>17461.3</v>
      </c>
      <c r="G79" s="116"/>
      <c r="H79" s="116" t="s">
        <v>61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AA79" s="116"/>
      <c r="AB79" s="116"/>
      <c r="AD79" s="116"/>
    </row>
    <row r="80" spans="3:30" x14ac:dyDescent="0.2"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D80" s="116"/>
    </row>
    <row r="81" spans="6:30" x14ac:dyDescent="0.2">
      <c r="F81" s="116">
        <f>F79+F51+F33</f>
        <v>107991.40341899275</v>
      </c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D81" s="116"/>
    </row>
    <row r="82" spans="6:30" x14ac:dyDescent="0.2"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D82" s="116"/>
    </row>
    <row r="83" spans="6:30" x14ac:dyDescent="0.2">
      <c r="L83" s="116"/>
      <c r="T83" s="116"/>
      <c r="V83" s="116"/>
      <c r="X83" s="116"/>
    </row>
    <row r="84" spans="6:30" x14ac:dyDescent="0.2">
      <c r="L84" s="116"/>
      <c r="N84" s="116"/>
      <c r="T84" s="178"/>
      <c r="V84" s="178"/>
      <c r="X84" s="178"/>
    </row>
    <row r="85" spans="6:30" x14ac:dyDescent="0.2"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D85" s="116"/>
    </row>
    <row r="87" spans="6:30" x14ac:dyDescent="0.2">
      <c r="F87" s="116"/>
      <c r="H87" s="116"/>
      <c r="J87" s="116"/>
      <c r="L87" s="116"/>
      <c r="N87" s="116"/>
      <c r="P87" s="116"/>
      <c r="R87" s="116"/>
      <c r="T87" s="116"/>
      <c r="V87" s="116"/>
      <c r="X87" s="116"/>
      <c r="Z87" s="116"/>
      <c r="AB87" s="116"/>
      <c r="AD87" s="116"/>
    </row>
    <row r="88" spans="6:30" x14ac:dyDescent="0.2">
      <c r="F88" s="8"/>
      <c r="H88" s="8"/>
      <c r="J88" s="8"/>
      <c r="L88" s="8"/>
      <c r="N88" s="8"/>
      <c r="P88" s="8"/>
      <c r="R88" s="8"/>
      <c r="T88" s="8"/>
      <c r="V88" s="8"/>
      <c r="X88" s="8"/>
      <c r="Z88" s="8"/>
      <c r="AB88" s="8"/>
      <c r="AD88" s="9"/>
    </row>
    <row r="89" spans="6:30" x14ac:dyDescent="0.2">
      <c r="F89" s="8"/>
      <c r="H89" s="8"/>
      <c r="J89" s="8"/>
      <c r="L89" s="8"/>
      <c r="N89" s="8"/>
      <c r="P89" s="8"/>
      <c r="R89" s="8"/>
      <c r="T89" s="8"/>
      <c r="V89" s="8"/>
      <c r="X89" s="8"/>
      <c r="Z89" s="8"/>
      <c r="AB89" s="8"/>
      <c r="AD89" s="9"/>
    </row>
    <row r="90" spans="6:30" x14ac:dyDescent="0.2">
      <c r="F90" s="8"/>
      <c r="H90" s="8"/>
      <c r="J90" s="8"/>
      <c r="L90" s="8"/>
      <c r="N90" s="8"/>
      <c r="P90" s="8"/>
      <c r="R90" s="8"/>
      <c r="T90" s="8"/>
      <c r="V90" s="8"/>
      <c r="X90" s="8"/>
      <c r="Z90" s="8"/>
      <c r="AB90" s="8"/>
      <c r="AD90" s="9"/>
    </row>
    <row r="93" spans="6:30" x14ac:dyDescent="0.2">
      <c r="P93" s="116"/>
      <c r="R93" s="116"/>
      <c r="T93" s="116"/>
      <c r="V93" s="116"/>
      <c r="X93" s="116"/>
      <c r="Z93" s="116"/>
      <c r="AB93" s="116"/>
    </row>
    <row r="94" spans="6:30" x14ac:dyDescent="0.2">
      <c r="F94" s="116"/>
      <c r="H94" s="116"/>
      <c r="J94" s="116"/>
      <c r="L94" s="116"/>
      <c r="N94" s="116"/>
      <c r="AD94" s="10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967-DABE-4F6A-AF73-DB0EF0190FE0}">
  <sheetPr>
    <pageSetUpPr fitToPage="1"/>
  </sheetPr>
  <dimension ref="A1:AD51"/>
  <sheetViews>
    <sheetView zoomScaleNormal="100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AD39" sqref="AD39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">
      <c r="C10">
        <v>2022</v>
      </c>
      <c r="F10" s="7">
        <v>9748</v>
      </c>
      <c r="G10" s="7"/>
      <c r="H10" s="7">
        <v>6389</v>
      </c>
      <c r="I10" s="7"/>
      <c r="J10" s="6"/>
      <c r="K10" s="6"/>
      <c r="L10" s="6"/>
      <c r="M10" s="6"/>
      <c r="N10" s="6"/>
      <c r="O10" s="7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D10" s="7"/>
    </row>
    <row r="11" spans="1:30" x14ac:dyDescent="0.2"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">
      <c r="C12" s="1" t="s">
        <v>3</v>
      </c>
      <c r="F12" s="6">
        <f>SUM(H9:$AB9)+SUM($F10:F10)</f>
        <v>73665.399999999994</v>
      </c>
      <c r="G12" s="7"/>
      <c r="H12" s="7"/>
      <c r="I12" s="7"/>
      <c r="J12" s="6"/>
      <c r="K12" s="6"/>
      <c r="L12" s="6"/>
      <c r="M12" s="6"/>
      <c r="N12" s="6"/>
      <c r="O12" s="7"/>
      <c r="P12" s="6"/>
      <c r="Q12" s="6"/>
      <c r="R12" s="6"/>
      <c r="S12" s="7"/>
      <c r="T12" s="7"/>
      <c r="U12" s="7"/>
      <c r="V12" s="7"/>
      <c r="W12" s="7"/>
      <c r="X12" s="6"/>
      <c r="Y12" s="7"/>
      <c r="Z12" s="7"/>
      <c r="AA12" s="7"/>
      <c r="AB12" s="7"/>
      <c r="AD12" s="7"/>
    </row>
    <row r="13" spans="1:30" x14ac:dyDescent="0.2">
      <c r="C13" t="s">
        <v>4</v>
      </c>
      <c r="F13" s="7">
        <f>AVERAGE(F6:F10)</f>
        <v>11194.7</v>
      </c>
      <c r="G13" s="7"/>
      <c r="H13" s="7">
        <f>AVERAGE(H6:H10)</f>
        <v>11044.82</v>
      </c>
      <c r="I13" s="7"/>
      <c r="J13" s="7">
        <f>AVERAGE(J5:J9)</f>
        <v>11699.02</v>
      </c>
      <c r="K13" s="6"/>
      <c r="L13" s="7">
        <f>AVERAGE(L5:L9)</f>
        <v>9475.66</v>
      </c>
      <c r="M13" s="6"/>
      <c r="N13" s="7">
        <f>AVERAGE(N5:N9)</f>
        <v>6989.7</v>
      </c>
      <c r="O13" s="7"/>
      <c r="P13" s="7">
        <f>AVERAGE(P5:P9)</f>
        <v>5831.92</v>
      </c>
      <c r="Q13" s="6"/>
      <c r="R13" s="7">
        <f>AVERAGE(R5:R9)</f>
        <v>4803.4399999999996</v>
      </c>
      <c r="S13" s="7"/>
      <c r="T13" s="7">
        <f>AVERAGE(T5:T9)</f>
        <v>5187.82</v>
      </c>
      <c r="U13" s="7"/>
      <c r="V13" s="7">
        <f>AVERAGE(V5:V9)</f>
        <v>5055.46</v>
      </c>
      <c r="W13" s="7"/>
      <c r="X13" s="7">
        <f>AVERAGE(X5:X9)</f>
        <v>6103.7199999999993</v>
      </c>
      <c r="Y13" s="7"/>
      <c r="Z13" s="7">
        <f>AVERAGE(Z5:Z9)</f>
        <v>9866.76</v>
      </c>
      <c r="AA13" s="7"/>
      <c r="AB13" s="7">
        <f>AVERAGE(AB5:AB9)</f>
        <v>10923.880000000001</v>
      </c>
      <c r="AD13" s="7">
        <f>SUM(F13:AB13)</f>
        <v>98176.9</v>
      </c>
    </row>
    <row r="14" spans="1:30" x14ac:dyDescent="0.2">
      <c r="F14" s="7"/>
      <c r="G14" s="7"/>
      <c r="H14" s="7"/>
      <c r="I14" s="7"/>
      <c r="J14" s="6"/>
      <c r="K14" s="6"/>
      <c r="L14" s="6"/>
      <c r="M14" s="6"/>
      <c r="N14" s="6"/>
      <c r="O14" s="7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D14" s="7"/>
    </row>
    <row r="15" spans="1:30" x14ac:dyDescent="0.2">
      <c r="B15" t="s">
        <v>5</v>
      </c>
    </row>
    <row r="16" spans="1:30" x14ac:dyDescent="0.2">
      <c r="C16">
        <v>2016</v>
      </c>
      <c r="F16" s="6">
        <v>3400</v>
      </c>
      <c r="G16" s="6"/>
      <c r="H16" s="6">
        <v>2723</v>
      </c>
      <c r="I16" s="6"/>
      <c r="J16" s="6">
        <v>1376</v>
      </c>
      <c r="K16" s="6"/>
      <c r="L16" s="6">
        <v>913</v>
      </c>
      <c r="M16" s="6"/>
      <c r="N16" s="6">
        <v>406</v>
      </c>
      <c r="O16" s="6"/>
      <c r="P16" s="6">
        <v>247</v>
      </c>
      <c r="Q16" s="6"/>
      <c r="R16" s="6">
        <v>223</v>
      </c>
      <c r="S16" s="6"/>
      <c r="T16" s="6">
        <v>221</v>
      </c>
      <c r="U16" s="6"/>
      <c r="V16" s="6">
        <v>235</v>
      </c>
      <c r="W16" s="6"/>
      <c r="X16" s="6">
        <v>443</v>
      </c>
      <c r="Y16" s="6"/>
      <c r="Z16" s="6">
        <v>1501</v>
      </c>
      <c r="AA16" s="6"/>
      <c r="AB16" s="6">
        <v>2532</v>
      </c>
      <c r="AD16" s="7">
        <f t="shared" ref="AD16:AD21" si="1">SUM(F16:AB16)</f>
        <v>14220</v>
      </c>
    </row>
    <row r="17" spans="2:30" x14ac:dyDescent="0.2">
      <c r="C17">
        <v>2017</v>
      </c>
      <c r="F17" s="6">
        <v>2547</v>
      </c>
      <c r="G17" s="6"/>
      <c r="H17" s="6">
        <v>1912</v>
      </c>
      <c r="I17" s="6"/>
      <c r="J17" s="6">
        <v>1990</v>
      </c>
      <c r="K17" s="6"/>
      <c r="L17" s="6">
        <v>659</v>
      </c>
      <c r="M17" s="6"/>
      <c r="N17" s="6">
        <v>481</v>
      </c>
      <c r="O17" s="6"/>
      <c r="P17" s="6">
        <v>285</v>
      </c>
      <c r="Q17" s="6"/>
      <c r="R17" s="6">
        <v>284</v>
      </c>
      <c r="S17" s="6"/>
      <c r="T17" s="6">
        <v>298</v>
      </c>
      <c r="U17" s="6"/>
      <c r="V17" s="6">
        <v>289</v>
      </c>
      <c r="W17" s="6"/>
      <c r="X17" s="6">
        <v>754</v>
      </c>
      <c r="Y17" s="6"/>
      <c r="Z17" s="6">
        <v>1828</v>
      </c>
      <c r="AA17" s="6"/>
      <c r="AB17" s="6">
        <v>2501</v>
      </c>
      <c r="AD17" s="7">
        <f t="shared" si="1"/>
        <v>13828</v>
      </c>
    </row>
    <row r="18" spans="2:30" x14ac:dyDescent="0.2">
      <c r="C18">
        <v>2018</v>
      </c>
      <c r="F18" s="7">
        <v>4102</v>
      </c>
      <c r="G18" s="7"/>
      <c r="H18" s="7">
        <v>2020</v>
      </c>
      <c r="I18" s="7"/>
      <c r="J18" s="6">
        <v>2241</v>
      </c>
      <c r="K18" s="6"/>
      <c r="L18" s="6">
        <v>1481</v>
      </c>
      <c r="M18" s="6"/>
      <c r="N18" s="6">
        <v>392</v>
      </c>
      <c r="O18" s="7"/>
      <c r="P18" s="6">
        <v>303</v>
      </c>
      <c r="Q18" s="6"/>
      <c r="R18" s="6">
        <v>298</v>
      </c>
      <c r="S18" s="7"/>
      <c r="T18" s="7">
        <v>316</v>
      </c>
      <c r="U18" s="7"/>
      <c r="V18" s="7">
        <v>260</v>
      </c>
      <c r="W18" s="7"/>
      <c r="X18" s="7">
        <v>812</v>
      </c>
      <c r="Y18" s="7"/>
      <c r="Z18" s="7">
        <v>2151</v>
      </c>
      <c r="AA18" s="7"/>
      <c r="AB18" s="7">
        <v>2602</v>
      </c>
      <c r="AD18" s="7">
        <f t="shared" si="1"/>
        <v>16978</v>
      </c>
    </row>
    <row r="19" spans="2:30" x14ac:dyDescent="0.2">
      <c r="C19">
        <v>2019</v>
      </c>
      <c r="F19" s="7">
        <v>2898</v>
      </c>
      <c r="G19" s="7"/>
      <c r="H19" s="7">
        <v>2333</v>
      </c>
      <c r="I19" s="7"/>
      <c r="J19" s="6">
        <v>2073</v>
      </c>
      <c r="K19" s="6"/>
      <c r="L19" s="6">
        <v>912</v>
      </c>
      <c r="M19" s="6"/>
      <c r="N19" s="6">
        <v>369</v>
      </c>
      <c r="O19" s="7"/>
      <c r="P19" s="6">
        <v>320</v>
      </c>
      <c r="Q19" s="6"/>
      <c r="R19" s="6">
        <v>335</v>
      </c>
      <c r="S19" s="7"/>
      <c r="T19" s="7">
        <v>289</v>
      </c>
      <c r="U19" s="7"/>
      <c r="V19" s="7">
        <v>365</v>
      </c>
      <c r="W19" s="7"/>
      <c r="X19" s="7">
        <v>628</v>
      </c>
      <c r="Y19" s="7"/>
      <c r="Z19" s="7">
        <v>2233</v>
      </c>
      <c r="AA19" s="7"/>
      <c r="AB19" s="7">
        <v>2655</v>
      </c>
      <c r="AD19" s="7">
        <f t="shared" si="1"/>
        <v>15410</v>
      </c>
    </row>
    <row r="20" spans="2:30" x14ac:dyDescent="0.2">
      <c r="C20">
        <v>2020</v>
      </c>
      <c r="F20" s="7">
        <v>2719</v>
      </c>
      <c r="G20" s="7"/>
      <c r="H20" s="7">
        <v>2400</v>
      </c>
      <c r="I20" s="7"/>
      <c r="J20" s="7">
        <v>1653</v>
      </c>
      <c r="K20" s="6"/>
      <c r="L20" s="7">
        <v>1142</v>
      </c>
      <c r="M20" s="6"/>
      <c r="N20" s="7">
        <v>847</v>
      </c>
      <c r="O20" s="7"/>
      <c r="P20" s="6">
        <v>448</v>
      </c>
      <c r="Q20" s="6"/>
      <c r="R20" s="7">
        <v>413</v>
      </c>
      <c r="S20" s="7"/>
      <c r="T20" s="7">
        <v>312</v>
      </c>
      <c r="U20" s="7"/>
      <c r="V20" s="7">
        <v>441</v>
      </c>
      <c r="W20" s="7"/>
      <c r="X20" s="7">
        <v>639</v>
      </c>
      <c r="Y20" s="7"/>
      <c r="Z20" s="7">
        <v>1890</v>
      </c>
      <c r="AA20" s="7"/>
      <c r="AB20" s="7">
        <v>2795</v>
      </c>
      <c r="AD20" s="7">
        <f t="shared" si="1"/>
        <v>15699</v>
      </c>
    </row>
    <row r="21" spans="2:30" x14ac:dyDescent="0.2">
      <c r="C21">
        <v>2021</v>
      </c>
      <c r="F21" s="7">
        <v>3070</v>
      </c>
      <c r="G21" s="7"/>
      <c r="H21" s="7">
        <v>3329</v>
      </c>
      <c r="I21" s="7"/>
      <c r="J21" s="7">
        <v>1992</v>
      </c>
      <c r="K21" s="6"/>
      <c r="L21" s="7">
        <v>1247</v>
      </c>
      <c r="M21" s="6"/>
      <c r="N21" s="7">
        <f>(9615+3840)/10</f>
        <v>1345.5</v>
      </c>
      <c r="O21" s="7"/>
      <c r="P21" s="6">
        <v>413.7</v>
      </c>
      <c r="Q21" s="6"/>
      <c r="R21" s="7">
        <v>364.5</v>
      </c>
      <c r="S21" s="7"/>
      <c r="T21" s="116">
        <f>(1322+3378)/10</f>
        <v>470</v>
      </c>
      <c r="U21" s="116"/>
      <c r="V21" s="116">
        <f>(1334+2548)/10</f>
        <v>388.2</v>
      </c>
      <c r="W21" s="7"/>
      <c r="X21" s="7">
        <f>(4102+2983)/10</f>
        <v>708.5</v>
      </c>
      <c r="Y21" s="7"/>
      <c r="Z21" s="7">
        <f>(16113+6018)/10</f>
        <v>2213.1</v>
      </c>
      <c r="AA21" s="7"/>
      <c r="AB21" s="7">
        <v>2434</v>
      </c>
      <c r="AD21" s="7">
        <f t="shared" si="1"/>
        <v>17975.5</v>
      </c>
    </row>
    <row r="22" spans="2:30" x14ac:dyDescent="0.2">
      <c r="C22">
        <v>2022</v>
      </c>
      <c r="F22" s="7">
        <v>2640</v>
      </c>
      <c r="H22" s="7">
        <v>2602</v>
      </c>
      <c r="L22" s="7"/>
    </row>
    <row r="23" spans="2:30" x14ac:dyDescent="0.2">
      <c r="L23" s="7"/>
    </row>
    <row r="24" spans="2:30" x14ac:dyDescent="0.2">
      <c r="C24" s="1" t="s">
        <v>3</v>
      </c>
      <c r="F24" s="6">
        <f>SUM(H21:$AB21)+SUM($F22:F22)</f>
        <v>17545.5</v>
      </c>
      <c r="L24" s="6"/>
      <c r="N24" s="6"/>
      <c r="X24" s="6"/>
    </row>
    <row r="25" spans="2:30" x14ac:dyDescent="0.2">
      <c r="C25" t="s">
        <v>4</v>
      </c>
      <c r="F25" s="7">
        <f>AVERAGE(F18:F22)</f>
        <v>3085.8</v>
      </c>
      <c r="G25" s="7"/>
      <c r="H25" s="7">
        <f>AVERAGE(H18:H22)</f>
        <v>2536.8000000000002</v>
      </c>
      <c r="I25" s="7"/>
      <c r="J25" s="7">
        <f>AVERAGE(J17:J21)</f>
        <v>1989.8</v>
      </c>
      <c r="K25" s="6"/>
      <c r="L25" s="7">
        <f>AVERAGE(L17:L21)</f>
        <v>1088.2</v>
      </c>
      <c r="M25" s="6"/>
      <c r="N25" s="7">
        <f>AVERAGE(N17:N21)</f>
        <v>686.9</v>
      </c>
      <c r="O25" s="7"/>
      <c r="P25" s="7">
        <f>AVERAGE(P17:P21)</f>
        <v>353.94</v>
      </c>
      <c r="Q25" s="6"/>
      <c r="R25" s="7">
        <f>AVERAGE(R17:R21)</f>
        <v>338.9</v>
      </c>
      <c r="S25" s="7"/>
      <c r="T25" s="7">
        <f>AVERAGE(T17:T21)</f>
        <v>337</v>
      </c>
      <c r="U25" s="7"/>
      <c r="V25" s="7">
        <f>AVERAGE(V17:V21)</f>
        <v>348.64</v>
      </c>
      <c r="W25" s="7"/>
      <c r="X25" s="7">
        <f>AVERAGE(X17:X21)</f>
        <v>708.3</v>
      </c>
      <c r="Y25" s="7"/>
      <c r="Z25" s="7">
        <f>AVERAGE(Z17:Z21)</f>
        <v>2063.02</v>
      </c>
      <c r="AA25" s="7"/>
      <c r="AB25" s="7">
        <f>AVERAGE(AB17:AB21)</f>
        <v>2597.4</v>
      </c>
      <c r="AD25" s="7">
        <f>SUM(F25:AB25)</f>
        <v>16134.699999999999</v>
      </c>
    </row>
    <row r="26" spans="2:30" x14ac:dyDescent="0.2">
      <c r="L26" s="7"/>
    </row>
    <row r="27" spans="2:30" x14ac:dyDescent="0.2">
      <c r="B27" t="s">
        <v>6</v>
      </c>
    </row>
    <row r="28" spans="2:30" x14ac:dyDescent="0.2">
      <c r="C28">
        <v>2016</v>
      </c>
      <c r="F28" s="6">
        <v>2914</v>
      </c>
      <c r="G28" s="6"/>
      <c r="H28" s="6">
        <v>2325</v>
      </c>
      <c r="I28" s="6"/>
      <c r="J28" s="6">
        <v>1385</v>
      </c>
      <c r="K28" s="6"/>
      <c r="L28" s="6">
        <v>663</v>
      </c>
      <c r="M28" s="6"/>
      <c r="N28" s="6">
        <v>362</v>
      </c>
      <c r="O28" s="6"/>
      <c r="P28" s="6">
        <v>103</v>
      </c>
      <c r="Q28" s="6"/>
      <c r="R28" s="6">
        <v>105</v>
      </c>
      <c r="S28" s="6"/>
      <c r="T28" s="6">
        <v>74</v>
      </c>
      <c r="U28" s="6"/>
      <c r="V28" s="6">
        <v>175</v>
      </c>
      <c r="W28" s="6"/>
      <c r="X28" s="6">
        <v>313</v>
      </c>
      <c r="Y28" s="6"/>
      <c r="Z28" s="6">
        <v>1361</v>
      </c>
      <c r="AA28" s="6"/>
      <c r="AB28" s="6">
        <v>1998</v>
      </c>
      <c r="AD28" s="7">
        <f t="shared" ref="AD28:AD33" si="2">SUM(F28:AB28)</f>
        <v>11778</v>
      </c>
    </row>
    <row r="29" spans="2:30" x14ac:dyDescent="0.2">
      <c r="C29">
        <v>2017</v>
      </c>
      <c r="F29" s="6">
        <v>2132</v>
      </c>
      <c r="G29" s="6"/>
      <c r="H29" s="6">
        <v>1591</v>
      </c>
      <c r="I29" s="6"/>
      <c r="J29" s="6">
        <v>1662</v>
      </c>
      <c r="K29" s="6"/>
      <c r="L29" s="6">
        <v>498</v>
      </c>
      <c r="M29" s="6"/>
      <c r="N29" s="6">
        <v>272</v>
      </c>
      <c r="O29" s="6"/>
      <c r="P29" s="6">
        <v>137</v>
      </c>
      <c r="Q29" s="6"/>
      <c r="R29" s="6">
        <v>125</v>
      </c>
      <c r="S29" s="6"/>
      <c r="T29" s="6">
        <v>112</v>
      </c>
      <c r="U29" s="6"/>
      <c r="V29" s="6">
        <v>146</v>
      </c>
      <c r="W29" s="6"/>
      <c r="X29" s="6">
        <v>503</v>
      </c>
      <c r="Y29" s="6"/>
      <c r="Z29" s="6">
        <v>1424</v>
      </c>
      <c r="AA29" s="6"/>
      <c r="AB29" s="6">
        <v>2076</v>
      </c>
      <c r="AD29" s="7">
        <f t="shared" si="2"/>
        <v>10678</v>
      </c>
    </row>
    <row r="30" spans="2:30" x14ac:dyDescent="0.2">
      <c r="C30">
        <v>2018</v>
      </c>
      <c r="F30" s="7">
        <v>3491</v>
      </c>
      <c r="G30" s="7"/>
      <c r="H30" s="7">
        <v>1682</v>
      </c>
      <c r="I30" s="7"/>
      <c r="J30" s="6">
        <v>1932</v>
      </c>
      <c r="K30" s="6"/>
      <c r="L30" s="6">
        <v>1238</v>
      </c>
      <c r="M30" s="6"/>
      <c r="N30" s="6">
        <v>169</v>
      </c>
      <c r="O30" s="7"/>
      <c r="P30" s="6">
        <v>108</v>
      </c>
      <c r="Q30" s="6"/>
      <c r="R30" s="6">
        <v>114</v>
      </c>
      <c r="S30" s="7"/>
      <c r="T30" s="7">
        <v>120</v>
      </c>
      <c r="U30" s="7"/>
      <c r="V30" s="7">
        <v>76</v>
      </c>
      <c r="W30" s="7"/>
      <c r="X30" s="7">
        <v>670</v>
      </c>
      <c r="Y30" s="7"/>
      <c r="Z30" s="7">
        <v>1713</v>
      </c>
      <c r="AA30" s="7"/>
      <c r="AB30" s="7">
        <v>2044</v>
      </c>
      <c r="AD30" s="7">
        <f t="shared" si="2"/>
        <v>13357</v>
      </c>
    </row>
    <row r="31" spans="2:30" x14ac:dyDescent="0.2">
      <c r="C31">
        <v>2019</v>
      </c>
      <c r="F31" s="7">
        <v>2854</v>
      </c>
      <c r="G31" s="7"/>
      <c r="H31" s="7">
        <v>1720</v>
      </c>
      <c r="I31" s="7"/>
      <c r="J31" s="6">
        <v>1809</v>
      </c>
      <c r="K31" s="6"/>
      <c r="L31" s="6">
        <v>703</v>
      </c>
      <c r="M31" s="6"/>
      <c r="N31" s="6">
        <v>191</v>
      </c>
      <c r="O31" s="7"/>
      <c r="P31" s="6">
        <v>138</v>
      </c>
      <c r="Q31" s="6"/>
      <c r="R31" s="6">
        <v>123</v>
      </c>
      <c r="S31" s="7"/>
      <c r="T31" s="7">
        <v>128</v>
      </c>
      <c r="U31" s="7"/>
      <c r="V31" s="7">
        <v>151</v>
      </c>
      <c r="W31" s="7"/>
      <c r="X31" s="7">
        <v>439</v>
      </c>
      <c r="Y31" s="7"/>
      <c r="Z31" s="7">
        <v>1651</v>
      </c>
      <c r="AA31" s="7"/>
      <c r="AB31" s="7">
        <v>2141</v>
      </c>
      <c r="AD31" s="7">
        <f t="shared" si="2"/>
        <v>12048</v>
      </c>
    </row>
    <row r="32" spans="2:30" x14ac:dyDescent="0.2">
      <c r="C32">
        <v>2020</v>
      </c>
      <c r="F32" s="7">
        <v>2131</v>
      </c>
      <c r="G32" s="7"/>
      <c r="H32" s="7">
        <v>1951</v>
      </c>
      <c r="I32" s="7"/>
      <c r="J32" s="7">
        <v>1327</v>
      </c>
      <c r="K32" s="6"/>
      <c r="L32" s="7">
        <v>957</v>
      </c>
      <c r="M32" s="6"/>
      <c r="N32" s="7">
        <v>530</v>
      </c>
      <c r="O32" s="7"/>
      <c r="P32" s="6">
        <v>170</v>
      </c>
      <c r="Q32" s="6"/>
      <c r="R32" s="7">
        <v>118</v>
      </c>
      <c r="S32" s="7"/>
      <c r="T32" s="7">
        <v>132</v>
      </c>
      <c r="U32" s="7"/>
      <c r="V32" s="7">
        <v>280</v>
      </c>
      <c r="W32" s="7"/>
      <c r="X32" s="7">
        <v>453</v>
      </c>
      <c r="Y32" s="7"/>
      <c r="Z32" s="7">
        <v>1296</v>
      </c>
      <c r="AA32" s="7"/>
      <c r="AB32" s="7">
        <v>2369</v>
      </c>
      <c r="AD32" s="7">
        <f t="shared" si="2"/>
        <v>11714</v>
      </c>
    </row>
    <row r="33" spans="1:30" x14ac:dyDescent="0.2">
      <c r="C33">
        <v>2021</v>
      </c>
      <c r="F33" s="7">
        <v>2462</v>
      </c>
      <c r="G33" s="7"/>
      <c r="H33" s="7">
        <v>2794</v>
      </c>
      <c r="I33" s="7"/>
      <c r="J33" s="7">
        <v>1632</v>
      </c>
      <c r="K33" s="6"/>
      <c r="L33" s="7">
        <v>817</v>
      </c>
      <c r="M33" s="6"/>
      <c r="N33" s="7">
        <f>(6568+419)/10</f>
        <v>698.7</v>
      </c>
      <c r="O33" s="7"/>
      <c r="P33" s="7">
        <v>144.30000000000001</v>
      </c>
      <c r="Q33" s="7"/>
      <c r="R33" s="7">
        <v>178.9</v>
      </c>
      <c r="S33" s="7"/>
      <c r="T33" s="116">
        <f>(1517+303)/10</f>
        <v>182</v>
      </c>
      <c r="U33" s="116"/>
      <c r="V33" s="116">
        <f>(2749+145)/10</f>
        <v>289.39999999999998</v>
      </c>
      <c r="W33" s="7"/>
      <c r="X33" s="7">
        <f>(5109+323)/10</f>
        <v>543.20000000000005</v>
      </c>
      <c r="Y33" s="7"/>
      <c r="Z33" s="7">
        <f>(16330+750)/10</f>
        <v>1708</v>
      </c>
      <c r="AA33" s="7"/>
      <c r="AB33" s="7">
        <v>1832</v>
      </c>
      <c r="AD33" s="7">
        <f t="shared" si="2"/>
        <v>13281.5</v>
      </c>
    </row>
    <row r="34" spans="1:30" x14ac:dyDescent="0.2">
      <c r="C34">
        <v>2022</v>
      </c>
      <c r="F34" s="7">
        <v>2503</v>
      </c>
      <c r="H34" s="7">
        <v>2263</v>
      </c>
      <c r="L34" s="6"/>
    </row>
    <row r="35" spans="1:30" x14ac:dyDescent="0.2">
      <c r="L35" s="6"/>
    </row>
    <row r="36" spans="1:30" x14ac:dyDescent="0.2">
      <c r="C36" s="1" t="s">
        <v>3</v>
      </c>
      <c r="F36" s="6">
        <f>SUM(H33:$AB33)+SUM($F34:F34)</f>
        <v>13322.5</v>
      </c>
      <c r="L36" s="6"/>
      <c r="N36" s="6"/>
      <c r="X36" s="6"/>
    </row>
    <row r="37" spans="1:30" x14ac:dyDescent="0.2">
      <c r="C37" t="s">
        <v>4</v>
      </c>
      <c r="F37" s="7">
        <f>AVERAGE(F30:F34)</f>
        <v>2688.2</v>
      </c>
      <c r="G37" s="7"/>
      <c r="H37" s="7">
        <f>AVERAGE(H30:H34)</f>
        <v>2082</v>
      </c>
      <c r="I37" s="7"/>
      <c r="J37" s="7">
        <f>AVERAGE(J29:J33)</f>
        <v>1672.4</v>
      </c>
      <c r="K37" s="6"/>
      <c r="L37" s="7">
        <f>AVERAGE(L29:L33)</f>
        <v>842.6</v>
      </c>
      <c r="M37" s="6"/>
      <c r="N37" s="7">
        <f>AVERAGE(N29:N33)</f>
        <v>372.14</v>
      </c>
      <c r="O37" s="7"/>
      <c r="P37" s="7">
        <f>AVERAGE(P29:P33)</f>
        <v>139.45999999999998</v>
      </c>
      <c r="Q37" s="6"/>
      <c r="R37" s="7">
        <f>AVERAGE(R29:R33)</f>
        <v>131.78</v>
      </c>
      <c r="S37" s="7"/>
      <c r="T37" s="7">
        <f>AVERAGE(T29:T33)</f>
        <v>134.80000000000001</v>
      </c>
      <c r="U37" s="7"/>
      <c r="V37" s="7">
        <f>AVERAGE(V29:V33)</f>
        <v>188.48</v>
      </c>
      <c r="W37" s="7"/>
      <c r="X37" s="7">
        <f>AVERAGE(X29:X33)</f>
        <v>521.64</v>
      </c>
      <c r="Y37" s="7"/>
      <c r="Z37" s="7">
        <f>AVERAGE(Z29:Z33)</f>
        <v>1558.4</v>
      </c>
      <c r="AA37" s="7"/>
      <c r="AB37" s="7">
        <f>AVERAGE(AB29:AB33)</f>
        <v>2092.4</v>
      </c>
      <c r="AD37" s="7">
        <f>SUM(F37:AB37)</f>
        <v>12424.3</v>
      </c>
    </row>
    <row r="39" spans="1:30" x14ac:dyDescent="0.2">
      <c r="A39" t="s">
        <v>7</v>
      </c>
      <c r="F39" s="7">
        <f>F13+F25+F37</f>
        <v>16968.7</v>
      </c>
      <c r="H39" s="7">
        <f>H13+H25+H37</f>
        <v>15663.619999999999</v>
      </c>
      <c r="J39" s="7">
        <f>J13+J25+J37</f>
        <v>15361.22</v>
      </c>
      <c r="L39" s="7">
        <f>L13+L25+L37</f>
        <v>11406.460000000001</v>
      </c>
      <c r="N39" s="7">
        <f>N13+N25+N37</f>
        <v>8048.74</v>
      </c>
      <c r="P39" s="7">
        <f>P13+P25+P37</f>
        <v>6325.32</v>
      </c>
      <c r="R39" s="7">
        <f>R13+R25+R37</f>
        <v>5274.119999999999</v>
      </c>
      <c r="T39" s="7">
        <f>T13+T25+T37</f>
        <v>5659.62</v>
      </c>
      <c r="V39" s="7">
        <f>V13+V25+V37</f>
        <v>5592.58</v>
      </c>
      <c r="X39" s="7">
        <f>X13+X25+X37</f>
        <v>7333.66</v>
      </c>
      <c r="Z39" s="7">
        <f>Z13+Z25+Z37</f>
        <v>13488.18</v>
      </c>
      <c r="AB39" s="7">
        <f>AB13+AB25+AB37</f>
        <v>15613.68</v>
      </c>
      <c r="AD39" s="7">
        <f>SUM(F39:AB39)</f>
        <v>126735.9</v>
      </c>
    </row>
    <row r="40" spans="1:30" x14ac:dyDescent="0.2">
      <c r="B40" t="s">
        <v>8</v>
      </c>
      <c r="F40" s="8">
        <f>F13/F$39</f>
        <v>0.65972643749963167</v>
      </c>
      <c r="H40" s="8">
        <f>H13/H$39</f>
        <v>0.70512563507030945</v>
      </c>
      <c r="J40" s="8">
        <f>J13/J$39</f>
        <v>0.76159445669028902</v>
      </c>
      <c r="L40" s="8">
        <f>L13/L$39</f>
        <v>0.8307275000306843</v>
      </c>
      <c r="N40" s="8">
        <f>N13/N$39</f>
        <v>0.86842164115128584</v>
      </c>
      <c r="P40" s="8">
        <f>P13/P$39</f>
        <v>0.92199604130700108</v>
      </c>
      <c r="R40" s="8">
        <f>R13/R$39</f>
        <v>0.91075667599523724</v>
      </c>
      <c r="T40" s="8">
        <f>T13/T$39</f>
        <v>0.91663751276587468</v>
      </c>
      <c r="V40" s="8">
        <f>V13/V$39</f>
        <v>0.90395845924421292</v>
      </c>
      <c r="X40" s="8">
        <f>X13/X$39</f>
        <v>0.83228837988125981</v>
      </c>
      <c r="Z40" s="8">
        <f>Z13/Z$39</f>
        <v>0.7315115901478183</v>
      </c>
      <c r="AB40" s="8">
        <f>AB13/AB$39</f>
        <v>0.69963519170368549</v>
      </c>
      <c r="AD40" s="9">
        <f>AD13/AD$39</f>
        <v>0.77465737805941326</v>
      </c>
    </row>
    <row r="41" spans="1:30" x14ac:dyDescent="0.2">
      <c r="B41" t="s">
        <v>9</v>
      </c>
      <c r="F41" s="8">
        <f>F25/F$39</f>
        <v>0.18185246954687159</v>
      </c>
      <c r="H41" s="8">
        <f>H25/H$39</f>
        <v>0.16195489931446244</v>
      </c>
      <c r="J41" s="8">
        <f>J25/J$39</f>
        <v>0.12953398232692456</v>
      </c>
      <c r="L41" s="8">
        <f>L25/L$39</f>
        <v>9.5402079172679344E-2</v>
      </c>
      <c r="N41" s="8">
        <f>N25/N$39</f>
        <v>8.5342550511011667E-2</v>
      </c>
      <c r="P41" s="8">
        <f>P25/P$39</f>
        <v>5.5956062301986305E-2</v>
      </c>
      <c r="R41" s="8">
        <f>R25/R$39</f>
        <v>6.4257165176370659E-2</v>
      </c>
      <c r="T41" s="8">
        <f>T25/T$39</f>
        <v>5.9544633738660903E-2</v>
      </c>
      <c r="V41" s="8">
        <f>V25/V$39</f>
        <v>6.2339743016639901E-2</v>
      </c>
      <c r="X41" s="8">
        <f>X25/X$39</f>
        <v>9.6582061344540102E-2</v>
      </c>
      <c r="Z41" s="8">
        <f>Z25/Z$39</f>
        <v>0.15295021270475334</v>
      </c>
      <c r="AB41" s="8">
        <f>AB25/AB$39</f>
        <v>0.16635412023302643</v>
      </c>
      <c r="AD41" s="9">
        <f>AD25/AD$39</f>
        <v>0.12730962576507523</v>
      </c>
    </row>
    <row r="42" spans="1:30" x14ac:dyDescent="0.2">
      <c r="B42" t="s">
        <v>10</v>
      </c>
      <c r="F42" s="8">
        <f>F37/F$39</f>
        <v>0.15842109295349671</v>
      </c>
      <c r="H42" s="8">
        <f>H37/H$39</f>
        <v>0.13291946561522816</v>
      </c>
      <c r="J42" s="8">
        <f>J37/J$39</f>
        <v>0.10887156098278654</v>
      </c>
      <c r="L42" s="8">
        <f>L37/L$39</f>
        <v>7.3870420796636291E-2</v>
      </c>
      <c r="N42" s="8">
        <f>N37/N$39</f>
        <v>4.623580833770255E-2</v>
      </c>
      <c r="P42" s="8">
        <f>P37/P$39</f>
        <v>2.2047896391012626E-2</v>
      </c>
      <c r="R42" s="8">
        <f>R37/R$39</f>
        <v>2.4986158828392231E-2</v>
      </c>
      <c r="T42" s="8">
        <f>T37/T$39</f>
        <v>2.3817853495464364E-2</v>
      </c>
      <c r="V42" s="8">
        <f>V37/V$39</f>
        <v>3.3701797739147228E-2</v>
      </c>
      <c r="X42" s="8">
        <f>X37/X$39</f>
        <v>7.1129558774200061E-2</v>
      </c>
      <c r="Z42" s="8">
        <f>Z37/Z$39</f>
        <v>0.11553819714742834</v>
      </c>
      <c r="AB42" s="8">
        <f>AB37/AB$39</f>
        <v>0.13401068806328809</v>
      </c>
      <c r="AD42" s="9">
        <f>AD37/AD$39</f>
        <v>9.8032996175511436E-2</v>
      </c>
    </row>
    <row r="44" spans="1:30" x14ac:dyDescent="0.2">
      <c r="B44" s="1" t="s">
        <v>184</v>
      </c>
    </row>
    <row r="45" spans="1:30" x14ac:dyDescent="0.2">
      <c r="C45">
        <v>2020</v>
      </c>
      <c r="P45" s="7">
        <f>P32+P20+P8</f>
        <v>6494.5</v>
      </c>
      <c r="R45" s="7">
        <f>R32+R20+R8</f>
        <v>6483.1</v>
      </c>
      <c r="T45" s="7">
        <f>T32+T20+T8</f>
        <v>5604.3</v>
      </c>
      <c r="V45" s="7">
        <f>V32+V20+V8</f>
        <v>7055.5</v>
      </c>
      <c r="X45" s="7">
        <f>X32+X20+X8</f>
        <v>8826.9</v>
      </c>
      <c r="Z45" s="7">
        <f>Z32+Z20+Z8</f>
        <v>12382.8</v>
      </c>
      <c r="AB45" s="7">
        <f>AB32+AB20+AB8</f>
        <v>18933.599999999999</v>
      </c>
    </row>
    <row r="46" spans="1:30" x14ac:dyDescent="0.2">
      <c r="C46">
        <v>2021</v>
      </c>
      <c r="F46" s="7">
        <f>F33+F21+F9</f>
        <v>14620.9</v>
      </c>
      <c r="H46" s="7">
        <f>H33+H21+H9</f>
        <v>15749.5</v>
      </c>
      <c r="J46" s="7">
        <f>J33+J21+J9</f>
        <v>15696.4</v>
      </c>
      <c r="L46" s="7">
        <f>L33+L21+L9</f>
        <v>12405.1</v>
      </c>
      <c r="N46" s="7">
        <f>N33+N21+N9</f>
        <v>8981</v>
      </c>
      <c r="P46" s="7">
        <f>P33+P21+P9</f>
        <v>7203.1</v>
      </c>
      <c r="R46" s="7">
        <f>R33+R21+R9</f>
        <v>3943.5</v>
      </c>
      <c r="T46" s="7">
        <f>T33+T21+T9</f>
        <v>2667.8</v>
      </c>
      <c r="V46" s="7">
        <f>V33+V21+V9</f>
        <v>2471.6</v>
      </c>
      <c r="X46" s="7">
        <f>X33+X21+X9</f>
        <v>4758.1000000000004</v>
      </c>
      <c r="Z46" s="7">
        <f>N9+N21+N33</f>
        <v>8981</v>
      </c>
      <c r="AB46" s="7">
        <f>AB9+AB21+AB33</f>
        <v>7429</v>
      </c>
      <c r="AD46" s="10"/>
    </row>
    <row r="47" spans="1:30" x14ac:dyDescent="0.2">
      <c r="C47">
        <v>2022</v>
      </c>
      <c r="F47" s="7">
        <f>F10+F22+F34</f>
        <v>14891</v>
      </c>
      <c r="H47" s="7">
        <f>H10+H22+H34</f>
        <v>11254</v>
      </c>
    </row>
    <row r="49" spans="1:24" x14ac:dyDescent="0.2">
      <c r="A49" t="s">
        <v>3</v>
      </c>
      <c r="F49" s="6">
        <f>SUM(H46:$AB46)+SUM($F47:F47)</f>
        <v>105177.1</v>
      </c>
      <c r="R49" s="6"/>
    </row>
    <row r="51" spans="1:24" x14ac:dyDescent="0.2">
      <c r="X51" s="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DBD7-2E8F-45D7-B0BC-903D85EE18F2}">
  <dimension ref="A1:K35"/>
  <sheetViews>
    <sheetView workbookViewId="0">
      <selection activeCell="J35" sqref="J35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190</v>
      </c>
    </row>
    <row r="14" spans="1:11" x14ac:dyDescent="0.2">
      <c r="B14" s="122" t="s">
        <v>137</v>
      </c>
      <c r="C14" s="19" t="s">
        <v>138</v>
      </c>
      <c r="J14" s="182">
        <v>6.5572999999999997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80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81">
        <f>J14*J17</f>
        <v>8.081976475930972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82">
        <v>4.2445000000000004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83">
        <v>265478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83">
        <v>216717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80">
        <f>J24/J25</f>
        <v>1.2249985003483805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80">
        <f>J9/J27</f>
        <v>1.1077564581622583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81">
        <f>J23*J28</f>
        <v>4.7018722866697056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80">
        <f>J29</f>
        <v>4.7018722866697056</v>
      </c>
    </row>
    <row r="33" spans="3:10" x14ac:dyDescent="0.2">
      <c r="C33" s="19" t="s">
        <v>164</v>
      </c>
      <c r="J33" s="180">
        <f>J32</f>
        <v>4.7018722866697056</v>
      </c>
    </row>
    <row r="34" spans="3:10" x14ac:dyDescent="0.2">
      <c r="C34" s="19" t="s">
        <v>145</v>
      </c>
      <c r="J34" s="180">
        <f>J18</f>
        <v>8.081976475930972</v>
      </c>
    </row>
    <row r="35" spans="3:10" x14ac:dyDescent="0.2">
      <c r="C35" s="121" t="s">
        <v>166</v>
      </c>
      <c r="J35" s="184">
        <f>AVERAGE(J32:J34)</f>
        <v>5.8285736830901271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Purchases</vt:lpstr>
      <vt:lpstr>Sales</vt:lpstr>
      <vt:lpstr>SCH III B&amp;S Oil FloydCo N-D-J</vt:lpstr>
      <vt:lpstr>SCH III B&amp;S Oil FloydCo A-S-O</vt:lpstr>
      <vt:lpstr>'Actual Adjustment (IV)'!Print_Area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Julie Loving</cp:lastModifiedBy>
  <cp:lastPrinted>2021-10-01T03:16:03Z</cp:lastPrinted>
  <dcterms:created xsi:type="dcterms:W3CDTF">2021-09-30T01:07:57Z</dcterms:created>
  <dcterms:modified xsi:type="dcterms:W3CDTF">2022-04-01T17:37:33Z</dcterms:modified>
</cp:coreProperties>
</file>