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i\Google Drive\Southern 2022\RFI #1 Files\"/>
    </mc:Choice>
  </mc:AlternateContent>
  <xr:revisionPtr revIDLastSave="0" documentId="8_{546B9A99-0ED2-4E22-AA2A-D69F4B210679}" xr6:coauthVersionLast="47" xr6:coauthVersionMax="47" xr10:uidLastSave="{00000000-0000-0000-0000-000000000000}"/>
  <bookViews>
    <workbookView xWindow="-96" yWindow="-96" windowWidth="23232" windowHeight="12552" xr2:uid="{9481E8EC-AE8B-45EF-9888-106E7D6700F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1" l="1"/>
  <c r="O32" i="1"/>
  <c r="E32" i="1"/>
  <c r="F32" i="1" s="1"/>
  <c r="C32" i="1"/>
  <c r="E31" i="1"/>
  <c r="F31" i="1" s="1"/>
  <c r="C31" i="1"/>
  <c r="G30" i="1"/>
  <c r="E30" i="1"/>
  <c r="F30" i="1" s="1"/>
  <c r="F33" i="1" s="1"/>
  <c r="F34" i="1" s="1"/>
  <c r="F36" i="1" s="1"/>
  <c r="C30" i="1"/>
  <c r="P27" i="1"/>
  <c r="L26" i="1"/>
  <c r="N25" i="1"/>
  <c r="M25" i="1"/>
  <c r="P25" i="1" s="1"/>
  <c r="N24" i="1"/>
  <c r="M24" i="1"/>
  <c r="O24" i="1" s="1"/>
  <c r="N23" i="1"/>
  <c r="J23" i="1"/>
  <c r="M23" i="1" s="1"/>
  <c r="P22" i="1"/>
  <c r="N22" i="1"/>
  <c r="O22" i="1" s="1"/>
  <c r="M22" i="1"/>
  <c r="J22" i="1"/>
  <c r="S21" i="1"/>
  <c r="N21" i="1"/>
  <c r="M21" i="1"/>
  <c r="O21" i="1" s="1"/>
  <c r="J21" i="1"/>
  <c r="D21" i="1"/>
  <c r="E21" i="1" s="1"/>
  <c r="E23" i="1" s="1"/>
  <c r="N20" i="1"/>
  <c r="M20" i="1"/>
  <c r="O20" i="1" s="1"/>
  <c r="P19" i="1"/>
  <c r="O19" i="1"/>
  <c r="N19" i="1"/>
  <c r="M19" i="1"/>
  <c r="N18" i="1"/>
  <c r="J18" i="1"/>
  <c r="M18" i="1" s="1"/>
  <c r="O18" i="1" s="1"/>
  <c r="P17" i="1"/>
  <c r="O17" i="1"/>
  <c r="N17" i="1"/>
  <c r="M17" i="1"/>
  <c r="N16" i="1"/>
  <c r="J16" i="1"/>
  <c r="M16" i="1" s="1"/>
  <c r="O16" i="1" s="1"/>
  <c r="N15" i="1"/>
  <c r="O15" i="1" s="1"/>
  <c r="M15" i="1"/>
  <c r="J15" i="1"/>
  <c r="D15" i="1"/>
  <c r="N14" i="1"/>
  <c r="J14" i="1"/>
  <c r="M14" i="1" s="1"/>
  <c r="O14" i="1" s="1"/>
  <c r="N13" i="1"/>
  <c r="J13" i="1"/>
  <c r="M13" i="1" s="1"/>
  <c r="O13" i="1" s="1"/>
  <c r="N12" i="1"/>
  <c r="J12" i="1"/>
  <c r="M12" i="1" s="1"/>
  <c r="O11" i="1"/>
  <c r="N11" i="1"/>
  <c r="M11" i="1"/>
  <c r="J11" i="1"/>
  <c r="C11" i="1"/>
  <c r="P10" i="1"/>
  <c r="N10" i="1"/>
  <c r="O10" i="1" s="1"/>
  <c r="M10" i="1"/>
  <c r="J10" i="1"/>
  <c r="N9" i="1"/>
  <c r="J9" i="1"/>
  <c r="M9" i="1" s="1"/>
  <c r="N8" i="1"/>
  <c r="J8" i="1"/>
  <c r="M8" i="1" s="1"/>
  <c r="P7" i="1"/>
  <c r="O7" i="1"/>
  <c r="N7" i="1"/>
  <c r="M7" i="1"/>
  <c r="J7" i="1"/>
  <c r="V6" i="1"/>
  <c r="V8" i="1" s="1"/>
  <c r="V9" i="1" s="1"/>
  <c r="C6" i="1"/>
  <c r="D9" i="1" s="1"/>
  <c r="C22" i="1" s="1"/>
  <c r="D5" i="1"/>
  <c r="P8" i="1" l="1"/>
  <c r="O8" i="1"/>
  <c r="P9" i="1"/>
  <c r="O9" i="1"/>
  <c r="P12" i="1"/>
  <c r="P26" i="1" s="1"/>
  <c r="P28" i="1" s="1"/>
  <c r="O12" i="1"/>
  <c r="O23" i="1"/>
  <c r="P23" i="1"/>
  <c r="P21" i="1"/>
  <c r="J26" i="1"/>
  <c r="O25" i="1"/>
  <c r="O26" i="1" s="1"/>
  <c r="O28" i="1" s="1"/>
  <c r="O35" i="1" l="1"/>
  <c r="O37" i="1" s="1"/>
  <c r="O39" i="1" s="1"/>
  <c r="O31" i="1"/>
  <c r="O33" i="1" s="1"/>
</calcChain>
</file>

<file path=xl/sharedStrings.xml><?xml version="1.0" encoding="utf-8"?>
<sst xmlns="http://schemas.openxmlformats.org/spreadsheetml/2006/main" count="99" uniqueCount="91">
  <si>
    <t>Water Loss Adjustment:</t>
  </si>
  <si>
    <t>Salaries &amp; Wages and Associated Adjustments</t>
  </si>
  <si>
    <t>Capitalized Expense Adjustments:</t>
  </si>
  <si>
    <t>Total</t>
  </si>
  <si>
    <t>Produced &amp; Purchased</t>
  </si>
  <si>
    <t>Pro Forma</t>
  </si>
  <si>
    <t xml:space="preserve">Pro Forma </t>
  </si>
  <si>
    <t>401k</t>
  </si>
  <si>
    <t>No.</t>
  </si>
  <si>
    <t>Charge</t>
  </si>
  <si>
    <t xml:space="preserve">     Retail</t>
  </si>
  <si>
    <t>Employee</t>
  </si>
  <si>
    <t>Reg. Hrs</t>
  </si>
  <si>
    <t>O. T. Hours</t>
  </si>
  <si>
    <t>Wage Rate</t>
  </si>
  <si>
    <t>Reg. Wages</t>
  </si>
  <si>
    <t>O. T. Wages</t>
  </si>
  <si>
    <t>Wages</t>
  </si>
  <si>
    <t>Contribution</t>
  </si>
  <si>
    <t>5/8" Meters</t>
  </si>
  <si>
    <t xml:space="preserve">     Wholesale</t>
  </si>
  <si>
    <t>A9</t>
  </si>
  <si>
    <t xml:space="preserve">     Other</t>
  </si>
  <si>
    <t>A14</t>
  </si>
  <si>
    <t>Labor</t>
  </si>
  <si>
    <t>Total Sold</t>
  </si>
  <si>
    <t>A17</t>
  </si>
  <si>
    <t>Materials</t>
  </si>
  <si>
    <t>Uses:</t>
  </si>
  <si>
    <t>D4</t>
  </si>
  <si>
    <t xml:space="preserve">  WTP</t>
  </si>
  <si>
    <t>D33</t>
  </si>
  <si>
    <t xml:space="preserve">  Flushing</t>
  </si>
  <si>
    <t>D45</t>
  </si>
  <si>
    <t xml:space="preserve">  Fire</t>
  </si>
  <si>
    <t>D48</t>
  </si>
  <si>
    <t xml:space="preserve">  Other</t>
  </si>
  <si>
    <t>D49</t>
  </si>
  <si>
    <t>D50</t>
  </si>
  <si>
    <t>Tank O.F.'s</t>
  </si>
  <si>
    <t>D55</t>
  </si>
  <si>
    <t>Employee Benefits (from Trial Bal.):</t>
  </si>
  <si>
    <t>Line Brks.</t>
  </si>
  <si>
    <t>D59</t>
  </si>
  <si>
    <t>Health Ins.</t>
  </si>
  <si>
    <t>Line Leaks</t>
  </si>
  <si>
    <t>D63</t>
  </si>
  <si>
    <t>Dental Ins.</t>
  </si>
  <si>
    <t>Excavation</t>
  </si>
  <si>
    <t>D66</t>
  </si>
  <si>
    <t>Life Insurance</t>
  </si>
  <si>
    <t>Other</t>
  </si>
  <si>
    <t>D67</t>
  </si>
  <si>
    <t>Employee Pension</t>
  </si>
  <si>
    <t xml:space="preserve">  water loss percentage</t>
  </si>
  <si>
    <t>P4</t>
  </si>
  <si>
    <t>check</t>
  </si>
  <si>
    <t xml:space="preserve">  allowable in rates</t>
  </si>
  <si>
    <t>P17</t>
  </si>
  <si>
    <t xml:space="preserve">  adjustment </t>
  </si>
  <si>
    <t>P18</t>
  </si>
  <si>
    <t>P20</t>
  </si>
  <si>
    <t>P64</t>
  </si>
  <si>
    <t>Health Insurance Adjustment</t>
  </si>
  <si>
    <t>misc</t>
  </si>
  <si>
    <t>less test year pension contribution</t>
  </si>
  <si>
    <t>Dist. Contrib</t>
  </si>
  <si>
    <t>BLS avg.</t>
  </si>
  <si>
    <t>Premium</t>
  </si>
  <si>
    <t>Pro Forma Salaries &amp; Wages Expense</t>
  </si>
  <si>
    <t>Adjustment to pension expense</t>
  </si>
  <si>
    <t>at 100% *</t>
  </si>
  <si>
    <t>Empl. rate</t>
  </si>
  <si>
    <t>Adj'mt.</t>
  </si>
  <si>
    <t>Health (emp)</t>
  </si>
  <si>
    <t>Adjustments</t>
  </si>
  <si>
    <t>Health (fam)</t>
  </si>
  <si>
    <t>Dental &amp; vision</t>
  </si>
  <si>
    <t>Less: Test Year Salaries &amp; Wages Exp</t>
  </si>
  <si>
    <t>Allowable monthly prem.</t>
  </si>
  <si>
    <t>Pro Forma Salaries &amp; Wages Adj'mt</t>
  </si>
  <si>
    <t>Allowable annual prem.</t>
  </si>
  <si>
    <t xml:space="preserve"> </t>
  </si>
  <si>
    <t>Less Health, dental, vision prem. pd. in test yr.</t>
  </si>
  <si>
    <t>Pro Forma Salaries and Wages Expense</t>
  </si>
  <si>
    <t>Health Ins. Adjustment</t>
  </si>
  <si>
    <t>Times: 7.65 Percent FICA Rate</t>
  </si>
  <si>
    <t>Pro Forma Payroll Taxes</t>
  </si>
  <si>
    <t>Less: Test Year Payroll Taxes</t>
  </si>
  <si>
    <t>Payroll Tax Adjustment</t>
  </si>
  <si>
    <t>Southern W &amp; S District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</si>
</sst>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[$$-409]* #,##0_);_([$$-409]* \(#,##0\);_([$$-409]* &quot;-&quot;??_);_(@_)"/>
    <numFmt numFmtId="167" formatCode="_(&quot;$&quot;* #,##0_);_(&quot;$&quot;* \(#,##0\);_(&quot;$&quot;* &quot;-&quot;??_);_(@_)"/>
  </numFmts>
  <fonts count="1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u/>
      <sz val="11"/>
      <color rgb="FF00B050"/>
      <name val="Calibri"/>
      <family val="2"/>
      <scheme val="minor"/>
    </font>
    <font>
      <sz val="12"/>
      <name val="Arial"/>
      <family val="2"/>
    </font>
    <font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sz val="12"/>
      <name val="Calibri"/>
      <family val="2"/>
      <scheme val="minor"/>
    </font>
    <font>
      <b/>
      <u val="singleAccounting"/>
      <sz val="11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Segoe U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3" fontId="3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left" vertical="center"/>
    </xf>
    <xf numFmtId="3" fontId="6" fillId="0" borderId="0" xfId="0" applyNumberFormat="1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44" fontId="2" fillId="0" borderId="0" xfId="1" applyFont="1"/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164" fontId="2" fillId="0" borderId="0" xfId="2" applyNumberFormat="1" applyFont="1"/>
    <xf numFmtId="43" fontId="2" fillId="0" borderId="0" xfId="2" applyFont="1"/>
    <xf numFmtId="43" fontId="2" fillId="0" borderId="0" xfId="2" applyFont="1" applyAlignment="1">
      <alignment horizontal="left"/>
    </xf>
    <xf numFmtId="164" fontId="9" fillId="0" borderId="0" xfId="2" applyNumberFormat="1" applyFont="1"/>
    <xf numFmtId="43" fontId="4" fillId="0" borderId="0" xfId="2" applyFont="1" applyAlignment="1">
      <alignment horizontal="right"/>
    </xf>
    <xf numFmtId="164" fontId="4" fillId="0" borderId="0" xfId="2" applyNumberFormat="1" applyFont="1" applyAlignment="1">
      <alignment horizontal="right"/>
    </xf>
    <xf numFmtId="164" fontId="4" fillId="0" borderId="0" xfId="2" applyNumberFormat="1" applyFont="1"/>
    <xf numFmtId="164" fontId="10" fillId="0" borderId="0" xfId="2" applyNumberFormat="1" applyFont="1"/>
    <xf numFmtId="43" fontId="4" fillId="0" borderId="0" xfId="2" applyFont="1"/>
    <xf numFmtId="0" fontId="4" fillId="0" borderId="0" xfId="0" applyFont="1"/>
    <xf numFmtId="164" fontId="4" fillId="0" borderId="0" xfId="0" applyNumberFormat="1" applyFont="1"/>
    <xf numFmtId="3" fontId="2" fillId="0" borderId="1" xfId="0" applyNumberFormat="1" applyFont="1" applyBorder="1"/>
    <xf numFmtId="164" fontId="2" fillId="0" borderId="0" xfId="2" applyNumberFormat="1" applyFont="1" applyBorder="1"/>
    <xf numFmtId="43" fontId="2" fillId="0" borderId="0" xfId="2" applyFont="1" applyBorder="1"/>
    <xf numFmtId="0" fontId="8" fillId="0" borderId="0" xfId="0" applyFont="1"/>
    <xf numFmtId="165" fontId="2" fillId="0" borderId="0" xfId="3" applyNumberFormat="1" applyFont="1"/>
    <xf numFmtId="3" fontId="2" fillId="0" borderId="0" xfId="0" applyNumberFormat="1" applyFont="1" applyAlignment="1">
      <alignment horizontal="right"/>
    </xf>
    <xf numFmtId="165" fontId="8" fillId="0" borderId="0" xfId="3" applyNumberFormat="1" applyFont="1"/>
    <xf numFmtId="164" fontId="2" fillId="0" borderId="0" xfId="2" applyNumberFormat="1" applyFont="1" applyAlignment="1">
      <alignment horizontal="right"/>
    </xf>
    <xf numFmtId="164" fontId="2" fillId="0" borderId="0" xfId="2" applyNumberFormat="1" applyFont="1" applyAlignment="1">
      <alignment vertical="center"/>
    </xf>
    <xf numFmtId="165" fontId="4" fillId="0" borderId="0" xfId="3" applyNumberFormat="1" applyFont="1"/>
    <xf numFmtId="3" fontId="4" fillId="0" borderId="0" xfId="0" applyNumberFormat="1" applyFont="1"/>
    <xf numFmtId="43" fontId="9" fillId="0" borderId="0" xfId="2" applyFont="1" applyBorder="1"/>
    <xf numFmtId="164" fontId="9" fillId="0" borderId="0" xfId="2" applyNumberFormat="1" applyFont="1" applyBorder="1"/>
    <xf numFmtId="166" fontId="2" fillId="0" borderId="0" xfId="0" applyNumberFormat="1" applyFont="1"/>
    <xf numFmtId="43" fontId="9" fillId="0" borderId="0" xfId="2" applyFont="1" applyAlignment="1">
      <alignment horizontal="center"/>
    </xf>
    <xf numFmtId="0" fontId="2" fillId="0" borderId="0" xfId="0" applyFont="1" applyAlignment="1">
      <alignment horizontal="right"/>
    </xf>
    <xf numFmtId="166" fontId="4" fillId="0" borderId="0" xfId="0" applyNumberFormat="1" applyFont="1"/>
    <xf numFmtId="0" fontId="13" fillId="0" borderId="0" xfId="0" applyFont="1" applyAlignment="1">
      <alignment horizontal="center"/>
    </xf>
    <xf numFmtId="9" fontId="2" fillId="0" borderId="0" xfId="3" applyFont="1"/>
    <xf numFmtId="164" fontId="14" fillId="0" borderId="0" xfId="2" applyNumberFormat="1" applyFont="1"/>
    <xf numFmtId="0" fontId="15" fillId="0" borderId="0" xfId="0" applyFont="1" applyAlignment="1">
      <alignment vertical="center"/>
    </xf>
    <xf numFmtId="43" fontId="9" fillId="0" borderId="0" xfId="2" applyFont="1"/>
    <xf numFmtId="43" fontId="2" fillId="0" borderId="0" xfId="2" applyFont="1" applyAlignment="1">
      <alignment horizontal="right"/>
    </xf>
    <xf numFmtId="0" fontId="16" fillId="0" borderId="0" xfId="0" applyFont="1"/>
    <xf numFmtId="167" fontId="16" fillId="0" borderId="2" xfId="1" applyNumberFormat="1" applyFont="1" applyBorder="1"/>
    <xf numFmtId="167" fontId="16" fillId="0" borderId="0" xfId="1" applyNumberFormat="1" applyFont="1" applyBorder="1"/>
    <xf numFmtId="167" fontId="2" fillId="0" borderId="0" xfId="1" applyNumberFormat="1" applyFont="1"/>
    <xf numFmtId="10" fontId="2" fillId="0" borderId="1" xfId="0" applyNumberFormat="1" applyFont="1" applyBorder="1"/>
    <xf numFmtId="10" fontId="2" fillId="0" borderId="0" xfId="0" applyNumberFormat="1" applyFont="1"/>
    <xf numFmtId="167" fontId="2" fillId="0" borderId="1" xfId="1" applyNumberFormat="1" applyFont="1" applyBorder="1"/>
    <xf numFmtId="167" fontId="2" fillId="0" borderId="0" xfId="1" applyNumberFormat="1" applyFont="1" applyBorder="1"/>
    <xf numFmtId="0" fontId="5" fillId="0" borderId="0" xfId="0" applyFont="1"/>
    <xf numFmtId="164" fontId="9" fillId="0" borderId="0" xfId="2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8" fillId="0" borderId="0" xfId="2" applyNumberFormat="1" applyFont="1"/>
    <xf numFmtId="43" fontId="2" fillId="0" borderId="0" xfId="0" applyNumberFormat="1" applyFont="1"/>
    <xf numFmtId="43" fontId="2" fillId="0" borderId="0" xfId="2" applyFont="1" applyAlignment="1">
      <alignment horizontal="center"/>
    </xf>
    <xf numFmtId="43" fontId="11" fillId="0" borderId="0" xfId="2" applyFont="1" applyAlignment="1">
      <alignment vertical="center"/>
    </xf>
    <xf numFmtId="43" fontId="2" fillId="0" borderId="0" xfId="2" applyFont="1" applyAlignment="1">
      <alignment vertical="center"/>
    </xf>
    <xf numFmtId="164" fontId="12" fillId="0" borderId="0" xfId="2" applyNumberFormat="1" applyFont="1" applyAlignment="1">
      <alignment vertical="center"/>
    </xf>
  </cellXfs>
  <cellStyles count="4">
    <cellStyle name="Comma 2" xfId="2" xr:uid="{F0910128-B639-435B-88C2-718BD1A0648B}"/>
    <cellStyle name="Currency 2" xfId="1" xr:uid="{26121005-7032-4202-993D-586DD93AA517}"/>
    <cellStyle name="Normal" xfId="0" builtinId="0"/>
    <cellStyle name="Percent 2" xfId="3" xr:uid="{D57F0365-379A-426E-A08D-6B11BB2656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ili/Google%20Drive/Southern%202022/Southern%20Wks%203%20B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O"/>
      <sheetName val="Adj"/>
      <sheetName val="DeprAdj"/>
      <sheetName val="DSch"/>
      <sheetName val="Rates"/>
      <sheetName val="Bills"/>
      <sheetName val="ExBA"/>
      <sheetName val="Comp"/>
      <sheetName val="CodeSum"/>
      <sheetName val="Resale"/>
      <sheetName val="App A"/>
      <sheetName val="Notice"/>
      <sheetName val="RFI#1"/>
    </sheetNames>
    <sheetDataSet>
      <sheetData sheetId="0">
        <row r="15">
          <cell r="D15">
            <v>721850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C7912-6572-44FA-9308-100218E4A76D}">
  <dimension ref="A1:W43"/>
  <sheetViews>
    <sheetView tabSelected="1" zoomScale="75" zoomScaleNormal="75" workbookViewId="0"/>
  </sheetViews>
  <sheetFormatPr defaultRowHeight="14.4" x14ac:dyDescent="0.55000000000000004"/>
  <cols>
    <col min="1" max="1" width="3.3125" style="1" customWidth="1"/>
    <col min="2" max="2" width="13" style="1" customWidth="1"/>
    <col min="3" max="3" width="11.68359375" style="1" customWidth="1"/>
    <col min="4" max="4" width="11.9453125" style="1" customWidth="1"/>
    <col min="5" max="5" width="11.3125" style="1" customWidth="1"/>
    <col min="6" max="6" width="12.578125" style="1" customWidth="1"/>
    <col min="7" max="7" width="11.3125" style="1" customWidth="1"/>
    <col min="8" max="8" width="10.26171875" style="1"/>
    <col min="9" max="9" width="12.3671875" style="1" customWidth="1"/>
    <col min="10" max="10" width="11.05078125" style="1" customWidth="1"/>
    <col min="11" max="12" width="10.26171875" style="1"/>
    <col min="13" max="13" width="11.41796875" style="1" customWidth="1"/>
    <col min="14" max="14" width="11.68359375" style="1" customWidth="1"/>
    <col min="15" max="18" width="12.20703125" style="1" customWidth="1"/>
    <col min="19" max="20" width="10.26171875" style="1"/>
    <col min="21" max="21" width="8.62890625" style="1" bestFit="1" customWidth="1"/>
    <col min="22" max="22" width="10.7890625" style="1" customWidth="1"/>
    <col min="23" max="16384" width="8.83984375" style="1"/>
  </cols>
  <sheetData>
    <row r="1" spans="1:23" ht="18.3" x14ac:dyDescent="0.55000000000000004">
      <c r="A1" s="2"/>
      <c r="B1" s="3" t="s">
        <v>90</v>
      </c>
      <c r="C1" s="2"/>
      <c r="D1" s="2"/>
      <c r="E1" s="4"/>
      <c r="F1" s="4"/>
      <c r="G1" s="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/>
    </row>
    <row r="2" spans="1:23" x14ac:dyDescent="0.55000000000000004">
      <c r="A2" s="2"/>
      <c r="B2" s="2"/>
      <c r="C2" s="2"/>
      <c r="D2" s="5"/>
      <c r="E2" s="4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/>
    </row>
    <row r="3" spans="1:23" x14ac:dyDescent="0.55000000000000004">
      <c r="A3" s="2"/>
      <c r="B3" s="6" t="s">
        <v>0</v>
      </c>
      <c r="C3" s="7"/>
      <c r="D3" s="7"/>
      <c r="E3" s="7"/>
      <c r="F3" s="7"/>
      <c r="G3" s="2"/>
      <c r="H3" s="2"/>
      <c r="I3" s="6" t="s">
        <v>1</v>
      </c>
      <c r="J3" s="2"/>
      <c r="K3" s="2"/>
      <c r="L3" s="2"/>
      <c r="M3" s="2"/>
      <c r="N3" s="2"/>
      <c r="O3" s="2"/>
      <c r="P3" s="2"/>
      <c r="Q3" s="2"/>
      <c r="R3" s="2"/>
      <c r="S3" s="6" t="s">
        <v>2</v>
      </c>
      <c r="T3" s="2"/>
      <c r="U3" s="2"/>
      <c r="V3" s="2"/>
      <c r="W3"/>
    </row>
    <row r="4" spans="1:23" x14ac:dyDescent="0.55000000000000004">
      <c r="A4" s="2"/>
      <c r="B4"/>
      <c r="C4"/>
      <c r="D4"/>
      <c r="E4"/>
      <c r="F4"/>
      <c r="G4" s="2"/>
      <c r="H4" s="2"/>
      <c r="I4" s="2"/>
      <c r="J4" s="2"/>
      <c r="K4" s="2"/>
      <c r="L4" s="2"/>
      <c r="M4" s="2"/>
      <c r="N4" s="2"/>
      <c r="O4" s="8" t="s">
        <v>3</v>
      </c>
      <c r="P4" s="8"/>
      <c r="Q4" s="8"/>
      <c r="R4" s="8"/>
      <c r="S4" s="2"/>
      <c r="T4" s="2"/>
      <c r="U4" s="2"/>
      <c r="V4" s="2"/>
      <c r="W4"/>
    </row>
    <row r="5" spans="1:23" x14ac:dyDescent="0.55000000000000004">
      <c r="A5" s="2"/>
      <c r="B5" s="7" t="s">
        <v>4</v>
      </c>
      <c r="C5" s="7"/>
      <c r="D5" s="7">
        <f>602552+152291</f>
        <v>754843</v>
      </c>
      <c r="E5" s="7"/>
      <c r="F5" s="9"/>
      <c r="G5" s="2"/>
      <c r="H5" s="2"/>
      <c r="I5" s="2"/>
      <c r="J5" s="8" t="s">
        <v>5</v>
      </c>
      <c r="K5" s="8" t="s">
        <v>5</v>
      </c>
      <c r="L5" s="8" t="s">
        <v>6</v>
      </c>
      <c r="M5" s="8" t="s">
        <v>5</v>
      </c>
      <c r="N5" s="8" t="s">
        <v>5</v>
      </c>
      <c r="O5" s="8" t="s">
        <v>5</v>
      </c>
      <c r="P5" s="8" t="s">
        <v>7</v>
      </c>
      <c r="Q5" s="8"/>
      <c r="R5" s="8"/>
      <c r="S5" s="2"/>
      <c r="T5" s="10" t="s">
        <v>8</v>
      </c>
      <c r="U5" s="10" t="s">
        <v>9</v>
      </c>
      <c r="V5" s="10" t="s">
        <v>3</v>
      </c>
      <c r="W5"/>
    </row>
    <row r="6" spans="1:23" x14ac:dyDescent="0.55000000000000004">
      <c r="A6" s="2"/>
      <c r="B6" s="7" t="s">
        <v>10</v>
      </c>
      <c r="C6" s="13">
        <f>276131+3114</f>
        <v>279245</v>
      </c>
      <c r="D6" s="7"/>
      <c r="E6" s="7"/>
      <c r="F6" s="9"/>
      <c r="G6" s="2"/>
      <c r="H6" s="2"/>
      <c r="I6" s="11" t="s">
        <v>11</v>
      </c>
      <c r="J6" s="11" t="s">
        <v>12</v>
      </c>
      <c r="K6" s="11" t="s">
        <v>13</v>
      </c>
      <c r="L6" s="11" t="s">
        <v>14</v>
      </c>
      <c r="M6" s="11" t="s">
        <v>15</v>
      </c>
      <c r="N6" s="11" t="s">
        <v>16</v>
      </c>
      <c r="O6" s="11" t="s">
        <v>17</v>
      </c>
      <c r="P6" s="12" t="s">
        <v>18</v>
      </c>
      <c r="Q6" s="8"/>
      <c r="R6" s="8"/>
      <c r="S6" s="8" t="s">
        <v>19</v>
      </c>
      <c r="T6" s="14">
        <v>32</v>
      </c>
      <c r="U6" s="60">
        <v>750</v>
      </c>
      <c r="V6" s="60">
        <f>T6*U6</f>
        <v>24000</v>
      </c>
      <c r="W6"/>
    </row>
    <row r="7" spans="1:23" ht="16.2" x14ac:dyDescent="0.85">
      <c r="A7" s="2"/>
      <c r="B7" s="7" t="s">
        <v>20</v>
      </c>
      <c r="C7" s="13">
        <v>17063</v>
      </c>
      <c r="D7" s="7"/>
      <c r="E7" s="7"/>
      <c r="F7" s="9"/>
      <c r="G7" s="2"/>
      <c r="H7" s="2"/>
      <c r="I7" s="13" t="s">
        <v>21</v>
      </c>
      <c r="J7" s="14">
        <f>1989.25+120</f>
        <v>2109.25</v>
      </c>
      <c r="K7" s="14">
        <v>12.05</v>
      </c>
      <c r="L7" s="14">
        <v>12.71</v>
      </c>
      <c r="M7" s="13">
        <f>L7*J7</f>
        <v>26808.567500000001</v>
      </c>
      <c r="N7" s="13">
        <f>K7*L7*1.5</f>
        <v>229.73325000000003</v>
      </c>
      <c r="O7" s="13">
        <f>M7+N7</f>
        <v>27038.300750000002</v>
      </c>
      <c r="P7" s="13">
        <f>0.03*M7</f>
        <v>804.257025</v>
      </c>
      <c r="Q7" s="13"/>
      <c r="R7" s="13"/>
      <c r="S7" s="15"/>
      <c r="T7" s="13"/>
      <c r="U7" s="13"/>
      <c r="V7" s="16"/>
      <c r="W7"/>
    </row>
    <row r="8" spans="1:23" ht="16.2" x14ac:dyDescent="0.85">
      <c r="A8" s="2"/>
      <c r="B8" s="7" t="s">
        <v>22</v>
      </c>
      <c r="C8" s="16">
        <v>1810</v>
      </c>
      <c r="D8" s="7"/>
      <c r="E8" s="7"/>
      <c r="F8" s="9"/>
      <c r="G8" s="2"/>
      <c r="H8" s="2"/>
      <c r="I8" s="13" t="s">
        <v>23</v>
      </c>
      <c r="J8" s="14">
        <f>2043+120</f>
        <v>2163</v>
      </c>
      <c r="K8" s="14">
        <v>58.5</v>
      </c>
      <c r="L8" s="14">
        <v>17.91</v>
      </c>
      <c r="M8" s="13">
        <f>J8*L8</f>
        <v>38739.33</v>
      </c>
      <c r="N8" s="13">
        <f>K8*L8*1.5</f>
        <v>1571.6025</v>
      </c>
      <c r="O8" s="13">
        <f>M8+N8</f>
        <v>40310.932500000003</v>
      </c>
      <c r="P8" s="13">
        <f t="shared" ref="P8:P10" si="0">0.03*M8</f>
        <v>1162.1799000000001</v>
      </c>
      <c r="Q8" s="13"/>
      <c r="R8" s="13"/>
      <c r="S8" s="2"/>
      <c r="T8" s="2"/>
      <c r="U8" s="17" t="s">
        <v>24</v>
      </c>
      <c r="V8" s="13">
        <f>V6*0.3</f>
        <v>7200</v>
      </c>
      <c r="W8"/>
    </row>
    <row r="9" spans="1:23" x14ac:dyDescent="0.55000000000000004">
      <c r="A9" s="2"/>
      <c r="B9" s="7" t="s">
        <v>25</v>
      </c>
      <c r="C9" s="7"/>
      <c r="D9" s="7">
        <f>SUM(C6:C8)</f>
        <v>298118</v>
      </c>
      <c r="E9" s="7"/>
      <c r="F9" s="7"/>
      <c r="G9" s="2"/>
      <c r="H9" s="2"/>
      <c r="I9" s="13" t="s">
        <v>26</v>
      </c>
      <c r="J9" s="14">
        <f>1946.25+112</f>
        <v>2058.25</v>
      </c>
      <c r="K9" s="14">
        <v>27.75</v>
      </c>
      <c r="L9" s="14">
        <v>14</v>
      </c>
      <c r="M9" s="13">
        <f t="shared" ref="M9:M25" si="1">J9*L9</f>
        <v>28815.5</v>
      </c>
      <c r="N9" s="13">
        <f t="shared" ref="N9:N25" si="2">K9*L9*1.5</f>
        <v>582.75</v>
      </c>
      <c r="O9" s="13">
        <f t="shared" ref="O9:O15" si="3">M9+N9</f>
        <v>29398.25</v>
      </c>
      <c r="P9" s="13">
        <f t="shared" si="0"/>
        <v>864.46499999999992</v>
      </c>
      <c r="Q9" s="13"/>
      <c r="R9" s="13"/>
      <c r="S9" s="2"/>
      <c r="T9" s="2"/>
      <c r="U9" s="17" t="s">
        <v>27</v>
      </c>
      <c r="V9" s="13">
        <f>V6-V8</f>
        <v>16800</v>
      </c>
      <c r="W9"/>
    </row>
    <row r="10" spans="1:23" x14ac:dyDescent="0.55000000000000004">
      <c r="A10" s="2"/>
      <c r="B10" s="7" t="s">
        <v>28</v>
      </c>
      <c r="C10" s="7"/>
      <c r="D10" s="7"/>
      <c r="E10" s="7"/>
      <c r="F10" s="7"/>
      <c r="G10" s="2"/>
      <c r="H10" s="2"/>
      <c r="I10" s="13" t="s">
        <v>29</v>
      </c>
      <c r="J10" s="14">
        <f>2235.08+120+6</f>
        <v>2361.08</v>
      </c>
      <c r="K10" s="14">
        <v>127.5</v>
      </c>
      <c r="L10" s="14">
        <v>18.41</v>
      </c>
      <c r="M10" s="13">
        <f t="shared" si="1"/>
        <v>43467.482799999998</v>
      </c>
      <c r="N10" s="13">
        <f t="shared" si="2"/>
        <v>3520.9125000000004</v>
      </c>
      <c r="O10" s="13">
        <f t="shared" si="3"/>
        <v>46988.395299999996</v>
      </c>
      <c r="P10" s="13">
        <f t="shared" si="0"/>
        <v>1304.0244839999998</v>
      </c>
      <c r="Q10" s="13"/>
      <c r="R10" s="13"/>
      <c r="S10" s="2"/>
      <c r="T10" s="2"/>
      <c r="U10" s="18"/>
      <c r="V10" s="19"/>
      <c r="W10"/>
    </row>
    <row r="11" spans="1:23" ht="16.2" x14ac:dyDescent="0.85">
      <c r="A11" s="2"/>
      <c r="B11" s="2" t="s">
        <v>30</v>
      </c>
      <c r="C11" s="7">
        <f>18222+36</f>
        <v>18258</v>
      </c>
      <c r="D11" s="7"/>
      <c r="E11" s="7"/>
      <c r="F11" s="7"/>
      <c r="G11" s="2"/>
      <c r="H11" s="2"/>
      <c r="I11" s="13" t="s">
        <v>31</v>
      </c>
      <c r="J11" s="14">
        <f>2098+120</f>
        <v>2218</v>
      </c>
      <c r="K11" s="14">
        <v>415.5</v>
      </c>
      <c r="L11" s="14">
        <v>14.8</v>
      </c>
      <c r="M11" s="13">
        <f t="shared" si="1"/>
        <v>32826.400000000001</v>
      </c>
      <c r="N11" s="13">
        <f t="shared" si="2"/>
        <v>9224.1</v>
      </c>
      <c r="O11" s="13">
        <f t="shared" si="3"/>
        <v>42050.5</v>
      </c>
      <c r="P11" s="13">
        <v>0</v>
      </c>
      <c r="Q11" s="13"/>
      <c r="R11" s="13"/>
      <c r="S11" s="2"/>
      <c r="T11" s="2"/>
      <c r="U11" s="18"/>
      <c r="V11" s="20"/>
      <c r="W11"/>
    </row>
    <row r="12" spans="1:23" x14ac:dyDescent="0.55000000000000004">
      <c r="A12" s="2"/>
      <c r="B12" s="7" t="s">
        <v>32</v>
      </c>
      <c r="C12" s="7">
        <v>20117</v>
      </c>
      <c r="D12" s="7"/>
      <c r="E12" s="7"/>
      <c r="F12" s="7"/>
      <c r="G12" s="2"/>
      <c r="H12" s="2"/>
      <c r="I12" s="13" t="s">
        <v>33</v>
      </c>
      <c r="J12" s="14">
        <f>2158.93+120</f>
        <v>2278.9299999999998</v>
      </c>
      <c r="K12" s="14">
        <v>560</v>
      </c>
      <c r="L12" s="14">
        <v>19.25</v>
      </c>
      <c r="M12" s="13">
        <f t="shared" si="1"/>
        <v>43869.402499999997</v>
      </c>
      <c r="N12" s="13">
        <f t="shared" si="2"/>
        <v>16170</v>
      </c>
      <c r="O12" s="13">
        <f t="shared" si="3"/>
        <v>60039.402499999997</v>
      </c>
      <c r="P12" s="13">
        <f>0.03*M12</f>
        <v>1316.0820749999998</v>
      </c>
      <c r="Q12" s="13"/>
      <c r="R12" s="13"/>
      <c r="S12" s="2"/>
      <c r="T12" s="21"/>
      <c r="U12" s="22"/>
      <c r="V12" s="23"/>
      <c r="W12"/>
    </row>
    <row r="13" spans="1:23" x14ac:dyDescent="0.55000000000000004">
      <c r="A13" s="2"/>
      <c r="B13" s="7" t="s">
        <v>34</v>
      </c>
      <c r="C13" s="7">
        <v>849</v>
      </c>
      <c r="D13" s="7"/>
      <c r="E13" s="7"/>
      <c r="F13" s="7"/>
      <c r="G13" s="2"/>
      <c r="H13" s="2"/>
      <c r="I13" s="13" t="s">
        <v>35</v>
      </c>
      <c r="J13" s="14">
        <f>2105+120</f>
        <v>2225</v>
      </c>
      <c r="K13" s="14">
        <v>356</v>
      </c>
      <c r="L13" s="14">
        <v>15.3</v>
      </c>
      <c r="M13" s="13">
        <f t="shared" si="1"/>
        <v>34042.5</v>
      </c>
      <c r="N13" s="13">
        <f t="shared" si="2"/>
        <v>8170.2000000000007</v>
      </c>
      <c r="O13" s="13">
        <f t="shared" si="3"/>
        <v>42212.7</v>
      </c>
      <c r="P13" s="13">
        <v>0</v>
      </c>
      <c r="Q13" s="13"/>
      <c r="R13" s="13"/>
      <c r="S13" s="2"/>
      <c r="T13" s="2"/>
      <c r="U13" s="2"/>
      <c r="V13" s="2"/>
      <c r="W13"/>
    </row>
    <row r="14" spans="1:23" x14ac:dyDescent="0.55000000000000004">
      <c r="A14" s="2"/>
      <c r="B14" s="7" t="s">
        <v>36</v>
      </c>
      <c r="C14" s="24">
        <v>3864</v>
      </c>
      <c r="D14" s="7"/>
      <c r="E14" s="7"/>
      <c r="F14" s="7"/>
      <c r="G14" s="2"/>
      <c r="H14" s="2"/>
      <c r="I14" s="25" t="s">
        <v>37</v>
      </c>
      <c r="J14" s="26">
        <f>2026.5+120+32</f>
        <v>2178.5</v>
      </c>
      <c r="K14" s="26">
        <v>222</v>
      </c>
      <c r="L14" s="26">
        <v>12</v>
      </c>
      <c r="M14" s="25">
        <f t="shared" si="1"/>
        <v>26142</v>
      </c>
      <c r="N14" s="25">
        <f t="shared" si="2"/>
        <v>3996</v>
      </c>
      <c r="O14" s="25">
        <f t="shared" si="3"/>
        <v>30138</v>
      </c>
      <c r="P14" s="25">
        <v>0</v>
      </c>
      <c r="Q14" s="25"/>
      <c r="R14" s="25"/>
      <c r="S14" s="6"/>
      <c r="T14" s="2"/>
      <c r="U14" s="2"/>
      <c r="V14" s="2"/>
      <c r="W14"/>
    </row>
    <row r="15" spans="1:23" x14ac:dyDescent="0.55000000000000004">
      <c r="A15" s="2"/>
      <c r="B15" s="7"/>
      <c r="C15" s="7"/>
      <c r="D15" s="7">
        <f>SUM(C11:C14)</f>
        <v>43088</v>
      </c>
      <c r="E15" s="7"/>
      <c r="F15" s="7"/>
      <c r="G15" s="2"/>
      <c r="H15" s="2"/>
      <c r="I15" s="25" t="s">
        <v>38</v>
      </c>
      <c r="J15" s="26">
        <f>2079.89+120</f>
        <v>2199.89</v>
      </c>
      <c r="K15" s="26">
        <v>644</v>
      </c>
      <c r="L15" s="26">
        <v>12</v>
      </c>
      <c r="M15" s="25">
        <f t="shared" si="1"/>
        <v>26398.68</v>
      </c>
      <c r="N15" s="25">
        <f t="shared" si="2"/>
        <v>11592</v>
      </c>
      <c r="O15" s="25">
        <f t="shared" si="3"/>
        <v>37990.68</v>
      </c>
      <c r="P15" s="25">
        <v>0</v>
      </c>
      <c r="Q15" s="25"/>
      <c r="R15" s="25"/>
      <c r="S15" s="2"/>
      <c r="T15" s="2"/>
      <c r="U15" s="2"/>
      <c r="V15" s="2"/>
      <c r="W15"/>
    </row>
    <row r="16" spans="1:23" x14ac:dyDescent="0.55000000000000004">
      <c r="A16" s="2"/>
      <c r="B16" s="7" t="s">
        <v>39</v>
      </c>
      <c r="C16" s="7">
        <v>270</v>
      </c>
      <c r="D16" s="7"/>
      <c r="E16" s="7"/>
      <c r="F16" s="7"/>
      <c r="G16" s="2"/>
      <c r="H16" s="2"/>
      <c r="I16" s="25" t="s">
        <v>40</v>
      </c>
      <c r="J16" s="26">
        <f>2000+120</f>
        <v>2120</v>
      </c>
      <c r="K16" s="26">
        <v>98</v>
      </c>
      <c r="L16" s="26">
        <v>12</v>
      </c>
      <c r="M16" s="25">
        <f t="shared" si="1"/>
        <v>25440</v>
      </c>
      <c r="N16" s="25">
        <f t="shared" si="2"/>
        <v>1764</v>
      </c>
      <c r="O16" s="25">
        <f>M16+N16</f>
        <v>27204</v>
      </c>
      <c r="P16" s="25">
        <v>0</v>
      </c>
      <c r="Q16" s="25"/>
      <c r="R16" s="25"/>
      <c r="S16" s="27" t="s">
        <v>41</v>
      </c>
      <c r="T16" s="2"/>
      <c r="U16" s="2"/>
      <c r="V16" s="2"/>
      <c r="W16"/>
    </row>
    <row r="17" spans="1:23" ht="15.6" x14ac:dyDescent="0.55000000000000004">
      <c r="A17" s="2"/>
      <c r="B17" s="7" t="s">
        <v>42</v>
      </c>
      <c r="C17" s="7">
        <v>231357</v>
      </c>
      <c r="D17" s="7"/>
      <c r="E17" s="7"/>
      <c r="F17" s="7"/>
      <c r="G17" s="2"/>
      <c r="H17" s="2"/>
      <c r="I17" s="25" t="s">
        <v>43</v>
      </c>
      <c r="J17" s="26">
        <v>2080</v>
      </c>
      <c r="K17" s="26">
        <v>17</v>
      </c>
      <c r="L17" s="26">
        <v>12</v>
      </c>
      <c r="M17" s="25">
        <f t="shared" si="1"/>
        <v>24960</v>
      </c>
      <c r="N17" s="25">
        <f t="shared" si="2"/>
        <v>306</v>
      </c>
      <c r="O17" s="25">
        <f t="shared" ref="O17:O25" si="4">M17+N17</f>
        <v>25266</v>
      </c>
      <c r="P17" s="13">
        <f>0.03*M17</f>
        <v>748.8</v>
      </c>
      <c r="Q17" s="25"/>
      <c r="R17" s="25"/>
      <c r="S17" s="32">
        <v>178508</v>
      </c>
      <c r="T17" s="61" t="s">
        <v>44</v>
      </c>
      <c r="U17" s="14"/>
      <c r="V17" s="2"/>
      <c r="W17"/>
    </row>
    <row r="18" spans="1:23" ht="15.6" x14ac:dyDescent="0.55000000000000004">
      <c r="A18" s="2"/>
      <c r="B18" s="7" t="s">
        <v>45</v>
      </c>
      <c r="C18" s="7">
        <v>116198</v>
      </c>
      <c r="D18" s="7"/>
      <c r="E18" s="7"/>
      <c r="F18" s="7"/>
      <c r="G18" s="2"/>
      <c r="H18" s="2"/>
      <c r="I18" s="25" t="s">
        <v>46</v>
      </c>
      <c r="J18" s="26">
        <f>2062+120+7</f>
        <v>2189</v>
      </c>
      <c r="K18" s="26">
        <v>269.5</v>
      </c>
      <c r="L18" s="26">
        <v>12.25</v>
      </c>
      <c r="M18" s="25">
        <f t="shared" si="1"/>
        <v>26815.25</v>
      </c>
      <c r="N18" s="25">
        <f t="shared" si="2"/>
        <v>4952.0625</v>
      </c>
      <c r="O18" s="25">
        <f t="shared" si="4"/>
        <v>31767.3125</v>
      </c>
      <c r="P18" s="25">
        <v>0</v>
      </c>
      <c r="Q18" s="25"/>
      <c r="R18" s="25"/>
      <c r="S18" s="32">
        <v>7789</v>
      </c>
      <c r="T18" s="61" t="s">
        <v>47</v>
      </c>
      <c r="U18" s="14"/>
      <c r="V18" s="2"/>
      <c r="W18"/>
    </row>
    <row r="19" spans="1:23" ht="15.6" x14ac:dyDescent="0.55000000000000004">
      <c r="A19" s="2"/>
      <c r="B19" s="2" t="s">
        <v>48</v>
      </c>
      <c r="C19" s="2">
        <v>62611</v>
      </c>
      <c r="D19" s="7"/>
      <c r="E19" s="7"/>
      <c r="F19" s="7"/>
      <c r="G19" s="2"/>
      <c r="H19" s="2"/>
      <c r="I19" s="25" t="s">
        <v>49</v>
      </c>
      <c r="J19" s="26">
        <v>2080</v>
      </c>
      <c r="K19" s="26">
        <v>62.5</v>
      </c>
      <c r="L19" s="26">
        <v>12</v>
      </c>
      <c r="M19" s="25">
        <f t="shared" si="1"/>
        <v>24960</v>
      </c>
      <c r="N19" s="25">
        <f t="shared" si="2"/>
        <v>1125</v>
      </c>
      <c r="O19" s="25">
        <f t="shared" si="4"/>
        <v>26085</v>
      </c>
      <c r="P19" s="13">
        <f>0.03*M19</f>
        <v>748.8</v>
      </c>
      <c r="Q19" s="25"/>
      <c r="R19" s="25"/>
      <c r="S19" s="32">
        <v>8292</v>
      </c>
      <c r="T19" s="61" t="s">
        <v>50</v>
      </c>
      <c r="U19" s="14"/>
      <c r="V19" s="2"/>
      <c r="W19"/>
    </row>
    <row r="20" spans="1:23" ht="16.2" x14ac:dyDescent="0.85">
      <c r="A20" s="2"/>
      <c r="B20" s="2" t="s">
        <v>51</v>
      </c>
      <c r="C20" s="24">
        <v>3201</v>
      </c>
      <c r="D20" s="7"/>
      <c r="E20" s="7"/>
      <c r="F20" s="7"/>
      <c r="G20" s="2"/>
      <c r="H20" s="2"/>
      <c r="I20" s="25" t="s">
        <v>52</v>
      </c>
      <c r="J20" s="26">
        <v>2080</v>
      </c>
      <c r="K20" s="26">
        <v>55</v>
      </c>
      <c r="L20" s="26">
        <v>11.5</v>
      </c>
      <c r="M20" s="25">
        <f t="shared" si="1"/>
        <v>23920</v>
      </c>
      <c r="N20" s="25">
        <f t="shared" si="2"/>
        <v>948.75</v>
      </c>
      <c r="O20" s="25">
        <f t="shared" si="4"/>
        <v>24868.75</v>
      </c>
      <c r="P20" s="25">
        <v>0</v>
      </c>
      <c r="Q20" s="25"/>
      <c r="R20" s="25"/>
      <c r="S20" s="16">
        <v>9563</v>
      </c>
      <c r="T20" s="62" t="s">
        <v>53</v>
      </c>
      <c r="U20" s="14"/>
      <c r="V20" s="2"/>
      <c r="W20"/>
    </row>
    <row r="21" spans="1:23" ht="15.6" x14ac:dyDescent="0.55000000000000004">
      <c r="A21" s="13"/>
      <c r="B21" s="7"/>
      <c r="C21" s="7"/>
      <c r="D21" s="7">
        <f>SUM(C16:C20)</f>
        <v>413637</v>
      </c>
      <c r="E21" s="28">
        <f>D21/D5</f>
        <v>0.54797752645252062</v>
      </c>
      <c r="F21" s="7" t="s">
        <v>54</v>
      </c>
      <c r="G21" s="2"/>
      <c r="H21" s="2"/>
      <c r="I21" s="25" t="s">
        <v>55</v>
      </c>
      <c r="J21" s="26">
        <f>2174.5+112</f>
        <v>2286.5</v>
      </c>
      <c r="K21" s="26">
        <v>33</v>
      </c>
      <c r="L21" s="26">
        <v>22.09</v>
      </c>
      <c r="M21" s="25">
        <f t="shared" si="1"/>
        <v>50508.784999999996</v>
      </c>
      <c r="N21" s="25">
        <f t="shared" si="2"/>
        <v>1093.4549999999999</v>
      </c>
      <c r="O21" s="25">
        <f t="shared" si="4"/>
        <v>51602.239999999998</v>
      </c>
      <c r="P21" s="13">
        <f t="shared" ref="P21:P23" si="5">0.03*M21</f>
        <v>1515.2635499999999</v>
      </c>
      <c r="Q21" s="25"/>
      <c r="R21" s="25"/>
      <c r="S21" s="32">
        <f>SUM(S17:S20)</f>
        <v>204152</v>
      </c>
      <c r="T21" s="61"/>
      <c r="U21" s="14"/>
      <c r="V21" s="2"/>
      <c r="W21"/>
    </row>
    <row r="22" spans="1:23" ht="16.2" x14ac:dyDescent="0.55000000000000004">
      <c r="A22" s="13"/>
      <c r="B22" s="29" t="s">
        <v>56</v>
      </c>
      <c r="C22" s="7">
        <f>SUM(D9:D21)</f>
        <v>754843</v>
      </c>
      <c r="D22" s="2"/>
      <c r="E22" s="30">
        <v>0.15</v>
      </c>
      <c r="F22" s="7" t="s">
        <v>57</v>
      </c>
      <c r="G22" s="2"/>
      <c r="H22" s="31"/>
      <c r="I22" s="25" t="s">
        <v>58</v>
      </c>
      <c r="J22" s="26">
        <f>2120+112</f>
        <v>2232</v>
      </c>
      <c r="K22" s="26">
        <v>415</v>
      </c>
      <c r="L22" s="26">
        <v>17.25</v>
      </c>
      <c r="M22" s="25">
        <f t="shared" si="1"/>
        <v>38502</v>
      </c>
      <c r="N22" s="25">
        <f t="shared" si="2"/>
        <v>10738.125</v>
      </c>
      <c r="O22" s="25">
        <f t="shared" si="4"/>
        <v>49240.125</v>
      </c>
      <c r="P22" s="13">
        <f t="shared" si="5"/>
        <v>1155.06</v>
      </c>
      <c r="Q22" s="25"/>
      <c r="R22" s="25"/>
      <c r="S22" s="63"/>
      <c r="T22" s="61"/>
      <c r="U22" s="14"/>
      <c r="V22" s="2"/>
      <c r="W22"/>
    </row>
    <row r="23" spans="1:23" ht="15.6" x14ac:dyDescent="0.55000000000000004">
      <c r="A23" s="13"/>
      <c r="B23" s="32"/>
      <c r="C23" s="7"/>
      <c r="D23" s="7"/>
      <c r="E23" s="33">
        <f>E21-E22</f>
        <v>0.3979775264525206</v>
      </c>
      <c r="F23" s="34" t="s">
        <v>59</v>
      </c>
      <c r="G23" s="2"/>
      <c r="H23" s="31"/>
      <c r="I23" s="25" t="s">
        <v>60</v>
      </c>
      <c r="J23" s="26">
        <f>2098+112+24</f>
        <v>2234</v>
      </c>
      <c r="K23" s="26">
        <v>430.5</v>
      </c>
      <c r="L23" s="26">
        <v>17.25</v>
      </c>
      <c r="M23" s="25">
        <f t="shared" si="1"/>
        <v>38536.5</v>
      </c>
      <c r="N23" s="25">
        <f t="shared" si="2"/>
        <v>11139.1875</v>
      </c>
      <c r="O23" s="25">
        <f t="shared" si="4"/>
        <v>49675.6875</v>
      </c>
      <c r="P23" s="13">
        <f t="shared" si="5"/>
        <v>1156.095</v>
      </c>
      <c r="Q23" s="25"/>
      <c r="R23" s="25"/>
      <c r="S23" s="32"/>
      <c r="T23" s="61"/>
      <c r="U23" s="14"/>
      <c r="V23" s="2"/>
      <c r="W23"/>
    </row>
    <row r="24" spans="1:23" x14ac:dyDescent="0.55000000000000004">
      <c r="A24" s="13"/>
      <c r="B24" s="2"/>
      <c r="C24" s="2"/>
      <c r="D24" s="2"/>
      <c r="E24" s="2"/>
      <c r="F24" s="2"/>
      <c r="G24" s="2"/>
      <c r="H24" s="13"/>
      <c r="I24" s="25" t="s">
        <v>61</v>
      </c>
      <c r="J24" s="26">
        <v>2080</v>
      </c>
      <c r="K24" s="26">
        <v>2</v>
      </c>
      <c r="L24" s="26">
        <v>10</v>
      </c>
      <c r="M24" s="25">
        <f t="shared" si="1"/>
        <v>20800</v>
      </c>
      <c r="N24" s="25">
        <f t="shared" si="2"/>
        <v>30</v>
      </c>
      <c r="O24" s="25">
        <f t="shared" si="4"/>
        <v>20830</v>
      </c>
      <c r="P24" s="25">
        <v>0</v>
      </c>
      <c r="Q24" s="25"/>
      <c r="R24" s="25"/>
      <c r="S24" s="2"/>
      <c r="T24" s="2"/>
      <c r="U24" s="2"/>
      <c r="V24" s="2"/>
      <c r="W24"/>
    </row>
    <row r="25" spans="1:23" ht="16.2" x14ac:dyDescent="0.85">
      <c r="A25" s="13"/>
      <c r="B25" s="2"/>
      <c r="C25" s="2"/>
      <c r="D25" s="2"/>
      <c r="E25" s="2"/>
      <c r="F25" s="2"/>
      <c r="G25" s="2"/>
      <c r="H25" s="13"/>
      <c r="I25" s="25" t="s">
        <v>62</v>
      </c>
      <c r="J25" s="35">
        <v>2080</v>
      </c>
      <c r="K25" s="26">
        <v>132</v>
      </c>
      <c r="L25" s="26">
        <v>10.5</v>
      </c>
      <c r="M25" s="25">
        <f t="shared" si="1"/>
        <v>21840</v>
      </c>
      <c r="N25" s="25">
        <f t="shared" si="2"/>
        <v>2079</v>
      </c>
      <c r="O25" s="36">
        <f t="shared" si="4"/>
        <v>23919</v>
      </c>
      <c r="P25" s="16">
        <f>0.03*M25</f>
        <v>655.19999999999993</v>
      </c>
      <c r="Q25" s="36"/>
      <c r="R25" s="36"/>
      <c r="S25" s="2"/>
      <c r="T25" s="2"/>
      <c r="U25" s="2"/>
      <c r="V25" s="2"/>
      <c r="W25"/>
    </row>
    <row r="26" spans="1:23" x14ac:dyDescent="0.55000000000000004">
      <c r="A26" s="13"/>
      <c r="B26" s="6" t="s">
        <v>63</v>
      </c>
      <c r="C26" s="14"/>
      <c r="D26" s="14"/>
      <c r="E26" s="13"/>
      <c r="F26" s="2"/>
      <c r="G26" s="2"/>
      <c r="H26" s="13"/>
      <c r="I26" s="13"/>
      <c r="J26" s="13">
        <f>SUM(J7:J25)</f>
        <v>41253.4</v>
      </c>
      <c r="K26" s="13"/>
      <c r="L26" s="14">
        <f>AVERAGE(L7:L25)</f>
        <v>14.38</v>
      </c>
      <c r="M26" s="13"/>
      <c r="N26" s="13"/>
      <c r="O26" s="37">
        <f>SUM(O7:O25)</f>
        <v>686625.27604999999</v>
      </c>
      <c r="P26" s="37">
        <f>SUM(P7:P25)</f>
        <v>11430.227034</v>
      </c>
      <c r="Q26" s="37"/>
      <c r="R26" s="37"/>
      <c r="S26" s="6"/>
      <c r="T26" s="2"/>
      <c r="U26" s="2"/>
      <c r="V26" s="2"/>
      <c r="W26"/>
    </row>
    <row r="27" spans="1:23" ht="16.2" x14ac:dyDescent="0.85">
      <c r="A27" s="13"/>
      <c r="B27" s="7"/>
      <c r="C27" s="14"/>
      <c r="D27" s="14"/>
      <c r="E27" s="13"/>
      <c r="F27" s="2"/>
      <c r="G27" s="2"/>
      <c r="H27" s="13"/>
      <c r="I27" s="13"/>
      <c r="J27" s="16"/>
      <c r="K27" s="13"/>
      <c r="L27" s="14"/>
      <c r="M27" s="13"/>
      <c r="N27" s="31" t="s">
        <v>64</v>
      </c>
      <c r="O27" s="16">
        <v>0</v>
      </c>
      <c r="P27" s="16">
        <f>-S20</f>
        <v>-9563</v>
      </c>
      <c r="Q27" s="13" t="s">
        <v>65</v>
      </c>
      <c r="R27" s="16"/>
      <c r="S27" s="13"/>
      <c r="T27" s="2"/>
      <c r="U27" s="2"/>
      <c r="V27" s="2"/>
      <c r="W27"/>
    </row>
    <row r="28" spans="1:23" ht="16.2" x14ac:dyDescent="0.85">
      <c r="A28" s="2"/>
      <c r="B28" s="2"/>
      <c r="C28" s="38" t="s">
        <v>66</v>
      </c>
      <c r="D28" s="38" t="s">
        <v>67</v>
      </c>
      <c r="E28" s="38" t="s">
        <v>68</v>
      </c>
      <c r="F28" s="38" t="s">
        <v>5</v>
      </c>
      <c r="G28" s="2"/>
      <c r="H28" s="13"/>
      <c r="I28" s="13"/>
      <c r="J28" s="13"/>
      <c r="K28" s="13"/>
      <c r="L28" s="14"/>
      <c r="M28" s="13"/>
      <c r="N28" s="39" t="s">
        <v>69</v>
      </c>
      <c r="O28" s="37">
        <f>O27+O26</f>
        <v>686625.27604999999</v>
      </c>
      <c r="P28" s="37">
        <f>+P26+P27</f>
        <v>1867.2270339999995</v>
      </c>
      <c r="Q28" s="40" t="s">
        <v>70</v>
      </c>
      <c r="R28" s="37"/>
      <c r="S28" s="16"/>
      <c r="T28" s="2"/>
      <c r="U28" s="2"/>
      <c r="V28" s="2"/>
      <c r="W28"/>
    </row>
    <row r="29" spans="1:23" ht="16.2" x14ac:dyDescent="0.85">
      <c r="A29" s="2"/>
      <c r="B29" s="2"/>
      <c r="C29" s="38" t="s">
        <v>71</v>
      </c>
      <c r="D29" s="38" t="s">
        <v>72</v>
      </c>
      <c r="E29" s="38" t="s">
        <v>73</v>
      </c>
      <c r="F29" s="38" t="s">
        <v>66</v>
      </c>
      <c r="G29" s="2"/>
      <c r="H29" s="13"/>
      <c r="I29" s="13"/>
      <c r="J29" s="13"/>
      <c r="K29" s="13"/>
      <c r="L29" s="2"/>
      <c r="M29" s="2"/>
      <c r="N29" s="2"/>
      <c r="O29" s="41"/>
      <c r="P29" s="41"/>
      <c r="Q29" s="41"/>
      <c r="R29" s="41"/>
      <c r="S29" s="19"/>
      <c r="T29" s="22"/>
      <c r="U29" s="2"/>
      <c r="V29" s="2"/>
      <c r="W29"/>
    </row>
    <row r="30" spans="1:23" x14ac:dyDescent="0.55000000000000004">
      <c r="A30" s="2"/>
      <c r="B30" s="7" t="s">
        <v>74</v>
      </c>
      <c r="C30" s="14">
        <f>6*686.86</f>
        <v>4121.16</v>
      </c>
      <c r="D30" s="42">
        <v>0.21</v>
      </c>
      <c r="E30" s="14">
        <f>C30*D30</f>
        <v>865.44359999999995</v>
      </c>
      <c r="F30" s="14">
        <f>C30-E30</f>
        <v>3255.7163999999998</v>
      </c>
      <c r="G30" s="13">
        <f>C33*12</f>
        <v>0</v>
      </c>
      <c r="H30" s="13"/>
      <c r="I30" s="43"/>
      <c r="J30" s="13"/>
      <c r="K30" s="13"/>
      <c r="L30" s="2"/>
      <c r="M30" s="2"/>
      <c r="N30" s="2"/>
      <c r="O30" s="41" t="s">
        <v>75</v>
      </c>
      <c r="P30" s="41"/>
      <c r="Q30" s="41"/>
      <c r="R30" s="41"/>
      <c r="S30" s="13"/>
      <c r="T30" s="13"/>
      <c r="U30" s="2"/>
      <c r="V30" s="2"/>
      <c r="W30"/>
    </row>
    <row r="31" spans="1:23" x14ac:dyDescent="0.55000000000000004">
      <c r="A31" s="2"/>
      <c r="B31" s="7" t="s">
        <v>76</v>
      </c>
      <c r="C31" s="14">
        <f>6*1427.69+2*2168.5+1225.64</f>
        <v>14128.779999999999</v>
      </c>
      <c r="D31" s="42">
        <v>0.34</v>
      </c>
      <c r="E31" s="14">
        <f>C31*D31</f>
        <v>4803.7852000000003</v>
      </c>
      <c r="F31" s="14">
        <f>C31-E31</f>
        <v>9324.9947999999986</v>
      </c>
      <c r="G31" s="2"/>
      <c r="H31" s="13"/>
      <c r="I31" s="13"/>
      <c r="J31" s="13"/>
      <c r="K31" s="13"/>
      <c r="L31" s="2" t="s">
        <v>69</v>
      </c>
      <c r="M31" s="2"/>
      <c r="N31" s="2"/>
      <c r="O31" s="37">
        <f>O28</f>
        <v>686625.27604999999</v>
      </c>
      <c r="P31" s="37"/>
      <c r="Q31" s="37"/>
      <c r="R31" s="37"/>
      <c r="S31" s="2"/>
      <c r="T31" s="13"/>
      <c r="U31" s="2"/>
      <c r="V31" s="44"/>
      <c r="W31"/>
    </row>
    <row r="32" spans="1:23" ht="16.2" x14ac:dyDescent="0.85">
      <c r="A32" s="2"/>
      <c r="B32" s="7" t="s">
        <v>77</v>
      </c>
      <c r="C32" s="14">
        <f>724.13</f>
        <v>724.13</v>
      </c>
      <c r="D32" s="42">
        <v>0.6</v>
      </c>
      <c r="E32" s="14">
        <f t="shared" ref="E32" si="6">C32*D32</f>
        <v>434.47800000000001</v>
      </c>
      <c r="F32" s="45">
        <f t="shared" ref="F32" si="7">C32-E32</f>
        <v>289.65199999999999</v>
      </c>
      <c r="G32" s="2"/>
      <c r="H32" s="13"/>
      <c r="I32" s="13"/>
      <c r="J32" s="13"/>
      <c r="K32" s="13"/>
      <c r="L32" s="2" t="s">
        <v>78</v>
      </c>
      <c r="M32" s="2"/>
      <c r="N32" s="2"/>
      <c r="O32" s="16">
        <f>-[1]SAO!D15</f>
        <v>-721850</v>
      </c>
      <c r="P32" s="16"/>
      <c r="Q32" s="16"/>
      <c r="R32" s="16"/>
      <c r="S32" s="2"/>
      <c r="T32" s="13"/>
      <c r="U32" s="2"/>
      <c r="V32" s="2"/>
      <c r="W32"/>
    </row>
    <row r="33" spans="1:23" ht="14.7" thickBot="1" x14ac:dyDescent="0.6">
      <c r="A33" s="2"/>
      <c r="B33" s="7"/>
      <c r="C33" s="14"/>
      <c r="D33" s="2"/>
      <c r="E33" s="46" t="s">
        <v>79</v>
      </c>
      <c r="F33" s="14">
        <f>SUM(F30:F32)</f>
        <v>12870.363199999998</v>
      </c>
      <c r="G33" s="2"/>
      <c r="H33" s="13"/>
      <c r="I33" s="13"/>
      <c r="J33" s="13"/>
      <c r="K33" s="13"/>
      <c r="L33" s="47" t="s">
        <v>80</v>
      </c>
      <c r="M33" s="47"/>
      <c r="N33" s="47"/>
      <c r="O33" s="48">
        <f>O31+O32</f>
        <v>-35224.723950000014</v>
      </c>
      <c r="P33" s="49"/>
      <c r="Q33" s="49"/>
      <c r="R33" s="49"/>
      <c r="S33" s="2"/>
      <c r="T33" s="2"/>
      <c r="U33" s="2"/>
      <c r="V33" s="44"/>
      <c r="W33"/>
    </row>
    <row r="34" spans="1:23" ht="14.7" thickTop="1" x14ac:dyDescent="0.55000000000000004">
      <c r="A34" s="2"/>
      <c r="B34" s="7"/>
      <c r="C34" s="14"/>
      <c r="D34" s="2"/>
      <c r="E34" s="46" t="s">
        <v>81</v>
      </c>
      <c r="F34" s="14">
        <f>F33*12</f>
        <v>154444.35839999997</v>
      </c>
      <c r="G34" s="2"/>
      <c r="H34" s="13"/>
      <c r="I34" s="13"/>
      <c r="J34" s="13"/>
      <c r="K34" s="13"/>
      <c r="L34" s="2"/>
      <c r="M34" s="2"/>
      <c r="N34" s="2"/>
      <c r="O34" s="2" t="s">
        <v>82</v>
      </c>
      <c r="P34" s="2"/>
      <c r="Q34" s="2"/>
      <c r="R34" s="2"/>
      <c r="S34" s="2"/>
      <c r="T34" s="2"/>
      <c r="U34" s="2"/>
      <c r="V34" s="2"/>
      <c r="W34"/>
    </row>
    <row r="35" spans="1:23" ht="16.2" x14ac:dyDescent="0.85">
      <c r="A35" s="2"/>
      <c r="B35" s="7"/>
      <c r="C35" s="14"/>
      <c r="D35" s="2"/>
      <c r="E35" s="46" t="s">
        <v>83</v>
      </c>
      <c r="F35" s="45">
        <f>-S17-S18</f>
        <v>-186297</v>
      </c>
      <c r="G35" s="2"/>
      <c r="H35" s="13"/>
      <c r="I35" s="13"/>
      <c r="J35" s="13"/>
      <c r="K35" s="13"/>
      <c r="L35" s="2" t="s">
        <v>84</v>
      </c>
      <c r="M35" s="2"/>
      <c r="N35" s="2"/>
      <c r="O35" s="50">
        <f>O28</f>
        <v>686625.27604999999</v>
      </c>
      <c r="P35" s="50"/>
      <c r="Q35" s="50"/>
      <c r="R35" s="50"/>
      <c r="S35" s="2"/>
      <c r="T35" s="2"/>
      <c r="U35" s="2"/>
      <c r="V35" s="2"/>
      <c r="W35"/>
    </row>
    <row r="36" spans="1:23" x14ac:dyDescent="0.55000000000000004">
      <c r="A36" s="2"/>
      <c r="B36" s="7"/>
      <c r="C36" s="14"/>
      <c r="D36" s="21"/>
      <c r="E36" s="17" t="s">
        <v>85</v>
      </c>
      <c r="F36" s="21">
        <f>F34+F35</f>
        <v>-31852.641600000032</v>
      </c>
      <c r="G36" s="2"/>
      <c r="H36" s="13"/>
      <c r="I36" s="13"/>
      <c r="J36" s="13"/>
      <c r="K36" s="13"/>
      <c r="L36" s="2" t="s">
        <v>86</v>
      </c>
      <c r="M36" s="2"/>
      <c r="N36" s="2"/>
      <c r="O36" s="51">
        <v>7.6499999999999999E-2</v>
      </c>
      <c r="P36" s="52"/>
      <c r="Q36" s="52"/>
      <c r="R36" s="52"/>
      <c r="S36" s="2"/>
      <c r="T36" s="2"/>
      <c r="U36" s="2"/>
      <c r="V36" s="2"/>
      <c r="W36"/>
    </row>
    <row r="37" spans="1:23" x14ac:dyDescent="0.55000000000000004">
      <c r="A37" s="2"/>
      <c r="B37" s="7"/>
      <c r="C37" s="14"/>
      <c r="D37" s="14"/>
      <c r="E37" s="14"/>
      <c r="F37" s="14"/>
      <c r="G37" s="2"/>
      <c r="H37" s="13"/>
      <c r="I37" s="13"/>
      <c r="J37" s="13"/>
      <c r="K37" s="13"/>
      <c r="L37" s="2" t="s">
        <v>87</v>
      </c>
      <c r="M37" s="2"/>
      <c r="N37" s="2"/>
      <c r="O37" s="13">
        <f>+O35*O36</f>
        <v>52526.833617824996</v>
      </c>
      <c r="P37" s="13"/>
      <c r="Q37" s="13"/>
      <c r="R37" s="13"/>
      <c r="S37" s="2"/>
      <c r="T37" s="2"/>
      <c r="U37" s="2"/>
      <c r="V37" s="2"/>
      <c r="W37"/>
    </row>
    <row r="38" spans="1:23" x14ac:dyDescent="0.55000000000000004">
      <c r="A38" s="2"/>
      <c r="B38" s="7"/>
      <c r="C38" s="14"/>
      <c r="D38" s="14"/>
      <c r="E38" s="14"/>
      <c r="F38" s="14"/>
      <c r="G38" s="2"/>
      <c r="H38" s="2"/>
      <c r="I38" s="13"/>
      <c r="J38" s="13"/>
      <c r="K38" s="13"/>
      <c r="L38" s="2" t="s">
        <v>88</v>
      </c>
      <c r="M38" s="2"/>
      <c r="N38" s="2"/>
      <c r="O38" s="53">
        <v>-55359</v>
      </c>
      <c r="P38" s="54"/>
      <c r="Q38" s="54"/>
      <c r="R38" s="54"/>
      <c r="S38" s="2"/>
      <c r="T38" s="2"/>
      <c r="U38" s="2"/>
      <c r="V38" s="2"/>
      <c r="W38"/>
    </row>
    <row r="39" spans="1:23" ht="14.7" thickBot="1" x14ac:dyDescent="0.6">
      <c r="A39" s="2"/>
      <c r="B39" s="7"/>
      <c r="C39" s="14"/>
      <c r="D39" s="14"/>
      <c r="E39" s="14"/>
      <c r="F39" s="14"/>
      <c r="G39" s="2"/>
      <c r="H39" s="2"/>
      <c r="I39" s="13"/>
      <c r="J39" s="13"/>
      <c r="K39" s="13"/>
      <c r="L39" s="22" t="s">
        <v>89</v>
      </c>
      <c r="M39" s="2"/>
      <c r="N39" s="2"/>
      <c r="O39" s="48">
        <f>+O37+O38</f>
        <v>-2832.1663821750044</v>
      </c>
      <c r="P39" s="49"/>
      <c r="Q39" s="49"/>
      <c r="R39" s="49"/>
      <c r="S39" s="2"/>
      <c r="T39" s="2"/>
      <c r="U39" s="2"/>
      <c r="V39" s="2"/>
      <c r="W39"/>
    </row>
    <row r="40" spans="1:23" ht="14.7" thickTop="1" x14ac:dyDescent="0.55000000000000004">
      <c r="A40" s="2"/>
      <c r="B40"/>
      <c r="C40" s="2"/>
      <c r="D40" s="13"/>
      <c r="E40" s="14"/>
      <c r="F40" s="14"/>
      <c r="G40" s="13"/>
      <c r="H40" s="2"/>
      <c r="I40" s="13"/>
      <c r="J40" s="13"/>
      <c r="K40" s="13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/>
    </row>
    <row r="41" spans="1:23" ht="16.2" x14ac:dyDescent="0.85">
      <c r="A41" s="2"/>
      <c r="B41" s="55"/>
      <c r="C41" s="2"/>
      <c r="D41" s="56"/>
      <c r="E41" s="57"/>
      <c r="F41" s="38"/>
      <c r="G41" s="13"/>
      <c r="H41" s="2"/>
      <c r="I41" s="13"/>
      <c r="J41" s="13"/>
      <c r="K41" s="13"/>
      <c r="L41"/>
      <c r="M41"/>
      <c r="N41"/>
      <c r="O41"/>
      <c r="P41"/>
      <c r="Q41" s="50"/>
      <c r="R41" s="50"/>
      <c r="S41" s="2"/>
      <c r="T41" s="2"/>
      <c r="U41" s="2"/>
      <c r="V41" s="2"/>
      <c r="W41"/>
    </row>
    <row r="42" spans="1:23" x14ac:dyDescent="0.55000000000000004">
      <c r="A42" s="2"/>
      <c r="B42" s="2"/>
      <c r="C42" s="39"/>
      <c r="D42" s="13"/>
      <c r="E42" s="2"/>
      <c r="F42" s="2"/>
      <c r="G42" s="13"/>
      <c r="H42" s="2"/>
      <c r="I42" s="13"/>
      <c r="J42" s="13"/>
      <c r="K42" s="13"/>
      <c r="L42"/>
      <c r="M42"/>
      <c r="N42"/>
      <c r="O42"/>
      <c r="P42"/>
      <c r="Q42" s="52"/>
      <c r="R42" s="52"/>
      <c r="S42" s="2"/>
      <c r="T42" s="2"/>
      <c r="U42" s="2"/>
      <c r="V42" s="2"/>
      <c r="W42"/>
    </row>
    <row r="43" spans="1:23" ht="16.2" x14ac:dyDescent="0.85">
      <c r="A43" s="2"/>
      <c r="B43" s="2"/>
      <c r="C43" s="39"/>
      <c r="D43" s="58"/>
      <c r="E43" s="59"/>
      <c r="F43" s="16"/>
      <c r="G43" s="13"/>
      <c r="H43" s="2"/>
      <c r="I43" s="13"/>
      <c r="J43" s="13"/>
      <c r="K43" s="13"/>
      <c r="L43"/>
      <c r="M43"/>
      <c r="N43"/>
      <c r="O43"/>
      <c r="P43"/>
      <c r="Q43" s="13"/>
      <c r="R43" s="13"/>
      <c r="S43" s="2"/>
      <c r="T43" s="2"/>
      <c r="U43" s="2"/>
      <c r="V43" s="2"/>
      <c r="W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AlanV</dc:creator>
  <cp:lastModifiedBy>AlanV</cp:lastModifiedBy>
  <dcterms:created xsi:type="dcterms:W3CDTF">2022-06-08T15:15:46Z</dcterms:created>
  <dcterms:modified xsi:type="dcterms:W3CDTF">2022-06-08T15:21:13Z</dcterms:modified>
</cp:coreProperties>
</file>