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Power Supply Analytics\Resource Planning\IRP\IRP2022\POST FILING ACTIVITY\Post Hearing Data Request\"/>
    </mc:Choice>
  </mc:AlternateContent>
  <bookViews>
    <workbookView xWindow="468" yWindow="168" windowWidth="26616" windowHeight="14148" tabRatio="931"/>
  </bookViews>
  <sheets>
    <sheet name="Exp Plan" sheetId="42" r:id="rId1"/>
    <sheet name="Generation" sheetId="1" r:id="rId2"/>
    <sheet name="Purchases" sheetId="3" r:id="rId3"/>
    <sheet name="CapOptions" sheetId="36" r:id="rId4"/>
    <sheet name="CapCosts" sheetId="45" r:id="rId5"/>
    <sheet name="OptimizerReq" sheetId="44" r:id="rId6"/>
    <sheet name="OptMinMaxNeed" sheetId="30" r:id="rId7"/>
  </sheets>
  <externalReferences>
    <externalReference r:id="rId8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4">CapCosts!#REF!</definedName>
    <definedName name="_xlnm.Print_Area" localSheetId="0">'Exp Plan'!$A$1:$AI$26</definedName>
    <definedName name="_xlnm.Print_Area" localSheetId="1">Generation!$A$1:$AA$21</definedName>
    <definedName name="_xlnm.Print_Area" localSheetId="5">OptimizerReq!$A$2:$O$31</definedName>
    <definedName name="_xlnm.Print_Area" localSheetId="2">Purchases!$B$1:$N$23</definedName>
    <definedName name="YEAR">[1]AC2007!$E$9</definedName>
  </definedNames>
  <calcPr calcId="162913"/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E8" i="45" l="1"/>
  <c r="H10" i="45" l="1"/>
  <c r="I10" i="45" s="1"/>
  <c r="K9" i="45"/>
  <c r="I9" i="45"/>
  <c r="G9" i="45"/>
  <c r="E9" i="45"/>
  <c r="C10" i="45"/>
  <c r="C11" i="45" s="1"/>
  <c r="C12" i="45" s="1"/>
  <c r="C13" i="45" s="1"/>
  <c r="C14" i="45" s="1"/>
  <c r="C15" i="45" s="1"/>
  <c r="C16" i="45" s="1"/>
  <c r="C17" i="45" s="1"/>
  <c r="C18" i="45" s="1"/>
  <c r="C19" i="45" s="1"/>
  <c r="C20" i="45" s="1"/>
  <c r="C21" i="45" s="1"/>
  <c r="C22" i="45" s="1"/>
  <c r="C23" i="45" s="1"/>
  <c r="C24" i="45" s="1"/>
  <c r="C25" i="45" s="1"/>
  <c r="C26" i="45" s="1"/>
  <c r="C27" i="45" s="1"/>
  <c r="C28" i="45" s="1"/>
  <c r="C29" i="45" s="1"/>
  <c r="C30" i="45" s="1"/>
  <c r="C31" i="45" s="1"/>
  <c r="C32" i="45" s="1"/>
  <c r="C33" i="45" s="1"/>
  <c r="K8" i="45"/>
  <c r="I8" i="45"/>
  <c r="G8" i="45"/>
  <c r="H11" i="45" l="1"/>
  <c r="J10" i="45"/>
  <c r="F10" i="45"/>
  <c r="D10" i="45"/>
  <c r="I11" i="45" l="1"/>
  <c r="H12" i="45"/>
  <c r="K10" i="45"/>
  <c r="J11" i="45"/>
  <c r="G10" i="45"/>
  <c r="F11" i="45"/>
  <c r="D11" i="45"/>
  <c r="E10" i="45"/>
  <c r="I12" i="45" l="1"/>
  <c r="H13" i="45"/>
  <c r="K11" i="45"/>
  <c r="J12" i="45"/>
  <c r="G11" i="45"/>
  <c r="F12" i="45"/>
  <c r="D12" i="45"/>
  <c r="E11" i="45"/>
  <c r="I13" i="45" l="1"/>
  <c r="H14" i="45"/>
  <c r="K12" i="45"/>
  <c r="J13" i="45"/>
  <c r="F13" i="45"/>
  <c r="G12" i="45"/>
  <c r="E12" i="45"/>
  <c r="D13" i="45"/>
  <c r="I14" i="45" l="1"/>
  <c r="H15" i="45"/>
  <c r="K13" i="45"/>
  <c r="J14" i="45"/>
  <c r="F14" i="45"/>
  <c r="G13" i="45"/>
  <c r="E13" i="45"/>
  <c r="D14" i="45"/>
  <c r="I15" i="45" l="1"/>
  <c r="H16" i="45"/>
  <c r="K14" i="45"/>
  <c r="J15" i="45"/>
  <c r="G14" i="45"/>
  <c r="F15" i="45"/>
  <c r="E14" i="45"/>
  <c r="D15" i="45"/>
  <c r="H17" i="45" l="1"/>
  <c r="I16" i="45"/>
  <c r="K15" i="45"/>
  <c r="J16" i="45"/>
  <c r="F16" i="45"/>
  <c r="G15" i="45"/>
  <c r="E15" i="45"/>
  <c r="D16" i="45"/>
  <c r="I17" i="45" l="1"/>
  <c r="H18" i="45"/>
  <c r="J17" i="45"/>
  <c r="K16" i="45"/>
  <c r="G16" i="45"/>
  <c r="F17" i="45"/>
  <c r="E16" i="45"/>
  <c r="D17" i="45"/>
  <c r="I18" i="45" l="1"/>
  <c r="H19" i="45"/>
  <c r="J18" i="45"/>
  <c r="K17" i="45"/>
  <c r="G17" i="45"/>
  <c r="F18" i="45"/>
  <c r="E17" i="45"/>
  <c r="D18" i="45"/>
  <c r="AC10" i="42"/>
  <c r="AC11" i="42" s="1"/>
  <c r="AC12" i="42" s="1"/>
  <c r="AC13" i="42" s="1"/>
  <c r="AC14" i="42" s="1"/>
  <c r="AC15" i="42" s="1"/>
  <c r="AC16" i="42" s="1"/>
  <c r="AC17" i="42" s="1"/>
  <c r="AC18" i="42" s="1"/>
  <c r="AC19" i="42" s="1"/>
  <c r="AC20" i="42" s="1"/>
  <c r="AC21" i="42" s="1"/>
  <c r="AC22" i="42" s="1"/>
  <c r="AC23" i="42" s="1"/>
  <c r="AC24" i="42" s="1"/>
  <c r="AB10" i="42"/>
  <c r="AB11" i="42" s="1"/>
  <c r="AB12" i="42" s="1"/>
  <c r="AB13" i="42" s="1"/>
  <c r="AB14" i="42" s="1"/>
  <c r="AB15" i="42" s="1"/>
  <c r="AB16" i="42" s="1"/>
  <c r="AB17" i="42" s="1"/>
  <c r="AB18" i="42" s="1"/>
  <c r="AB19" i="42" s="1"/>
  <c r="AB20" i="42" s="1"/>
  <c r="AB21" i="42" s="1"/>
  <c r="AB22" i="42" s="1"/>
  <c r="AB23" i="42" s="1"/>
  <c r="AB24" i="42" s="1"/>
  <c r="I19" i="45" l="1"/>
  <c r="H20" i="45"/>
  <c r="J19" i="45"/>
  <c r="K18" i="45"/>
  <c r="G18" i="45"/>
  <c r="F19" i="45"/>
  <c r="E18" i="45"/>
  <c r="D19" i="45"/>
  <c r="I20" i="45" l="1"/>
  <c r="H21" i="45"/>
  <c r="K19" i="45"/>
  <c r="J20" i="45"/>
  <c r="G19" i="45"/>
  <c r="F20" i="45"/>
  <c r="E19" i="45"/>
  <c r="D20" i="45"/>
  <c r="I21" i="45" l="1"/>
  <c r="H22" i="45"/>
  <c r="J21" i="45"/>
  <c r="K20" i="45"/>
  <c r="F21" i="45"/>
  <c r="G20" i="45"/>
  <c r="D21" i="45"/>
  <c r="E20" i="45"/>
  <c r="J5" i="44"/>
  <c r="G5" i="44"/>
  <c r="I22" i="45" l="1"/>
  <c r="H23" i="45"/>
  <c r="J22" i="45"/>
  <c r="K21" i="45"/>
  <c r="G21" i="45"/>
  <c r="F22" i="45"/>
  <c r="E21" i="45"/>
  <c r="D22" i="45"/>
  <c r="Y20" i="1"/>
  <c r="X20" i="1"/>
  <c r="S20" i="1"/>
  <c r="R20" i="1"/>
  <c r="Q20" i="1"/>
  <c r="P20" i="1"/>
  <c r="O20" i="1"/>
  <c r="N20" i="1"/>
  <c r="M20" i="1"/>
  <c r="L20" i="1"/>
  <c r="K20" i="1"/>
  <c r="Y19" i="1"/>
  <c r="X19" i="1"/>
  <c r="S19" i="1"/>
  <c r="R19" i="1"/>
  <c r="Q19" i="1"/>
  <c r="P19" i="1"/>
  <c r="O19" i="1"/>
  <c r="N19" i="1"/>
  <c r="M19" i="1"/>
  <c r="L19" i="1"/>
  <c r="K19" i="1"/>
  <c r="Y18" i="1"/>
  <c r="X18" i="1"/>
  <c r="S18" i="1"/>
  <c r="R18" i="1"/>
  <c r="Q18" i="1"/>
  <c r="P18" i="1"/>
  <c r="O18" i="1"/>
  <c r="N18" i="1"/>
  <c r="M18" i="1"/>
  <c r="L18" i="1"/>
  <c r="K18" i="1"/>
  <c r="Y17" i="1"/>
  <c r="X17" i="1"/>
  <c r="S17" i="1"/>
  <c r="R17" i="1"/>
  <c r="Q17" i="1"/>
  <c r="P17" i="1"/>
  <c r="O17" i="1"/>
  <c r="N17" i="1"/>
  <c r="M17" i="1"/>
  <c r="L17" i="1"/>
  <c r="K17" i="1"/>
  <c r="Y16" i="1"/>
  <c r="X16" i="1"/>
  <c r="R16" i="1"/>
  <c r="Q16" i="1"/>
  <c r="P16" i="1"/>
  <c r="O16" i="1"/>
  <c r="N16" i="1"/>
  <c r="M16" i="1"/>
  <c r="L16" i="1"/>
  <c r="K16" i="1"/>
  <c r="S16" i="1"/>
  <c r="Y15" i="1"/>
  <c r="X15" i="1"/>
  <c r="R15" i="1"/>
  <c r="Q15" i="1"/>
  <c r="P15" i="1"/>
  <c r="O15" i="1"/>
  <c r="N15" i="1"/>
  <c r="M15" i="1"/>
  <c r="L15" i="1"/>
  <c r="K15" i="1"/>
  <c r="S15" i="1"/>
  <c r="Y14" i="1"/>
  <c r="X14" i="1"/>
  <c r="R14" i="1"/>
  <c r="Q14" i="1"/>
  <c r="P14" i="1"/>
  <c r="O14" i="1"/>
  <c r="N14" i="1"/>
  <c r="M14" i="1"/>
  <c r="L14" i="1"/>
  <c r="K14" i="1"/>
  <c r="T14" i="1" s="1"/>
  <c r="F14" i="1"/>
  <c r="S14" i="1" s="1"/>
  <c r="Y13" i="1"/>
  <c r="X13" i="1"/>
  <c r="R13" i="1"/>
  <c r="Q13" i="1"/>
  <c r="P13" i="1"/>
  <c r="O13" i="1"/>
  <c r="N13" i="1"/>
  <c r="M13" i="1"/>
  <c r="L13" i="1"/>
  <c r="K13" i="1"/>
  <c r="F13" i="1"/>
  <c r="S13" i="1" s="1"/>
  <c r="Y12" i="1"/>
  <c r="X12" i="1"/>
  <c r="R12" i="1"/>
  <c r="Q12" i="1"/>
  <c r="P12" i="1"/>
  <c r="O12" i="1"/>
  <c r="N12" i="1"/>
  <c r="M12" i="1"/>
  <c r="L12" i="1"/>
  <c r="K12" i="1"/>
  <c r="T12" i="1" s="1"/>
  <c r="F12" i="1"/>
  <c r="S12" i="1" s="1"/>
  <c r="Y11" i="1"/>
  <c r="X11" i="1"/>
  <c r="R11" i="1"/>
  <c r="Q11" i="1"/>
  <c r="P11" i="1"/>
  <c r="O11" i="1"/>
  <c r="N11" i="1"/>
  <c r="M11" i="1"/>
  <c r="L11" i="1"/>
  <c r="K11" i="1"/>
  <c r="F11" i="1"/>
  <c r="S11" i="1" s="1"/>
  <c r="Y10" i="1"/>
  <c r="X10" i="1"/>
  <c r="R10" i="1"/>
  <c r="Q10" i="1"/>
  <c r="P10" i="1"/>
  <c r="O10" i="1"/>
  <c r="N10" i="1"/>
  <c r="M10" i="1"/>
  <c r="L10" i="1"/>
  <c r="K10" i="1"/>
  <c r="T10" i="1" s="1"/>
  <c r="F10" i="1"/>
  <c r="S10" i="1" s="1"/>
  <c r="Y9" i="1"/>
  <c r="X9" i="1"/>
  <c r="R9" i="1"/>
  <c r="Q9" i="1"/>
  <c r="P9" i="1"/>
  <c r="O9" i="1"/>
  <c r="N9" i="1"/>
  <c r="M9" i="1"/>
  <c r="L9" i="1"/>
  <c r="K9" i="1"/>
  <c r="F9" i="1"/>
  <c r="S9" i="1" s="1"/>
  <c r="Y8" i="1"/>
  <c r="X8" i="1"/>
  <c r="R8" i="1"/>
  <c r="Q8" i="1"/>
  <c r="P8" i="1"/>
  <c r="O8" i="1"/>
  <c r="N8" i="1"/>
  <c r="M8" i="1"/>
  <c r="L8" i="1"/>
  <c r="K8" i="1"/>
  <c r="T8" i="1" s="1"/>
  <c r="F8" i="1"/>
  <c r="S8" i="1" s="1"/>
  <c r="Y7" i="1"/>
  <c r="X7" i="1"/>
  <c r="R7" i="1"/>
  <c r="Q7" i="1"/>
  <c r="P7" i="1"/>
  <c r="O7" i="1"/>
  <c r="N7" i="1"/>
  <c r="M7" i="1"/>
  <c r="L7" i="1"/>
  <c r="U7" i="1" s="1"/>
  <c r="K7" i="1"/>
  <c r="F7" i="1"/>
  <c r="S7" i="1" s="1"/>
  <c r="Y6" i="1"/>
  <c r="X6" i="1"/>
  <c r="R6" i="1"/>
  <c r="Q6" i="1"/>
  <c r="P6" i="1"/>
  <c r="O6" i="1"/>
  <c r="N6" i="1"/>
  <c r="M6" i="1"/>
  <c r="L6" i="1"/>
  <c r="K6" i="1"/>
  <c r="T6" i="1" s="1"/>
  <c r="F6" i="1"/>
  <c r="S6" i="1" s="1"/>
  <c r="T18" i="1" l="1"/>
  <c r="T16" i="1"/>
  <c r="U6" i="1"/>
  <c r="W6" i="1" s="1"/>
  <c r="T20" i="1"/>
  <c r="V20" i="1" s="1"/>
  <c r="T19" i="1"/>
  <c r="V19" i="1" s="1"/>
  <c r="T7" i="1"/>
  <c r="Z7" i="1" s="1"/>
  <c r="U18" i="1"/>
  <c r="W18" i="1" s="1"/>
  <c r="H24" i="45"/>
  <c r="I23" i="45"/>
  <c r="Z19" i="1"/>
  <c r="J23" i="45"/>
  <c r="K22" i="45"/>
  <c r="F23" i="45"/>
  <c r="G22" i="45"/>
  <c r="D23" i="45"/>
  <c r="E22" i="45"/>
  <c r="Z12" i="1"/>
  <c r="AA7" i="1"/>
  <c r="T9" i="1"/>
  <c r="Z9" i="1" s="1"/>
  <c r="U10" i="1"/>
  <c r="AA10" i="1" s="1"/>
  <c r="U13" i="1"/>
  <c r="AA13" i="1" s="1"/>
  <c r="U12" i="1"/>
  <c r="AA12" i="1" s="1"/>
  <c r="U15" i="1"/>
  <c r="AA15" i="1" s="1"/>
  <c r="U14" i="1"/>
  <c r="AA14" i="1" s="1"/>
  <c r="T15" i="1"/>
  <c r="Z15" i="1" s="1"/>
  <c r="U17" i="1"/>
  <c r="AA17" i="1" s="1"/>
  <c r="W17" i="1"/>
  <c r="U9" i="1"/>
  <c r="AA9" i="1" s="1"/>
  <c r="W19" i="1"/>
  <c r="U8" i="1"/>
  <c r="AA8" i="1" s="1"/>
  <c r="U11" i="1"/>
  <c r="AA11" i="1" s="1"/>
  <c r="T11" i="1"/>
  <c r="Z11" i="1" s="1"/>
  <c r="T13" i="1"/>
  <c r="Z13" i="1" s="1"/>
  <c r="U16" i="1"/>
  <c r="AA16" i="1" s="1"/>
  <c r="T17" i="1"/>
  <c r="Z17" i="1" s="1"/>
  <c r="U19" i="1"/>
  <c r="AA19" i="1" s="1"/>
  <c r="U20" i="1"/>
  <c r="AA20" i="1" s="1"/>
  <c r="AA6" i="1"/>
  <c r="AH6" i="1" s="1"/>
  <c r="W7" i="1"/>
  <c r="V6" i="1"/>
  <c r="V8" i="1"/>
  <c r="V10" i="1"/>
  <c r="V12" i="1"/>
  <c r="V14" i="1"/>
  <c r="V16" i="1"/>
  <c r="V18" i="1"/>
  <c r="W14" i="1"/>
  <c r="Z6" i="1"/>
  <c r="Z8" i="1"/>
  <c r="Z10" i="1"/>
  <c r="Z14" i="1"/>
  <c r="Z16" i="1"/>
  <c r="Z18" i="1"/>
  <c r="W12" i="1" l="1"/>
  <c r="W16" i="1"/>
  <c r="V7" i="1"/>
  <c r="V17" i="1"/>
  <c r="V9" i="1"/>
  <c r="Z20" i="1"/>
  <c r="AF10" i="1"/>
  <c r="AG10" i="1"/>
  <c r="AE10" i="1"/>
  <c r="AF8" i="1"/>
  <c r="AG8" i="1"/>
  <c r="AE8" i="1"/>
  <c r="AE9" i="1"/>
  <c r="AF9" i="1"/>
  <c r="AG9" i="1"/>
  <c r="AG7" i="1"/>
  <c r="AE7" i="1"/>
  <c r="AF7" i="1"/>
  <c r="AF13" i="1"/>
  <c r="AG13" i="1"/>
  <c r="AE13" i="1"/>
  <c r="W10" i="1"/>
  <c r="AD6" i="1"/>
  <c r="W8" i="1"/>
  <c r="AE11" i="1"/>
  <c r="AF11" i="1"/>
  <c r="AG11" i="1"/>
  <c r="AA18" i="1"/>
  <c r="AG18" i="1" s="1"/>
  <c r="AF12" i="1"/>
  <c r="AG12" i="1"/>
  <c r="AE12" i="1"/>
  <c r="W20" i="1"/>
  <c r="W13" i="1"/>
  <c r="AF6" i="1"/>
  <c r="AE6" i="1"/>
  <c r="AG6" i="1"/>
  <c r="AE14" i="1"/>
  <c r="AF14" i="1"/>
  <c r="AG14" i="1"/>
  <c r="V11" i="1"/>
  <c r="AC6" i="1"/>
  <c r="H25" i="45"/>
  <c r="I24" i="45"/>
  <c r="AG16" i="1"/>
  <c r="AE16" i="1"/>
  <c r="AF16" i="1"/>
  <c r="AG20" i="1"/>
  <c r="AE20" i="1"/>
  <c r="AF20" i="1"/>
  <c r="AG17" i="1"/>
  <c r="AE17" i="1"/>
  <c r="AF17" i="1"/>
  <c r="AE19" i="1"/>
  <c r="AF19" i="1"/>
  <c r="AG19" i="1"/>
  <c r="J24" i="45"/>
  <c r="K23" i="45"/>
  <c r="G23" i="45"/>
  <c r="F24" i="45"/>
  <c r="D24" i="45"/>
  <c r="E23" i="45"/>
  <c r="AF15" i="1"/>
  <c r="AE15" i="1"/>
  <c r="AG15" i="1"/>
  <c r="W15" i="1"/>
  <c r="V15" i="1"/>
  <c r="W11" i="1"/>
  <c r="V13" i="1"/>
  <c r="W9" i="1"/>
  <c r="AF18" i="1" l="1"/>
  <c r="AE18" i="1"/>
  <c r="H26" i="45"/>
  <c r="I25" i="45"/>
  <c r="K24" i="45"/>
  <c r="J25" i="45"/>
  <c r="G24" i="45"/>
  <c r="F25" i="45"/>
  <c r="E24" i="45"/>
  <c r="D25" i="45"/>
  <c r="H27" i="45" l="1"/>
  <c r="I26" i="45"/>
  <c r="K25" i="45"/>
  <c r="J26" i="45"/>
  <c r="F26" i="45"/>
  <c r="G25" i="45"/>
  <c r="D26" i="45"/>
  <c r="E25" i="45"/>
  <c r="H28" i="45" l="1"/>
  <c r="I27" i="45"/>
  <c r="J27" i="45"/>
  <c r="K26" i="45"/>
  <c r="G26" i="45"/>
  <c r="F27" i="45"/>
  <c r="E26" i="45"/>
  <c r="D27" i="45"/>
  <c r="I28" i="45" l="1"/>
  <c r="H29" i="45"/>
  <c r="K27" i="45"/>
  <c r="J28" i="45"/>
  <c r="F28" i="45"/>
  <c r="G27" i="45"/>
  <c r="E27" i="45"/>
  <c r="D28" i="45"/>
  <c r="H30" i="45" l="1"/>
  <c r="I29" i="45"/>
  <c r="J29" i="45"/>
  <c r="K28" i="45"/>
  <c r="G28" i="45"/>
  <c r="F29" i="45"/>
  <c r="E28" i="45"/>
  <c r="D29" i="45"/>
  <c r="I30" i="45" l="1"/>
  <c r="H31" i="45"/>
  <c r="J30" i="45"/>
  <c r="K29" i="45"/>
  <c r="F30" i="45"/>
  <c r="G29" i="45"/>
  <c r="D30" i="45"/>
  <c r="E29" i="45"/>
  <c r="H32" i="45" l="1"/>
  <c r="I32" i="45" s="1"/>
  <c r="I31" i="45"/>
  <c r="J31" i="45"/>
  <c r="K30" i="45"/>
  <c r="F31" i="45"/>
  <c r="G30" i="45"/>
  <c r="E30" i="45"/>
  <c r="D31" i="45"/>
  <c r="K31" i="45" l="1"/>
  <c r="J32" i="45"/>
  <c r="K32" i="45" s="1"/>
  <c r="F32" i="45"/>
  <c r="G32" i="45" s="1"/>
  <c r="G31" i="45"/>
  <c r="D32" i="45"/>
  <c r="E32" i="45" s="1"/>
  <c r="E31" i="45"/>
  <c r="H33" i="45"/>
  <c r="I33" i="45" s="1"/>
  <c r="J33" i="45" l="1"/>
  <c r="K33" i="45" s="1"/>
  <c r="D33" i="45"/>
  <c r="E33" i="45" s="1"/>
  <c r="F33" i="45"/>
  <c r="G33" i="45" s="1"/>
  <c r="C34" i="45" l="1"/>
  <c r="C35" i="45" s="1"/>
  <c r="C36" i="45" s="1"/>
  <c r="C37" i="45" s="1"/>
  <c r="C38" i="45" s="1"/>
  <c r="C39" i="45" l="1"/>
  <c r="K4" i="30" l="1"/>
  <c r="K3" i="30"/>
  <c r="A1" i="1"/>
  <c r="J34" i="45" l="1"/>
  <c r="D34" i="45"/>
  <c r="H34" i="45"/>
  <c r="F34" i="45"/>
  <c r="D35" i="45" l="1"/>
  <c r="E34" i="45"/>
  <c r="G34" i="45"/>
  <c r="F35" i="45"/>
  <c r="I34" i="45"/>
  <c r="H35" i="45"/>
  <c r="J35" i="45"/>
  <c r="K34" i="45"/>
  <c r="D36" i="45" l="1"/>
  <c r="E35" i="45"/>
  <c r="F36" i="45"/>
  <c r="G35" i="45"/>
  <c r="H36" i="45"/>
  <c r="I35" i="45"/>
  <c r="J36" i="45"/>
  <c r="K35" i="45"/>
  <c r="K36" i="45" l="1"/>
  <c r="J37" i="45"/>
  <c r="E36" i="45"/>
  <c r="D37" i="45"/>
  <c r="H37" i="45"/>
  <c r="I36" i="45"/>
  <c r="F37" i="45"/>
  <c r="G36" i="45"/>
  <c r="J38" i="45" l="1"/>
  <c r="K38" i="45" s="1"/>
  <c r="K37" i="45"/>
  <c r="D38" i="45"/>
  <c r="E38" i="45" s="1"/>
  <c r="E37" i="45"/>
  <c r="F38" i="45"/>
  <c r="G38" i="45" s="1"/>
  <c r="G37" i="45"/>
  <c r="H38" i="45"/>
  <c r="I38" i="45" s="1"/>
  <c r="I37" i="45"/>
  <c r="A9" i="44"/>
  <c r="A8" i="30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B4" i="3"/>
  <c r="B24" i="42"/>
  <c r="C23" i="42"/>
  <c r="C21" i="42"/>
  <c r="B21" i="42"/>
  <c r="C20" i="42"/>
  <c r="B20" i="42"/>
  <c r="C19" i="42"/>
  <c r="B19" i="42"/>
  <c r="C18" i="42"/>
  <c r="B18" i="42"/>
  <c r="C17" i="42"/>
  <c r="B17" i="42"/>
  <c r="C16" i="42"/>
  <c r="B16" i="42"/>
  <c r="C15" i="42"/>
  <c r="B15" i="42"/>
  <c r="C14" i="42"/>
  <c r="B14" i="42"/>
  <c r="C13" i="42"/>
  <c r="B13" i="42"/>
  <c r="C12" i="42"/>
  <c r="B12" i="42"/>
  <c r="C11" i="42"/>
  <c r="B11" i="42"/>
  <c r="C10" i="42"/>
  <c r="C24" i="42" l="1"/>
  <c r="B22" i="42"/>
  <c r="C22" i="42"/>
  <c r="B23" i="42"/>
  <c r="B5" i="3"/>
  <c r="B10" i="42"/>
  <c r="P8" i="30"/>
  <c r="A10" i="44"/>
  <c r="B6" i="3" l="1"/>
  <c r="P9" i="30"/>
  <c r="A9" i="30"/>
  <c r="A11" i="44"/>
  <c r="E24" i="42"/>
  <c r="D24" i="42"/>
  <c r="E23" i="42"/>
  <c r="D23" i="42"/>
  <c r="E22" i="42"/>
  <c r="D22" i="42"/>
  <c r="E21" i="42"/>
  <c r="D21" i="42"/>
  <c r="E20" i="42"/>
  <c r="D20" i="42"/>
  <c r="E19" i="42"/>
  <c r="D19" i="42"/>
  <c r="E18" i="42"/>
  <c r="D18" i="42"/>
  <c r="E17" i="42"/>
  <c r="D17" i="42"/>
  <c r="E16" i="42"/>
  <c r="D16" i="42"/>
  <c r="E15" i="42"/>
  <c r="D15" i="42"/>
  <c r="E14" i="42"/>
  <c r="D14" i="42"/>
  <c r="E13" i="42"/>
  <c r="D13" i="42"/>
  <c r="E12" i="42"/>
  <c r="D12" i="42"/>
  <c r="E11" i="42"/>
  <c r="D11" i="42"/>
  <c r="E10" i="42"/>
  <c r="D10" i="42"/>
  <c r="B7" i="3" l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A10" i="30"/>
  <c r="P10" i="30"/>
  <c r="A12" i="44"/>
  <c r="R40" i="36"/>
  <c r="Q40" i="36"/>
  <c r="P40" i="36"/>
  <c r="O40" i="36"/>
  <c r="N40" i="36"/>
  <c r="M40" i="36"/>
  <c r="L40" i="36"/>
  <c r="K40" i="36"/>
  <c r="J40" i="36"/>
  <c r="I40" i="36"/>
  <c r="H40" i="36"/>
  <c r="G40" i="36"/>
  <c r="F40" i="36"/>
  <c r="E40" i="36"/>
  <c r="D1" i="36"/>
  <c r="E1" i="36" s="1"/>
  <c r="F1" i="36" s="1"/>
  <c r="G1" i="36" s="1"/>
  <c r="H1" i="36" s="1"/>
  <c r="I1" i="36" s="1"/>
  <c r="J1" i="36" s="1"/>
  <c r="K1" i="36" s="1"/>
  <c r="L1" i="36" s="1"/>
  <c r="M1" i="36" s="1"/>
  <c r="N1" i="36" s="1"/>
  <c r="O1" i="36" s="1"/>
  <c r="P1" i="36" s="1"/>
  <c r="Q1" i="36" s="1"/>
  <c r="R1" i="36" s="1"/>
  <c r="A11" i="42"/>
  <c r="A12" i="42" s="1"/>
  <c r="A13" i="42" s="1"/>
  <c r="A14" i="42" s="1"/>
  <c r="N5" i="3"/>
  <c r="M5" i="3"/>
  <c r="M4" i="3"/>
  <c r="D40" i="36"/>
  <c r="N9" i="44"/>
  <c r="N10" i="44" s="1"/>
  <c r="N11" i="44" s="1"/>
  <c r="N12" i="44" s="1"/>
  <c r="N13" i="44" s="1"/>
  <c r="N14" i="44" s="1"/>
  <c r="N15" i="44" s="1"/>
  <c r="N16" i="44" s="1"/>
  <c r="O9" i="44"/>
  <c r="O10" i="44" s="1"/>
  <c r="O11" i="44" s="1"/>
  <c r="O12" i="44" s="1"/>
  <c r="O13" i="44" s="1"/>
  <c r="O14" i="44" s="1"/>
  <c r="O15" i="44" s="1"/>
  <c r="O16" i="44" s="1"/>
  <c r="O17" i="44" s="1"/>
  <c r="O18" i="44" s="1"/>
  <c r="O19" i="44" s="1"/>
  <c r="O20" i="44" s="1"/>
  <c r="O21" i="44" s="1"/>
  <c r="O22" i="44" s="1"/>
  <c r="O23" i="44" s="1"/>
  <c r="M23" i="3"/>
  <c r="M22" i="3"/>
  <c r="M21" i="3"/>
  <c r="M20" i="3"/>
  <c r="M19" i="3"/>
  <c r="M18" i="3"/>
  <c r="AQ24" i="42" s="1"/>
  <c r="M17" i="3"/>
  <c r="AQ23" i="42" s="1"/>
  <c r="M16" i="3"/>
  <c r="AQ22" i="42" s="1"/>
  <c r="M15" i="3"/>
  <c r="AQ21" i="42" s="1"/>
  <c r="M14" i="3"/>
  <c r="AQ20" i="42" s="1"/>
  <c r="M13" i="3"/>
  <c r="AQ19" i="42" s="1"/>
  <c r="M12" i="3"/>
  <c r="AQ18" i="42" s="1"/>
  <c r="M11" i="3"/>
  <c r="AQ17" i="42" s="1"/>
  <c r="M10" i="3"/>
  <c r="AQ16" i="42" s="1"/>
  <c r="M9" i="3"/>
  <c r="AQ15" i="42" s="1"/>
  <c r="M8" i="3"/>
  <c r="AQ14" i="42" s="1"/>
  <c r="M7" i="3"/>
  <c r="AQ13" i="42" s="1"/>
  <c r="M6" i="3"/>
  <c r="N23" i="3"/>
  <c r="N22" i="3"/>
  <c r="N21" i="3"/>
  <c r="N20" i="3"/>
  <c r="N19" i="3"/>
  <c r="N18" i="3"/>
  <c r="AR24" i="42" s="1"/>
  <c r="N17" i="3"/>
  <c r="AR23" i="42" s="1"/>
  <c r="N16" i="3"/>
  <c r="AR22" i="42" s="1"/>
  <c r="N15" i="3"/>
  <c r="AR21" i="42" s="1"/>
  <c r="N14" i="3"/>
  <c r="AR20" i="42" s="1"/>
  <c r="N13" i="3"/>
  <c r="AR19" i="42" s="1"/>
  <c r="N12" i="3"/>
  <c r="AR18" i="42" s="1"/>
  <c r="N11" i="3"/>
  <c r="AR17" i="42" s="1"/>
  <c r="N10" i="3"/>
  <c r="AR16" i="42" s="1"/>
  <c r="N9" i="3"/>
  <c r="AR15" i="42" s="1"/>
  <c r="N8" i="3"/>
  <c r="AR14" i="42" s="1"/>
  <c r="N7" i="3"/>
  <c r="AR13" i="42" s="1"/>
  <c r="N6" i="3"/>
  <c r="N4" i="3"/>
  <c r="A11" i="30" l="1"/>
  <c r="P11" i="30"/>
  <c r="AL14" i="42"/>
  <c r="AK13" i="42"/>
  <c r="AK17" i="42"/>
  <c r="AK15" i="42"/>
  <c r="AK18" i="42"/>
  <c r="AL16" i="42"/>
  <c r="AK14" i="42"/>
  <c r="AK19" i="42"/>
  <c r="AL20" i="42"/>
  <c r="AL24" i="42"/>
  <c r="AK23" i="42"/>
  <c r="AK22" i="42"/>
  <c r="AK21" i="42"/>
  <c r="AN19" i="42"/>
  <c r="AK24" i="42"/>
  <c r="AM20" i="42"/>
  <c r="AM14" i="42"/>
  <c r="AM15" i="42"/>
  <c r="AM18" i="42"/>
  <c r="AN20" i="42"/>
  <c r="AN21" i="42"/>
  <c r="AK16" i="42"/>
  <c r="AN22" i="42"/>
  <c r="AM16" i="42"/>
  <c r="AL22" i="42"/>
  <c r="AL15" i="42"/>
  <c r="AL19" i="42"/>
  <c r="AM22" i="42"/>
  <c r="AK20" i="42"/>
  <c r="AL21" i="42"/>
  <c r="AQ12" i="42"/>
  <c r="AQ10" i="42"/>
  <c r="AM24" i="42"/>
  <c r="AR12" i="42"/>
  <c r="AQ11" i="42"/>
  <c r="AL17" i="42"/>
  <c r="AM10" i="42"/>
  <c r="AL18" i="42"/>
  <c r="AR11" i="42"/>
  <c r="AL23" i="42"/>
  <c r="AR10" i="42"/>
  <c r="AL13" i="42"/>
  <c r="AK11" i="42"/>
  <c r="AL11" i="42"/>
  <c r="AK12" i="42"/>
  <c r="AL12" i="42"/>
  <c r="AN18" i="42"/>
  <c r="AN13" i="42"/>
  <c r="AN15" i="42"/>
  <c r="AN17" i="42"/>
  <c r="AM23" i="42"/>
  <c r="AN23" i="42"/>
  <c r="AM13" i="42"/>
  <c r="AN14" i="42"/>
  <c r="AM17" i="42"/>
  <c r="AM19" i="42"/>
  <c r="AM21" i="42"/>
  <c r="AN24" i="42"/>
  <c r="A13" i="44"/>
  <c r="A15" i="42"/>
  <c r="N17" i="44"/>
  <c r="P12" i="30" l="1"/>
  <c r="A12" i="30"/>
  <c r="M11" i="42"/>
  <c r="AE11" i="42" s="1"/>
  <c r="AH14" i="1"/>
  <c r="M18" i="42"/>
  <c r="M16" i="42"/>
  <c r="AH11" i="1"/>
  <c r="AH15" i="1"/>
  <c r="M21" i="42"/>
  <c r="M22" i="42"/>
  <c r="AH9" i="1"/>
  <c r="M23" i="42"/>
  <c r="L16" i="42"/>
  <c r="AH12" i="1"/>
  <c r="AK10" i="42"/>
  <c r="AN16" i="42"/>
  <c r="AM12" i="42"/>
  <c r="AN12" i="42"/>
  <c r="AM11" i="42"/>
  <c r="AN11" i="42"/>
  <c r="AN10" i="42"/>
  <c r="L18" i="42"/>
  <c r="AD14" i="1"/>
  <c r="AC14" i="1"/>
  <c r="L19" i="42"/>
  <c r="AD15" i="1"/>
  <c r="AC15" i="1"/>
  <c r="L13" i="42"/>
  <c r="AD9" i="1"/>
  <c r="AC9" i="1"/>
  <c r="L15" i="42"/>
  <c r="AD11" i="1"/>
  <c r="AC11" i="1"/>
  <c r="AD12" i="1"/>
  <c r="AC12" i="1"/>
  <c r="AL10" i="42"/>
  <c r="A14" i="44"/>
  <c r="J23" i="42"/>
  <c r="J21" i="42"/>
  <c r="J19" i="42"/>
  <c r="J17" i="42"/>
  <c r="J15" i="42"/>
  <c r="J13" i="42"/>
  <c r="J11" i="42"/>
  <c r="J24" i="42"/>
  <c r="J22" i="42"/>
  <c r="J20" i="42"/>
  <c r="J18" i="42"/>
  <c r="J16" i="42"/>
  <c r="J14" i="42"/>
  <c r="J12" i="42"/>
  <c r="J10" i="42"/>
  <c r="K10" i="42"/>
  <c r="A16" i="42"/>
  <c r="N18" i="44"/>
  <c r="P13" i="30" l="1"/>
  <c r="A13" i="30"/>
  <c r="P15" i="42"/>
  <c r="B14" i="44" s="1"/>
  <c r="P16" i="42"/>
  <c r="B15" i="44" s="1"/>
  <c r="P19" i="42"/>
  <c r="B18" i="44" s="1"/>
  <c r="P18" i="42"/>
  <c r="B17" i="44" s="1"/>
  <c r="P13" i="42"/>
  <c r="B12" i="44" s="1"/>
  <c r="M10" i="42"/>
  <c r="AE10" i="42" s="1"/>
  <c r="M17" i="42"/>
  <c r="M12" i="42"/>
  <c r="AE12" i="42" s="1"/>
  <c r="M24" i="42"/>
  <c r="M20" i="42"/>
  <c r="M13" i="42"/>
  <c r="AE13" i="42" s="1"/>
  <c r="M14" i="42"/>
  <c r="AH8" i="1"/>
  <c r="AH10" i="1"/>
  <c r="M19" i="42"/>
  <c r="M15" i="42"/>
  <c r="AD19" i="1"/>
  <c r="AC20" i="1"/>
  <c r="AH20" i="1"/>
  <c r="AC19" i="1"/>
  <c r="AH19" i="1"/>
  <c r="AD18" i="1"/>
  <c r="AH18" i="1"/>
  <c r="L17" i="42"/>
  <c r="AH13" i="1"/>
  <c r="AD16" i="1"/>
  <c r="AH16" i="1"/>
  <c r="AD17" i="1"/>
  <c r="AH17" i="1"/>
  <c r="AD7" i="1"/>
  <c r="AH7" i="1"/>
  <c r="L10" i="42"/>
  <c r="AH10" i="42" s="1"/>
  <c r="AC18" i="1"/>
  <c r="L23" i="42"/>
  <c r="L20" i="42"/>
  <c r="L22" i="42"/>
  <c r="AC16" i="1"/>
  <c r="L21" i="42"/>
  <c r="AD20" i="1"/>
  <c r="L24" i="42"/>
  <c r="L11" i="42"/>
  <c r="AC13" i="1"/>
  <c r="AD13" i="1"/>
  <c r="AC17" i="1"/>
  <c r="AC7" i="1"/>
  <c r="L12" i="42"/>
  <c r="AH12" i="42" s="1"/>
  <c r="AD8" i="1"/>
  <c r="AC8" i="1"/>
  <c r="L14" i="42"/>
  <c r="AD10" i="1"/>
  <c r="AC10" i="1"/>
  <c r="A15" i="44"/>
  <c r="A17" i="42"/>
  <c r="AH13" i="42"/>
  <c r="AD13" i="42"/>
  <c r="N19" i="44"/>
  <c r="P14" i="30" l="1"/>
  <c r="A14" i="30"/>
  <c r="P17" i="42"/>
  <c r="B16" i="44" s="1"/>
  <c r="P10" i="42"/>
  <c r="B9" i="44" s="1"/>
  <c r="P23" i="42"/>
  <c r="B22" i="44" s="1"/>
  <c r="P11" i="42"/>
  <c r="Q10" i="42"/>
  <c r="C9" i="44" s="1"/>
  <c r="P24" i="42"/>
  <c r="B23" i="44" s="1"/>
  <c r="P20" i="42"/>
  <c r="B19" i="44" s="1"/>
  <c r="P14" i="42"/>
  <c r="B13" i="44" s="1"/>
  <c r="P12" i="42"/>
  <c r="P22" i="42"/>
  <c r="B21" i="44" s="1"/>
  <c r="P21" i="42"/>
  <c r="B20" i="44" s="1"/>
  <c r="AD10" i="42"/>
  <c r="AP10" i="42" s="1"/>
  <c r="AI10" i="42"/>
  <c r="P14" i="44"/>
  <c r="P18" i="44"/>
  <c r="P15" i="44"/>
  <c r="S15" i="44" s="1"/>
  <c r="Q14" i="30" s="1"/>
  <c r="R14" i="30" s="1"/>
  <c r="S14" i="30" s="1"/>
  <c r="T14" i="30" s="1"/>
  <c r="U14" i="30" s="1"/>
  <c r="V14" i="30" s="1"/>
  <c r="W14" i="30" s="1"/>
  <c r="X14" i="30" s="1"/>
  <c r="Y14" i="30" s="1"/>
  <c r="Z14" i="30" s="1"/>
  <c r="AA14" i="30" s="1"/>
  <c r="AB14" i="30" s="1"/>
  <c r="P17" i="44"/>
  <c r="R17" i="44" s="1"/>
  <c r="B16" i="30" s="1"/>
  <c r="AD11" i="42"/>
  <c r="AP11" i="42" s="1"/>
  <c r="AH11" i="42"/>
  <c r="AD12" i="42"/>
  <c r="AO12" i="42" s="1"/>
  <c r="A16" i="44"/>
  <c r="AF13" i="42"/>
  <c r="P12" i="44"/>
  <c r="A18" i="42"/>
  <c r="AE14" i="42"/>
  <c r="AO13" i="42"/>
  <c r="AP13" i="42"/>
  <c r="AH14" i="42"/>
  <c r="AD14" i="42"/>
  <c r="N20" i="44"/>
  <c r="P15" i="30" l="1"/>
  <c r="A15" i="30"/>
  <c r="M16" i="30"/>
  <c r="C16" i="30"/>
  <c r="D16" i="30" s="1"/>
  <c r="L16" i="30" s="1"/>
  <c r="AF10" i="42"/>
  <c r="AF11" i="42"/>
  <c r="B10" i="44"/>
  <c r="P10" i="44" s="1"/>
  <c r="S10" i="44" s="1"/>
  <c r="Q9" i="30" s="1"/>
  <c r="R9" i="30" s="1"/>
  <c r="S9" i="30" s="1"/>
  <c r="T9" i="30" s="1"/>
  <c r="U9" i="30" s="1"/>
  <c r="V9" i="30" s="1"/>
  <c r="W9" i="30" s="1"/>
  <c r="X9" i="30" s="1"/>
  <c r="Y9" i="30" s="1"/>
  <c r="Z9" i="30" s="1"/>
  <c r="AA9" i="30" s="1"/>
  <c r="AB9" i="30" s="1"/>
  <c r="AF12" i="42"/>
  <c r="B11" i="44"/>
  <c r="P11" i="44" s="1"/>
  <c r="R11" i="44" s="1"/>
  <c r="B10" i="30" s="1"/>
  <c r="AO10" i="42"/>
  <c r="R14" i="44"/>
  <c r="B13" i="30" s="1"/>
  <c r="S14" i="44"/>
  <c r="Q13" i="30" s="1"/>
  <c r="R13" i="30" s="1"/>
  <c r="S13" i="30" s="1"/>
  <c r="T13" i="30" s="1"/>
  <c r="U13" i="30" s="1"/>
  <c r="V13" i="30" s="1"/>
  <c r="W13" i="30" s="1"/>
  <c r="X13" i="30" s="1"/>
  <c r="Y13" i="30" s="1"/>
  <c r="Z13" i="30" s="1"/>
  <c r="AA13" i="30" s="1"/>
  <c r="AB13" i="30" s="1"/>
  <c r="Q9" i="44"/>
  <c r="T9" i="44" s="1"/>
  <c r="G8" i="30" s="1"/>
  <c r="S18" i="44"/>
  <c r="Q17" i="30" s="1"/>
  <c r="R17" i="30" s="1"/>
  <c r="S17" i="30" s="1"/>
  <c r="T17" i="30" s="1"/>
  <c r="U17" i="30" s="1"/>
  <c r="V17" i="30" s="1"/>
  <c r="W17" i="30" s="1"/>
  <c r="X17" i="30" s="1"/>
  <c r="Y17" i="30" s="1"/>
  <c r="Z17" i="30" s="1"/>
  <c r="AA17" i="30" s="1"/>
  <c r="AB17" i="30" s="1"/>
  <c r="R18" i="44"/>
  <c r="B17" i="30" s="1"/>
  <c r="S17" i="44"/>
  <c r="Q16" i="30" s="1"/>
  <c r="R16" i="30" s="1"/>
  <c r="S16" i="30" s="1"/>
  <c r="T16" i="30" s="1"/>
  <c r="U16" i="30" s="1"/>
  <c r="V16" i="30" s="1"/>
  <c r="W16" i="30" s="1"/>
  <c r="X16" i="30" s="1"/>
  <c r="Y16" i="30" s="1"/>
  <c r="Z16" i="30" s="1"/>
  <c r="AA16" i="30" s="1"/>
  <c r="AB16" i="30" s="1"/>
  <c r="P16" i="44"/>
  <c r="P13" i="44"/>
  <c r="R13" i="44" s="1"/>
  <c r="B12" i="30" s="1"/>
  <c r="R15" i="44"/>
  <c r="B14" i="30" s="1"/>
  <c r="P20" i="44"/>
  <c r="L41" i="36"/>
  <c r="P19" i="44"/>
  <c r="R19" i="44" s="1"/>
  <c r="B18" i="30" s="1"/>
  <c r="P9" i="44"/>
  <c r="AG10" i="42"/>
  <c r="J39" i="45"/>
  <c r="K39" i="45" s="1"/>
  <c r="AO11" i="42"/>
  <c r="AP12" i="42"/>
  <c r="AF14" i="42"/>
  <c r="A17" i="44"/>
  <c r="U15" i="44"/>
  <c r="J42" i="36"/>
  <c r="R12" i="44"/>
  <c r="B11" i="30" s="1"/>
  <c r="S12" i="44"/>
  <c r="Q11" i="30" s="1"/>
  <c r="R11" i="30" s="1"/>
  <c r="S11" i="30" s="1"/>
  <c r="T11" i="30" s="1"/>
  <c r="U11" i="30" s="1"/>
  <c r="V11" i="30" s="1"/>
  <c r="W11" i="30" s="1"/>
  <c r="X11" i="30" s="1"/>
  <c r="Y11" i="30" s="1"/>
  <c r="Z11" i="30" s="1"/>
  <c r="AA11" i="30" s="1"/>
  <c r="AB11" i="30" s="1"/>
  <c r="A19" i="42"/>
  <c r="AE15" i="42"/>
  <c r="AP14" i="42"/>
  <c r="AO14" i="42"/>
  <c r="AH15" i="42"/>
  <c r="AD15" i="42"/>
  <c r="AF15" i="42"/>
  <c r="N21" i="44"/>
  <c r="P16" i="30" l="1"/>
  <c r="A16" i="30"/>
  <c r="C11" i="30"/>
  <c r="D11" i="30" s="1"/>
  <c r="L11" i="30" s="1"/>
  <c r="M11" i="30"/>
  <c r="C13" i="30"/>
  <c r="D13" i="30" s="1"/>
  <c r="L13" i="30" s="1"/>
  <c r="M13" i="30"/>
  <c r="C14" i="30"/>
  <c r="D14" i="30" s="1"/>
  <c r="L14" i="30" s="1"/>
  <c r="M14" i="30"/>
  <c r="C12" i="30"/>
  <c r="D12" i="30" s="1"/>
  <c r="L12" i="30" s="1"/>
  <c r="M12" i="30"/>
  <c r="C17" i="30"/>
  <c r="D17" i="30" s="1"/>
  <c r="L17" i="30" s="1"/>
  <c r="M17" i="30"/>
  <c r="C18" i="30"/>
  <c r="D18" i="30" s="1"/>
  <c r="L18" i="30" s="1"/>
  <c r="M18" i="30"/>
  <c r="M42" i="36"/>
  <c r="M41" i="36"/>
  <c r="U14" i="44"/>
  <c r="H8" i="30"/>
  <c r="I8" i="30" s="1"/>
  <c r="F8" i="30"/>
  <c r="U17" i="44"/>
  <c r="I42" i="36"/>
  <c r="I41" i="36"/>
  <c r="U18" i="44"/>
  <c r="L42" i="36"/>
  <c r="S19" i="44"/>
  <c r="Q18" i="30" s="1"/>
  <c r="R18" i="30" s="1"/>
  <c r="S18" i="30" s="1"/>
  <c r="T18" i="30" s="1"/>
  <c r="U18" i="30" s="1"/>
  <c r="V18" i="30" s="1"/>
  <c r="W18" i="30" s="1"/>
  <c r="X18" i="30" s="1"/>
  <c r="Y18" i="30" s="1"/>
  <c r="Z18" i="30" s="1"/>
  <c r="AA18" i="30" s="1"/>
  <c r="AB18" i="30" s="1"/>
  <c r="S13" i="44"/>
  <c r="J41" i="36"/>
  <c r="R16" i="44"/>
  <c r="B15" i="30" s="1"/>
  <c r="S16" i="44"/>
  <c r="Q15" i="30" s="1"/>
  <c r="R15" i="30" s="1"/>
  <c r="S15" i="30" s="1"/>
  <c r="T15" i="30" s="1"/>
  <c r="U15" i="30" s="1"/>
  <c r="V15" i="30" s="1"/>
  <c r="W15" i="30" s="1"/>
  <c r="X15" i="30" s="1"/>
  <c r="Y15" i="30" s="1"/>
  <c r="Z15" i="30" s="1"/>
  <c r="AA15" i="30" s="1"/>
  <c r="AB15" i="30" s="1"/>
  <c r="S9" i="44"/>
  <c r="R9" i="44"/>
  <c r="S11" i="44"/>
  <c r="Q10" i="30" s="1"/>
  <c r="R10" i="30" s="1"/>
  <c r="S10" i="30" s="1"/>
  <c r="T10" i="30" s="1"/>
  <c r="U10" i="30" s="1"/>
  <c r="V10" i="30" s="1"/>
  <c r="W10" i="30" s="1"/>
  <c r="X10" i="30" s="1"/>
  <c r="Y10" i="30" s="1"/>
  <c r="Z10" i="30" s="1"/>
  <c r="AA10" i="30" s="1"/>
  <c r="AB10" i="30" s="1"/>
  <c r="R10" i="44"/>
  <c r="B9" i="30" s="1"/>
  <c r="M9" i="30" s="1"/>
  <c r="H41" i="36"/>
  <c r="M10" i="30"/>
  <c r="C10" i="30"/>
  <c r="D10" i="30" s="1"/>
  <c r="L10" i="30" s="1"/>
  <c r="A18" i="44"/>
  <c r="F41" i="36"/>
  <c r="G41" i="36"/>
  <c r="E42" i="36"/>
  <c r="U10" i="44"/>
  <c r="G42" i="36"/>
  <c r="U12" i="44"/>
  <c r="A20" i="42"/>
  <c r="AE16" i="42"/>
  <c r="AH16" i="42"/>
  <c r="AD16" i="42"/>
  <c r="AF16" i="42"/>
  <c r="AP15" i="42"/>
  <c r="AO15" i="42"/>
  <c r="N22" i="44"/>
  <c r="P21" i="44"/>
  <c r="N41" i="36"/>
  <c r="R20" i="44"/>
  <c r="B19" i="30" s="1"/>
  <c r="S20" i="44"/>
  <c r="Q19" i="30" s="1"/>
  <c r="R19" i="30" s="1"/>
  <c r="S19" i="30" s="1"/>
  <c r="T19" i="30" s="1"/>
  <c r="U19" i="30" s="1"/>
  <c r="V19" i="30" s="1"/>
  <c r="W19" i="30" s="1"/>
  <c r="X19" i="30" s="1"/>
  <c r="Y19" i="30" s="1"/>
  <c r="Z19" i="30" s="1"/>
  <c r="AA19" i="30" s="1"/>
  <c r="AB19" i="30" s="1"/>
  <c r="A17" i="30" l="1"/>
  <c r="P17" i="30"/>
  <c r="M15" i="30"/>
  <c r="C15" i="30"/>
  <c r="D15" i="30" s="1"/>
  <c r="L15" i="30" s="1"/>
  <c r="U13" i="44"/>
  <c r="Q12" i="30"/>
  <c r="R12" i="30" s="1"/>
  <c r="S12" i="30" s="1"/>
  <c r="T12" i="30" s="1"/>
  <c r="U12" i="30" s="1"/>
  <c r="V12" i="30" s="1"/>
  <c r="W12" i="30" s="1"/>
  <c r="X12" i="30" s="1"/>
  <c r="Y12" i="30" s="1"/>
  <c r="Z12" i="30" s="1"/>
  <c r="AA12" i="30" s="1"/>
  <c r="AB12" i="30" s="1"/>
  <c r="C19" i="30"/>
  <c r="D19" i="30" s="1"/>
  <c r="L19" i="30" s="1"/>
  <c r="M19" i="30"/>
  <c r="J8" i="30"/>
  <c r="K8" i="30" s="1"/>
  <c r="E8" i="30"/>
  <c r="U19" i="44"/>
  <c r="H42" i="36"/>
  <c r="N42" i="36"/>
  <c r="U16" i="44"/>
  <c r="K42" i="36"/>
  <c r="K41" i="36"/>
  <c r="B8" i="30"/>
  <c r="D41" i="36"/>
  <c r="Q8" i="30"/>
  <c r="U9" i="44"/>
  <c r="D42" i="36"/>
  <c r="E41" i="36"/>
  <c r="C9" i="30"/>
  <c r="D9" i="30" s="1"/>
  <c r="L9" i="30" s="1"/>
  <c r="U11" i="44"/>
  <c r="F42" i="36"/>
  <c r="A19" i="44"/>
  <c r="A21" i="42"/>
  <c r="AE17" i="42"/>
  <c r="AH17" i="42"/>
  <c r="AF17" i="42"/>
  <c r="AD17" i="42"/>
  <c r="AO16" i="42"/>
  <c r="AP16" i="42"/>
  <c r="O42" i="36"/>
  <c r="U20" i="44"/>
  <c r="N23" i="44"/>
  <c r="P22" i="44"/>
  <c r="O41" i="36"/>
  <c r="R21" i="44"/>
  <c r="B20" i="30" s="1"/>
  <c r="S21" i="44"/>
  <c r="Q20" i="30" s="1"/>
  <c r="R20" i="30" s="1"/>
  <c r="S20" i="30" s="1"/>
  <c r="T20" i="30" s="1"/>
  <c r="U20" i="30" s="1"/>
  <c r="V20" i="30" s="1"/>
  <c r="W20" i="30" s="1"/>
  <c r="X20" i="30" s="1"/>
  <c r="Y20" i="30" s="1"/>
  <c r="Z20" i="30" s="1"/>
  <c r="AA20" i="30" s="1"/>
  <c r="AB20" i="30" s="1"/>
  <c r="P18" i="30" l="1"/>
  <c r="A18" i="30"/>
  <c r="C20" i="30"/>
  <c r="D20" i="30" s="1"/>
  <c r="L20" i="30" s="1"/>
  <c r="M20" i="30"/>
  <c r="R8" i="30"/>
  <c r="M8" i="30"/>
  <c r="C8" i="30"/>
  <c r="A20" i="44"/>
  <c r="A22" i="42"/>
  <c r="AE18" i="42"/>
  <c r="AP17" i="42"/>
  <c r="AO17" i="42"/>
  <c r="AH18" i="42"/>
  <c r="AD18" i="42"/>
  <c r="AF18" i="42"/>
  <c r="P41" i="36"/>
  <c r="R22" i="44"/>
  <c r="B21" i="30" s="1"/>
  <c r="S22" i="44"/>
  <c r="Q21" i="30" s="1"/>
  <c r="R21" i="30" s="1"/>
  <c r="S21" i="30" s="1"/>
  <c r="T21" i="30" s="1"/>
  <c r="U21" i="30" s="1"/>
  <c r="V21" i="30" s="1"/>
  <c r="W21" i="30" s="1"/>
  <c r="X21" i="30" s="1"/>
  <c r="Y21" i="30" s="1"/>
  <c r="Z21" i="30" s="1"/>
  <c r="AA21" i="30" s="1"/>
  <c r="AB21" i="30" s="1"/>
  <c r="P42" i="36"/>
  <c r="U21" i="44"/>
  <c r="P23" i="44"/>
  <c r="P19" i="30" l="1"/>
  <c r="A19" i="30"/>
  <c r="M21" i="30"/>
  <c r="C21" i="30"/>
  <c r="D21" i="30" s="1"/>
  <c r="L21" i="30" s="1"/>
  <c r="D8" i="30"/>
  <c r="S8" i="30"/>
  <c r="A21" i="44"/>
  <c r="A23" i="42"/>
  <c r="AE19" i="42"/>
  <c r="AH19" i="42"/>
  <c r="AD19" i="42"/>
  <c r="AF19" i="42"/>
  <c r="AP18" i="42"/>
  <c r="AO18" i="42"/>
  <c r="Q41" i="36"/>
  <c r="S23" i="44"/>
  <c r="Q22" i="30" s="1"/>
  <c r="R22" i="30" s="1"/>
  <c r="S22" i="30" s="1"/>
  <c r="T22" i="30" s="1"/>
  <c r="U22" i="30" s="1"/>
  <c r="V22" i="30" s="1"/>
  <c r="W22" i="30" s="1"/>
  <c r="X22" i="30" s="1"/>
  <c r="Y22" i="30" s="1"/>
  <c r="Z22" i="30" s="1"/>
  <c r="AA22" i="30" s="1"/>
  <c r="AB22" i="30" s="1"/>
  <c r="R23" i="44"/>
  <c r="B22" i="30" s="1"/>
  <c r="Q42" i="36"/>
  <c r="U22" i="44"/>
  <c r="P20" i="30" l="1"/>
  <c r="A20" i="30"/>
  <c r="C22" i="30"/>
  <c r="D22" i="30" s="1"/>
  <c r="L22" i="30" s="1"/>
  <c r="M22" i="30"/>
  <c r="T8" i="30"/>
  <c r="L8" i="30"/>
  <c r="A22" i="44"/>
  <c r="A24" i="42"/>
  <c r="AE20" i="42"/>
  <c r="AH20" i="42"/>
  <c r="AF20" i="42"/>
  <c r="AD20" i="42"/>
  <c r="AP19" i="42"/>
  <c r="AO19" i="42"/>
  <c r="R42" i="36"/>
  <c r="U23" i="44"/>
  <c r="R41" i="36"/>
  <c r="A21" i="30" l="1"/>
  <c r="P21" i="30"/>
  <c r="U8" i="30"/>
  <c r="D39" i="45"/>
  <c r="E39" i="45" s="1"/>
  <c r="H39" i="45"/>
  <c r="I39" i="45" s="1"/>
  <c r="F39" i="45"/>
  <c r="G39" i="45" s="1"/>
  <c r="A23" i="44"/>
  <c r="AE21" i="42"/>
  <c r="AO20" i="42"/>
  <c r="AP20" i="42"/>
  <c r="AH21" i="42"/>
  <c r="AF21" i="42"/>
  <c r="AD21" i="42"/>
  <c r="P22" i="30" l="1"/>
  <c r="A22" i="30"/>
  <c r="V8" i="30"/>
  <c r="AE22" i="42"/>
  <c r="AH22" i="42"/>
  <c r="AF22" i="42"/>
  <c r="AD22" i="42"/>
  <c r="AO21" i="42"/>
  <c r="AP21" i="42"/>
  <c r="W8" i="30" l="1"/>
  <c r="AE23" i="42"/>
  <c r="AH23" i="42"/>
  <c r="AD23" i="42"/>
  <c r="AF23" i="42"/>
  <c r="AO22" i="42"/>
  <c r="AP22" i="42"/>
  <c r="X8" i="30" l="1"/>
  <c r="AE24" i="42"/>
  <c r="AO23" i="42"/>
  <c r="AP23" i="42"/>
  <c r="AH24" i="42"/>
  <c r="AF24" i="42"/>
  <c r="AD24" i="42"/>
  <c r="Y8" i="30" l="1"/>
  <c r="AO24" i="42"/>
  <c r="AP24" i="42"/>
  <c r="Z8" i="30" l="1"/>
  <c r="AA8" i="30" l="1"/>
  <c r="AB8" i="30" l="1"/>
  <c r="K14" i="42" l="1"/>
  <c r="K15" i="42"/>
  <c r="Q15" i="42" s="1"/>
  <c r="AI11" i="42"/>
  <c r="AI23" i="42"/>
  <c r="AI16" i="42"/>
  <c r="K24" i="42"/>
  <c r="Q14" i="42" l="1"/>
  <c r="C13" i="44" s="1"/>
  <c r="Q13" i="44" s="1"/>
  <c r="T13" i="44" s="1"/>
  <c r="G12" i="30" s="1"/>
  <c r="Q24" i="42"/>
  <c r="C23" i="44" s="1"/>
  <c r="Q23" i="44" s="1"/>
  <c r="T23" i="44" s="1"/>
  <c r="G22" i="30" s="1"/>
  <c r="AG15" i="42"/>
  <c r="C14" i="44"/>
  <c r="Q14" i="44" s="1"/>
  <c r="T14" i="44" s="1"/>
  <c r="AI14" i="42"/>
  <c r="AI21" i="42"/>
  <c r="K21" i="42"/>
  <c r="K19" i="42"/>
  <c r="AI20" i="42"/>
  <c r="AI13" i="42"/>
  <c r="K13" i="42"/>
  <c r="K23" i="42"/>
  <c r="K22" i="42"/>
  <c r="AI22" i="42"/>
  <c r="AI12" i="42"/>
  <c r="K12" i="42"/>
  <c r="AI19" i="42"/>
  <c r="AI24" i="42"/>
  <c r="K16" i="42"/>
  <c r="AI18" i="42"/>
  <c r="AI17" i="42"/>
  <c r="K17" i="42"/>
  <c r="K18" i="42"/>
  <c r="K20" i="42"/>
  <c r="AI15" i="42"/>
  <c r="K11" i="42"/>
  <c r="G13" i="30" l="1"/>
  <c r="H12" i="30"/>
  <c r="I12" i="30" s="1"/>
  <c r="F12" i="30"/>
  <c r="H22" i="30"/>
  <c r="I22" i="30" s="1"/>
  <c r="F22" i="30"/>
  <c r="AG24" i="42"/>
  <c r="AG14" i="42"/>
  <c r="Q21" i="42"/>
  <c r="C20" i="44" s="1"/>
  <c r="Q20" i="44" s="1"/>
  <c r="T20" i="44" s="1"/>
  <c r="G19" i="30" s="1"/>
  <c r="Q22" i="42"/>
  <c r="C21" i="44" s="1"/>
  <c r="Q21" i="44" s="1"/>
  <c r="T21" i="44" s="1"/>
  <c r="G20" i="30" s="1"/>
  <c r="Q20" i="42"/>
  <c r="AG20" i="42" s="1"/>
  <c r="Q16" i="42"/>
  <c r="C15" i="44" s="1"/>
  <c r="Q15" i="44" s="1"/>
  <c r="T15" i="44" s="1"/>
  <c r="G14" i="30" s="1"/>
  <c r="Q17" i="42"/>
  <c r="AG17" i="42" s="1"/>
  <c r="Q19" i="42"/>
  <c r="AG19" i="42" s="1"/>
  <c r="Q11" i="42"/>
  <c r="C10" i="44" s="1"/>
  <c r="Q10" i="44" s="1"/>
  <c r="T10" i="44" s="1"/>
  <c r="G9" i="30" s="1"/>
  <c r="Q23" i="42"/>
  <c r="C22" i="44" s="1"/>
  <c r="Q22" i="44" s="1"/>
  <c r="T22" i="44" s="1"/>
  <c r="G21" i="30" s="1"/>
  <c r="Q18" i="42"/>
  <c r="C17" i="44" s="1"/>
  <c r="Q17" i="44" s="1"/>
  <c r="T17" i="44" s="1"/>
  <c r="G16" i="30" s="1"/>
  <c r="Q13" i="42"/>
  <c r="C12" i="44" s="1"/>
  <c r="Q12" i="44" s="1"/>
  <c r="T12" i="44" s="1"/>
  <c r="G11" i="30" s="1"/>
  <c r="Q12" i="42"/>
  <c r="AG12" i="42" s="1"/>
  <c r="E12" i="30" l="1"/>
  <c r="J12" i="30"/>
  <c r="K12" i="30" s="1"/>
  <c r="H14" i="30"/>
  <c r="I14" i="30" s="1"/>
  <c r="F14" i="30"/>
  <c r="H16" i="30"/>
  <c r="I16" i="30" s="1"/>
  <c r="F16" i="30"/>
  <c r="F13" i="30"/>
  <c r="H13" i="30"/>
  <c r="I13" i="30" s="1"/>
  <c r="F11" i="30"/>
  <c r="H11" i="30"/>
  <c r="I11" i="30" s="1"/>
  <c r="H21" i="30"/>
  <c r="I21" i="30" s="1"/>
  <c r="F21" i="30"/>
  <c r="H20" i="30"/>
  <c r="I20" i="30" s="1"/>
  <c r="F20" i="30"/>
  <c r="F19" i="30"/>
  <c r="H19" i="30"/>
  <c r="I19" i="30" s="1"/>
  <c r="E22" i="30"/>
  <c r="J22" i="30"/>
  <c r="K22" i="30" s="1"/>
  <c r="AG21" i="42"/>
  <c r="AG16" i="42"/>
  <c r="AG22" i="42"/>
  <c r="AG11" i="42"/>
  <c r="AG23" i="42"/>
  <c r="AG13" i="42"/>
  <c r="C18" i="44"/>
  <c r="Q18" i="44" s="1"/>
  <c r="T18" i="44" s="1"/>
  <c r="G17" i="30" s="1"/>
  <c r="C16" i="44"/>
  <c r="Q16" i="44" s="1"/>
  <c r="T16" i="44" s="1"/>
  <c r="G15" i="30" s="1"/>
  <c r="C11" i="44"/>
  <c r="Q11" i="44" s="1"/>
  <c r="T11" i="44" s="1"/>
  <c r="G10" i="30" s="1"/>
  <c r="H10" i="30" s="1"/>
  <c r="AG18" i="42"/>
  <c r="C19" i="44"/>
  <c r="Q19" i="44" s="1"/>
  <c r="T19" i="44" s="1"/>
  <c r="H9" i="30"/>
  <c r="F9" i="30"/>
  <c r="H15" i="30" l="1"/>
  <c r="I15" i="30" s="1"/>
  <c r="F15" i="30"/>
  <c r="E13" i="30"/>
  <c r="J13" i="30"/>
  <c r="E16" i="30"/>
  <c r="J16" i="30"/>
  <c r="K16" i="30" s="1"/>
  <c r="J14" i="30"/>
  <c r="K14" i="30" s="1"/>
  <c r="E14" i="30"/>
  <c r="J11" i="30"/>
  <c r="K11" i="30" s="1"/>
  <c r="E11" i="30"/>
  <c r="G18" i="30"/>
  <c r="J20" i="30"/>
  <c r="K20" i="30" s="1"/>
  <c r="E20" i="30"/>
  <c r="E19" i="30"/>
  <c r="J19" i="30"/>
  <c r="K19" i="30" s="1"/>
  <c r="F17" i="30"/>
  <c r="H17" i="30"/>
  <c r="I17" i="30" s="1"/>
  <c r="J21" i="30"/>
  <c r="K21" i="30" s="1"/>
  <c r="E21" i="30"/>
  <c r="F10" i="30"/>
  <c r="I9" i="30"/>
  <c r="I10" i="30"/>
  <c r="E9" i="30"/>
  <c r="J9" i="30"/>
  <c r="K13" i="30" l="1"/>
  <c r="J15" i="30"/>
  <c r="K15" i="30" s="1"/>
  <c r="E15" i="30"/>
  <c r="J17" i="30"/>
  <c r="K17" i="30" s="1"/>
  <c r="E17" i="30"/>
  <c r="F18" i="30"/>
  <c r="H18" i="30"/>
  <c r="I18" i="30" s="1"/>
  <c r="E10" i="30"/>
  <c r="J10" i="30"/>
  <c r="K9" i="30"/>
  <c r="E18" i="30" l="1"/>
  <c r="J18" i="30"/>
  <c r="K10" i="30"/>
  <c r="K18" i="30" l="1"/>
</calcChain>
</file>

<file path=xl/comments1.xml><?xml version="1.0" encoding="utf-8"?>
<comments xmlns="http://schemas.openxmlformats.org/spreadsheetml/2006/main">
  <authors>
    <author>Fernie Williams</author>
  </authors>
  <commentList>
    <comment ref="E6" authorId="0" shapeId="0">
      <text>
        <r>
          <rPr>
            <b/>
            <sz val="9"/>
            <color indexed="81"/>
            <rFont val="Tahoma"/>
            <charset val="1"/>
          </rPr>
          <t>Fernie Williams:</t>
        </r>
        <r>
          <rPr>
            <sz val="9"/>
            <color indexed="81"/>
            <rFont val="Tahoma"/>
            <charset val="1"/>
          </rPr>
          <t xml:space="preserve">
Effective capacity of 8.5MWac Cooperative Solar Farm One - Base on Summer 2018 PJM 5 CPs
</t>
        </r>
      </text>
    </comment>
  </commentList>
</comments>
</file>

<file path=xl/comments2.xml><?xml version="1.0" encoding="utf-8"?>
<comments xmlns="http://schemas.openxmlformats.org/spreadsheetml/2006/main">
  <authors>
    <author>Fernie D Williams III</author>
  </authors>
  <commentList>
    <comment ref="D4" authorId="0" shapeId="0">
      <text>
        <r>
          <rPr>
            <b/>
            <sz val="8"/>
            <color indexed="81"/>
            <rFont val="Tahoma"/>
            <family val="2"/>
          </rPr>
          <t>Fernie D Williams III:</t>
        </r>
        <r>
          <rPr>
            <sz val="8"/>
            <color indexed="81"/>
            <rFont val="Tahoma"/>
            <family val="2"/>
          </rPr>
          <t xml:space="preserve">
Summer rating</t>
        </r>
      </text>
    </comment>
    <comment ref="F4" authorId="0" shapeId="0">
      <text>
        <r>
          <rPr>
            <b/>
            <sz val="8"/>
            <color indexed="81"/>
            <rFont val="Tahoma"/>
            <family val="2"/>
          </rPr>
          <t>Fernie D Williams III:</t>
        </r>
        <r>
          <rPr>
            <sz val="8"/>
            <color indexed="81"/>
            <rFont val="Tahoma"/>
            <family val="2"/>
          </rPr>
          <t xml:space="preserve">
Summer rating
</t>
        </r>
      </text>
    </comment>
  </commentList>
</comments>
</file>

<file path=xl/comments3.xml><?xml version="1.0" encoding="utf-8"?>
<comments xmlns="http://schemas.openxmlformats.org/spreadsheetml/2006/main">
  <authors>
    <author>garyd</author>
  </authors>
  <commentList>
    <comment ref="B7" authorId="0" shapeId="0">
      <text>
        <r>
          <rPr>
            <b/>
            <sz val="8"/>
            <color indexed="81"/>
            <rFont val="Tahoma"/>
            <family val="2"/>
          </rPr>
          <t>garyd:</t>
        </r>
        <r>
          <rPr>
            <sz val="8"/>
            <color indexed="81"/>
            <rFont val="Tahoma"/>
            <family val="2"/>
          </rPr>
          <t xml:space="preserve">
Winter Min Capacity Need</t>
        </r>
      </text>
    </comment>
    <comment ref="G7" authorId="0" shapeId="0">
      <text>
        <r>
          <rPr>
            <b/>
            <sz val="8"/>
            <color indexed="81"/>
            <rFont val="Tahoma"/>
            <family val="2"/>
          </rPr>
          <t>garyd:</t>
        </r>
        <r>
          <rPr>
            <sz val="8"/>
            <color indexed="81"/>
            <rFont val="Tahoma"/>
            <family val="2"/>
          </rPr>
          <t xml:space="preserve">
Summer Min Capacity Need</t>
        </r>
      </text>
    </comment>
  </commentList>
</comments>
</file>

<file path=xl/sharedStrings.xml><?xml version="1.0" encoding="utf-8"?>
<sst xmlns="http://schemas.openxmlformats.org/spreadsheetml/2006/main" count="313" uniqueCount="147">
  <si>
    <t>Landfill Gas</t>
  </si>
  <si>
    <t>Smith CTs</t>
  </si>
  <si>
    <t>SEPA</t>
  </si>
  <si>
    <t>WIN</t>
  </si>
  <si>
    <t>SUM</t>
  </si>
  <si>
    <t>Cooper</t>
  </si>
  <si>
    <t xml:space="preserve"> WIN</t>
  </si>
  <si>
    <t xml:space="preserve"> SUM</t>
  </si>
  <si>
    <t>1x268</t>
  </si>
  <si>
    <t>1x116</t>
  </si>
  <si>
    <t>Capacity</t>
  </si>
  <si>
    <t>YEAR</t>
  </si>
  <si>
    <t>Total</t>
  </si>
  <si>
    <t>Existing</t>
  </si>
  <si>
    <t>Deficit before</t>
  </si>
  <si>
    <t>Long Term</t>
  </si>
  <si>
    <t>Required</t>
  </si>
  <si>
    <t>Cap Additions</t>
  </si>
  <si>
    <t>Sales**</t>
  </si>
  <si>
    <t>Total Addition</t>
  </si>
  <si>
    <t>Peaking</t>
  </si>
  <si>
    <t>(Excl Seas Pur)</t>
  </si>
  <si>
    <t>Purchases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</si>
  <si>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</si>
  <si>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</si>
  <si>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</si>
  <si>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</si>
  <si>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</si>
  <si>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</si>
  <si>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</si>
  <si>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</si>
  <si>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</si>
  <si>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</si>
  <si>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</si>
  <si>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</si>
  <si>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Planned</t>
  </si>
  <si>
    <t>Year</t>
  </si>
  <si>
    <t>$/kW</t>
  </si>
  <si>
    <t>K$/Yr</t>
  </si>
  <si>
    <t>Options</t>
  </si>
  <si>
    <t>Total Avail</t>
  </si>
  <si>
    <t>Min Need</t>
  </si>
  <si>
    <t>Pumping Station Mkt Purch</t>
  </si>
  <si>
    <t>FCR</t>
  </si>
  <si>
    <t>Pking/Int</t>
  </si>
  <si>
    <t>STIG</t>
  </si>
  <si>
    <t>Baseload</t>
  </si>
  <si>
    <t>Coalfired</t>
  </si>
  <si>
    <t>Comb Turb</t>
  </si>
  <si>
    <t>Spur 4</t>
  </si>
  <si>
    <t>#1-3</t>
  </si>
  <si>
    <t>#4-7</t>
  </si>
  <si>
    <t>Coal fired</t>
  </si>
  <si>
    <t xml:space="preserve">Total </t>
  </si>
  <si>
    <t>Gas fired</t>
  </si>
  <si>
    <t>W Min</t>
  </si>
  <si>
    <t>W Max</t>
  </si>
  <si>
    <t>S Min</t>
  </si>
  <si>
    <t>S Max</t>
  </si>
  <si>
    <t>Minimum Need</t>
  </si>
  <si>
    <t>Maximum Need</t>
  </si>
  <si>
    <t>Needed</t>
  </si>
  <si>
    <t>Net Capacity</t>
  </si>
  <si>
    <t>Based on Reserve Margin =</t>
  </si>
  <si>
    <t>Jan, Feb, Dec are Winter Min Capacity Need</t>
  </si>
  <si>
    <t>Jun, Jul, Aug are Summer Min Capacity Need</t>
  </si>
  <si>
    <t>of Winter Min Capacity Need</t>
  </si>
  <si>
    <t>of Summer Min Capacity Need</t>
  </si>
  <si>
    <t>Optimization</t>
  </si>
  <si>
    <t>% of Total Capacity</t>
  </si>
  <si>
    <t>Mar, Nov =</t>
  </si>
  <si>
    <t>Apr, May, Sep, Oct =</t>
  </si>
  <si>
    <t>Coal-fired</t>
  </si>
  <si>
    <t>Gas-fired</t>
  </si>
  <si>
    <t>MW</t>
  </si>
  <si>
    <t>Max Need</t>
  </si>
  <si>
    <t>Nat Gas</t>
  </si>
  <si>
    <t>Purchase</t>
  </si>
  <si>
    <t>COAL</t>
  </si>
  <si>
    <t>GAS</t>
  </si>
  <si>
    <t>Resources</t>
  </si>
  <si>
    <t>LFG</t>
  </si>
  <si>
    <t>#9-10</t>
  </si>
  <si>
    <t>Purchased</t>
  </si>
  <si>
    <t>1x510</t>
  </si>
  <si>
    <t>1x300</t>
  </si>
  <si>
    <t>Win</t>
  </si>
  <si>
    <t>Sum</t>
  </si>
  <si>
    <t>Interruptible</t>
  </si>
  <si>
    <t>TOTAL</t>
  </si>
  <si>
    <t>Purchases (MW)</t>
  </si>
  <si>
    <t>Resource Optimizer Requirements</t>
  </si>
  <si>
    <t>Seasonal</t>
  </si>
  <si>
    <t xml:space="preserve">Other </t>
  </si>
  <si>
    <t>NG</t>
  </si>
  <si>
    <t>Derate</t>
  </si>
  <si>
    <t>Retirement/</t>
  </si>
  <si>
    <t>Solar</t>
  </si>
  <si>
    <t>SC CT 1</t>
  </si>
  <si>
    <t>SC CT 2</t>
  </si>
  <si>
    <t>SC CT 3</t>
  </si>
  <si>
    <t>SC CT 4</t>
  </si>
  <si>
    <t>Winter 1</t>
  </si>
  <si>
    <t>Winter 2</t>
  </si>
  <si>
    <t>DSM</t>
  </si>
  <si>
    <t>1x225</t>
  </si>
  <si>
    <t>Load Forecast</t>
  </si>
  <si>
    <t>Winter 3</t>
  </si>
  <si>
    <t>Winter 4</t>
  </si>
  <si>
    <t>Winter 5</t>
  </si>
  <si>
    <t>BG CTs</t>
  </si>
  <si>
    <t>CAPACITY ADDITIONS</t>
  </si>
  <si>
    <t>SCGT</t>
  </si>
  <si>
    <t>Spur 3</t>
  </si>
  <si>
    <t>Winter</t>
  </si>
  <si>
    <t>Summer</t>
  </si>
  <si>
    <t>SOLAR</t>
  </si>
  <si>
    <t>Spur 2</t>
  </si>
  <si>
    <t>Spur 1</t>
  </si>
  <si>
    <t>FOSSIL FLEET</t>
  </si>
  <si>
    <t>No Future Capacity Unless Committed - Additional Capacity Installed after 2020</t>
  </si>
  <si>
    <t>Planning Reserves</t>
  </si>
  <si>
    <t>CCGT</t>
  </si>
  <si>
    <t>OTHER</t>
  </si>
  <si>
    <t>Solar Purchase</t>
  </si>
  <si>
    <t>Wind Purchase</t>
  </si>
  <si>
    <t>Effective Addition</t>
  </si>
  <si>
    <t>HYDRO</t>
  </si>
  <si>
    <t>LFGTE</t>
  </si>
  <si>
    <t>ESCALATION</t>
  </si>
  <si>
    <t>RO-LMS100</t>
  </si>
  <si>
    <t>RO-7H</t>
  </si>
  <si>
    <t>RO-CC</t>
  </si>
  <si>
    <t>Solar 1</t>
  </si>
  <si>
    <t>Solar 2</t>
  </si>
  <si>
    <t>Solar 3</t>
  </si>
  <si>
    <t>Solar 4</t>
  </si>
  <si>
    <t>Solar 5</t>
  </si>
  <si>
    <t>Solar 6</t>
  </si>
  <si>
    <t>Solar 7</t>
  </si>
  <si>
    <t>Solar 8</t>
  </si>
  <si>
    <t>Solar 9</t>
  </si>
  <si>
    <t>Solar 10</t>
  </si>
  <si>
    <t>RO-SOLAR-STORAGE</t>
  </si>
  <si>
    <t>IRP BASE Expansion Plan - Prep Q4 2021</t>
  </si>
  <si>
    <t xml:space="preserve">DSM Impacted </t>
  </si>
  <si>
    <t>CC CT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</si>
</sst>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0.0%"/>
    <numFmt numFmtId="165" formatCode="#,##0;;"/>
    <numFmt numFmtId="166" formatCode="#,##0;\ ;"/>
    <numFmt numFmtId="167" formatCode="#,##0.0"/>
    <numFmt numFmtId="168" formatCode="_(* #,##0.0_);_(* \(#,##0.0\);_(* &quot;-&quot;??_);_(@_)"/>
    <numFmt numFmtId="169" formatCode="_(* #,##0_);_(* \(#,##0\);_(* &quot;-&quot;??_);_(@_)"/>
    <numFmt numFmtId="170" formatCode="0.0"/>
    <numFmt numFmtId="171" formatCode="_(* #,##0.00000_);_(* \(#,##0.00000\);_(* &quot;-&quot;??_);_(@_)"/>
    <numFmt numFmtId="172" formatCode="0.000"/>
  </numFmts>
  <fonts count="40">
    <font>
      <sz val="12"/>
      <name val="Arial"/>
    </font>
    <font>
      <sz val="11"/>
      <color theme="1"/>
      <name val="Century Gothic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CG Times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sz val="10"/>
      <color indexed="20"/>
      <name val="Arial"/>
      <family val="2"/>
    </font>
    <font>
      <sz val="8"/>
      <color rgb="FFFF0000"/>
      <name val="Arial"/>
      <family val="2"/>
    </font>
    <font>
      <sz val="8"/>
      <color theme="9" tint="-0.249977111117893"/>
      <name val="Arial"/>
      <family val="2"/>
    </font>
    <font>
      <sz val="8"/>
      <color theme="7" tint="-0.249977111117893"/>
      <name val="Arial"/>
      <family val="2"/>
    </font>
    <font>
      <i/>
      <sz val="9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name val="Bahnschrift Light"/>
      <family val="2"/>
    </font>
    <font>
      <sz val="5"/>
      <name val="Bahnschrift Light"/>
      <family val="2"/>
    </font>
    <font>
      <sz val="8"/>
      <name val="Bahnschrift Light"/>
      <family val="2"/>
    </font>
    <font>
      <b/>
      <sz val="14"/>
      <name val="Bahnschrift Light"/>
      <family val="2"/>
    </font>
    <font>
      <b/>
      <sz val="10"/>
      <name val="Bahnschrift Light"/>
      <family val="2"/>
    </font>
    <font>
      <b/>
      <sz val="18"/>
      <name val="Bahnschrift Light"/>
      <family val="2"/>
    </font>
    <font>
      <b/>
      <sz val="9"/>
      <name val="Bahnschrift Light"/>
      <family val="2"/>
    </font>
    <font>
      <sz val="10"/>
      <name val="Bahnschrift Light"/>
      <family val="2"/>
    </font>
    <font>
      <b/>
      <i/>
      <sz val="10"/>
      <name val="Bahnschrift Light"/>
      <family val="2"/>
    </font>
    <font>
      <b/>
      <sz val="10"/>
      <color rgb="FFFF0000"/>
      <name val="Bahnschrift Light"/>
      <family val="2"/>
    </font>
    <font>
      <b/>
      <sz val="10"/>
      <color rgb="FF000000"/>
      <name val="Bahnschrift Light"/>
      <family val="2"/>
    </font>
    <font>
      <u/>
      <sz val="10"/>
      <name val="Bahnschrift Light"/>
      <family val="2"/>
    </font>
    <font>
      <b/>
      <sz val="8"/>
      <name val="Bahnschrift Light"/>
      <family val="2"/>
    </font>
    <font>
      <sz val="8"/>
      <color indexed="10"/>
      <name val="Bahnschrift Light"/>
      <family val="2"/>
    </font>
    <font>
      <sz val="8"/>
      <color indexed="8"/>
      <name val="Bahnschrift Light"/>
      <family val="2"/>
    </font>
    <font>
      <sz val="12"/>
      <color indexed="8"/>
      <name val="Bahnschrift Light"/>
      <family val="2"/>
    </font>
  </fonts>
  <fills count="3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9" fillId="0" borderId="0"/>
    <xf numFmtId="0" fontId="4" fillId="0" borderId="0"/>
    <xf numFmtId="9" fontId="2" fillId="0" borderId="0" applyFont="0" applyFill="0" applyBorder="0" applyAlignment="0" applyProtection="0"/>
    <xf numFmtId="0" fontId="1" fillId="0" borderId="0"/>
  </cellStyleXfs>
  <cellXfs count="602">
    <xf numFmtId="0" fontId="0" fillId="0" borderId="0" xfId="0"/>
    <xf numFmtId="0" fontId="5" fillId="0" borderId="0" xfId="3" applyFont="1" applyFill="1" applyBorder="1" applyAlignment="1" applyProtection="1">
      <alignment horizontal="centerContinuous"/>
      <protection locked="0"/>
    </xf>
    <xf numFmtId="0" fontId="5" fillId="0" borderId="0" xfId="3" applyFont="1" applyFill="1" applyBorder="1" applyAlignment="1" applyProtection="1">
      <alignment horizontal="center"/>
      <protection locked="0"/>
    </xf>
    <xf numFmtId="0" fontId="5" fillId="0" borderId="2" xfId="3" applyFont="1" applyFill="1" applyBorder="1" applyAlignment="1" applyProtection="1">
      <alignment horizontal="center"/>
      <protection locked="0"/>
    </xf>
    <xf numFmtId="0" fontId="5" fillId="0" borderId="3" xfId="3" applyFont="1" applyFill="1" applyBorder="1" applyAlignment="1" applyProtection="1">
      <alignment horizontal="center"/>
      <protection locked="0"/>
    </xf>
    <xf numFmtId="0" fontId="5" fillId="0" borderId="4" xfId="3" applyFont="1" applyFill="1" applyBorder="1" applyAlignment="1" applyProtection="1">
      <alignment horizontal="center"/>
      <protection locked="0"/>
    </xf>
    <xf numFmtId="0" fontId="5" fillId="0" borderId="0" xfId="0" applyFont="1"/>
    <xf numFmtId="0" fontId="5" fillId="0" borderId="7" xfId="3" applyFont="1" applyFill="1" applyBorder="1" applyAlignment="1" applyProtection="1">
      <alignment horizontal="centerContinuous"/>
      <protection locked="0"/>
    </xf>
    <xf numFmtId="0" fontId="5" fillId="0" borderId="7" xfId="0" applyFont="1" applyBorder="1"/>
    <xf numFmtId="0" fontId="5" fillId="0" borderId="6" xfId="0" applyFont="1" applyBorder="1"/>
    <xf numFmtId="0" fontId="5" fillId="0" borderId="0" xfId="0" applyFont="1" applyBorder="1"/>
    <xf numFmtId="0" fontId="5" fillId="0" borderId="5" xfId="0" applyFont="1" applyBorder="1"/>
    <xf numFmtId="0" fontId="5" fillId="0" borderId="0" xfId="0" applyFont="1" applyAlignment="1">
      <alignment horizontal="left"/>
    </xf>
    <xf numFmtId="0" fontId="5" fillId="0" borderId="0" xfId="0" applyFont="1" applyFill="1" applyBorder="1"/>
    <xf numFmtId="3" fontId="5" fillId="0" borderId="7" xfId="0" applyNumberFormat="1" applyFont="1" applyFill="1" applyBorder="1"/>
    <xf numFmtId="3" fontId="5" fillId="0" borderId="0" xfId="0" applyNumberFormat="1" applyFont="1" applyFill="1" applyBorder="1"/>
    <xf numFmtId="0" fontId="5" fillId="0" borderId="7" xfId="0" applyFont="1" applyFill="1" applyBorder="1"/>
    <xf numFmtId="165" fontId="5" fillId="0" borderId="0" xfId="0" applyNumberFormat="1" applyFont="1" applyFill="1" applyBorder="1"/>
    <xf numFmtId="0" fontId="9" fillId="0" borderId="0" xfId="2"/>
    <xf numFmtId="0" fontId="9" fillId="0" borderId="0" xfId="2" applyFont="1"/>
    <xf numFmtId="165" fontId="5" fillId="0" borderId="0" xfId="0" applyNumberFormat="1" applyFont="1"/>
    <xf numFmtId="0" fontId="5" fillId="0" borderId="0" xfId="0" applyFont="1" applyAlignment="1">
      <alignment horizontal="center"/>
    </xf>
    <xf numFmtId="9" fontId="5" fillId="0" borderId="0" xfId="4" applyNumberFormat="1" applyFont="1"/>
    <xf numFmtId="9" fontId="5" fillId="0" borderId="0" xfId="0" applyNumberFormat="1" applyFont="1"/>
    <xf numFmtId="1" fontId="11" fillId="0" borderId="6" xfId="3" applyNumberFormat="1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0" fontId="9" fillId="0" borderId="12" xfId="2" applyFont="1" applyBorder="1"/>
    <xf numFmtId="0" fontId="5" fillId="0" borderId="0" xfId="0" applyFont="1" applyFill="1" applyBorder="1" applyAlignment="1">
      <alignment horizontal="center"/>
    </xf>
    <xf numFmtId="0" fontId="5" fillId="0" borderId="0" xfId="0" applyNumberFormat="1" applyFont="1" applyFill="1" applyBorder="1"/>
    <xf numFmtId="0" fontId="5" fillId="0" borderId="8" xfId="0" applyFont="1" applyBorder="1"/>
    <xf numFmtId="169" fontId="5" fillId="0" borderId="0" xfId="1" applyNumberFormat="1" applyFont="1" applyFill="1" applyBorder="1"/>
    <xf numFmtId="169" fontId="5" fillId="0" borderId="7" xfId="1" applyNumberFormat="1" applyFont="1" applyFill="1" applyBorder="1"/>
    <xf numFmtId="169" fontId="9" fillId="0" borderId="0" xfId="1" applyNumberFormat="1" applyFont="1"/>
    <xf numFmtId="171" fontId="9" fillId="0" borderId="0" xfId="1" applyNumberFormat="1" applyFont="1"/>
    <xf numFmtId="169" fontId="9" fillId="0" borderId="0" xfId="1" applyNumberFormat="1" applyFont="1" applyAlignment="1">
      <alignment horizontal="center"/>
    </xf>
    <xf numFmtId="170" fontId="9" fillId="0" borderId="0" xfId="1" applyNumberFormat="1" applyFont="1"/>
    <xf numFmtId="169" fontId="5" fillId="0" borderId="0" xfId="1" applyNumberFormat="1" applyFont="1" applyBorder="1"/>
    <xf numFmtId="169" fontId="5" fillId="0" borderId="7" xfId="1" applyNumberFormat="1" applyFont="1" applyBorder="1"/>
    <xf numFmtId="0" fontId="5" fillId="0" borderId="5" xfId="3" applyFont="1" applyFill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/>
    </xf>
    <xf numFmtId="0" fontId="5" fillId="0" borderId="6" xfId="3" applyNumberFormat="1" applyFont="1" applyFill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center"/>
    </xf>
    <xf numFmtId="43" fontId="5" fillId="0" borderId="5" xfId="1" applyFont="1" applyFill="1" applyBorder="1"/>
    <xf numFmtId="43" fontId="5" fillId="0" borderId="1" xfId="1" applyFont="1" applyFill="1" applyBorder="1" applyAlignment="1" applyProtection="1">
      <alignment horizontal="center"/>
      <protection locked="0"/>
    </xf>
    <xf numFmtId="0" fontId="5" fillId="0" borderId="8" xfId="3" applyFont="1" applyFill="1" applyBorder="1" applyAlignment="1" applyProtection="1">
      <alignment horizontal="left"/>
      <protection locked="0"/>
    </xf>
    <xf numFmtId="0" fontId="5" fillId="0" borderId="2" xfId="0" applyFont="1" applyFill="1" applyBorder="1" applyAlignment="1">
      <alignment horizontal="center"/>
    </xf>
    <xf numFmtId="169" fontId="5" fillId="0" borderId="1" xfId="1" applyNumberFormat="1" applyFont="1" applyFill="1" applyBorder="1"/>
    <xf numFmtId="0" fontId="8" fillId="0" borderId="0" xfId="0" applyFont="1" applyBorder="1" applyAlignment="1">
      <alignment horizontal="left"/>
    </xf>
    <xf numFmtId="9" fontId="8" fillId="0" borderId="0" xfId="0" applyNumberFormat="1" applyFont="1" applyBorder="1" applyAlignment="1">
      <alignment horizontal="center"/>
    </xf>
    <xf numFmtId="0" fontId="10" fillId="0" borderId="0" xfId="0" applyFont="1" applyBorder="1"/>
    <xf numFmtId="165" fontId="7" fillId="0" borderId="0" xfId="0" applyNumberFormat="1" applyFont="1" applyFill="1" applyBorder="1"/>
    <xf numFmtId="0" fontId="5" fillId="5" borderId="1" xfId="3" applyFont="1" applyFill="1" applyBorder="1" applyAlignment="1" applyProtection="1">
      <alignment horizontal="centerContinuous"/>
      <protection locked="0"/>
    </xf>
    <xf numFmtId="0" fontId="5" fillId="5" borderId="14" xfId="3" applyFont="1" applyFill="1" applyBorder="1" applyAlignment="1" applyProtection="1">
      <alignment horizontal="centerContinuous"/>
      <protection locked="0"/>
    </xf>
    <xf numFmtId="0" fontId="5" fillId="5" borderId="0" xfId="3" applyFont="1" applyFill="1" applyBorder="1" applyAlignment="1" applyProtection="1">
      <alignment horizontal="centerContinuous"/>
      <protection locked="0"/>
    </xf>
    <xf numFmtId="0" fontId="5" fillId="5" borderId="15" xfId="3" applyFont="1" applyFill="1" applyBorder="1" applyAlignment="1" applyProtection="1">
      <alignment horizontal="centerContinuous"/>
      <protection locked="0"/>
    </xf>
    <xf numFmtId="165" fontId="5" fillId="5" borderId="0" xfId="3" applyNumberFormat="1" applyFont="1" applyFill="1" applyBorder="1" applyProtection="1">
      <protection locked="0"/>
    </xf>
    <xf numFmtId="0" fontId="5" fillId="5" borderId="0" xfId="0" applyFont="1" applyFill="1" applyBorder="1"/>
    <xf numFmtId="0" fontId="5" fillId="5" borderId="0" xfId="3" applyFont="1" applyFill="1" applyBorder="1" applyAlignment="1" applyProtection="1">
      <alignment horizontal="center"/>
      <protection locked="0"/>
    </xf>
    <xf numFmtId="165" fontId="5" fillId="3" borderId="0" xfId="3" applyNumberFormat="1" applyFont="1" applyFill="1" applyBorder="1" applyProtection="1">
      <protection locked="0"/>
    </xf>
    <xf numFmtId="0" fontId="5" fillId="3" borderId="0" xfId="0" applyFont="1" applyFill="1" applyBorder="1"/>
    <xf numFmtId="168" fontId="5" fillId="4" borderId="0" xfId="1" applyNumberFormat="1" applyFont="1" applyFill="1" applyBorder="1"/>
    <xf numFmtId="165" fontId="5" fillId="4" borderId="0" xfId="3" applyNumberFormat="1" applyFont="1" applyFill="1" applyBorder="1" applyProtection="1">
      <protection locked="0"/>
    </xf>
    <xf numFmtId="0" fontId="5" fillId="4" borderId="0" xfId="0" applyFont="1" applyFill="1" applyBorder="1"/>
    <xf numFmtId="169" fontId="13" fillId="0" borderId="19" xfId="1" applyNumberFormat="1" applyFont="1" applyBorder="1" applyAlignment="1">
      <alignment horizontal="center"/>
    </xf>
    <xf numFmtId="1" fontId="6" fillId="3" borderId="20" xfId="1" applyNumberFormat="1" applyFont="1" applyFill="1" applyBorder="1"/>
    <xf numFmtId="1" fontId="6" fillId="2" borderId="20" xfId="1" applyNumberFormat="1" applyFont="1" applyFill="1" applyBorder="1"/>
    <xf numFmtId="0" fontId="9" fillId="7" borderId="0" xfId="2" applyFont="1" applyFill="1"/>
    <xf numFmtId="0" fontId="9" fillId="8" borderId="0" xfId="2" applyFont="1" applyFill="1"/>
    <xf numFmtId="0" fontId="9" fillId="2" borderId="0" xfId="2" applyFont="1" applyFill="1"/>
    <xf numFmtId="0" fontId="9" fillId="10" borderId="12" xfId="2" applyFont="1" applyFill="1" applyBorder="1"/>
    <xf numFmtId="0" fontId="9" fillId="11" borderId="0" xfId="2" applyFont="1" applyFill="1"/>
    <xf numFmtId="0" fontId="17" fillId="3" borderId="12" xfId="2" applyFont="1" applyFill="1" applyBorder="1"/>
    <xf numFmtId="0" fontId="6" fillId="0" borderId="0" xfId="2" applyFont="1"/>
    <xf numFmtId="0" fontId="6" fillId="0" borderId="2" xfId="2" applyFont="1" applyBorder="1"/>
    <xf numFmtId="1" fontId="9" fillId="0" borderId="0" xfId="2" applyNumberFormat="1"/>
    <xf numFmtId="0" fontId="7" fillId="0" borderId="0" xfId="0" applyFont="1" applyFill="1" applyBorder="1"/>
    <xf numFmtId="0" fontId="5" fillId="0" borderId="6" xfId="0" applyFont="1" applyFill="1" applyBorder="1"/>
    <xf numFmtId="0" fontId="7" fillId="0" borderId="0" xfId="3" applyFont="1" applyFill="1" applyBorder="1" applyAlignment="1" applyProtection="1">
      <alignment horizontal="center"/>
      <protection locked="0"/>
    </xf>
    <xf numFmtId="0" fontId="9" fillId="6" borderId="29" xfId="2" applyFont="1" applyFill="1" applyBorder="1"/>
    <xf numFmtId="0" fontId="9" fillId="5" borderId="29" xfId="2" applyFont="1" applyFill="1" applyBorder="1"/>
    <xf numFmtId="0" fontId="9" fillId="0" borderId="29" xfId="2" applyFont="1" applyBorder="1"/>
    <xf numFmtId="0" fontId="3" fillId="0" borderId="0" xfId="2" applyFont="1" applyFill="1" applyBorder="1"/>
    <xf numFmtId="0" fontId="9" fillId="0" borderId="0" xfId="2" applyFill="1" applyBorder="1"/>
    <xf numFmtId="0" fontId="17" fillId="3" borderId="11" xfId="2" applyFont="1" applyFill="1" applyBorder="1"/>
    <xf numFmtId="0" fontId="3" fillId="7" borderId="0" xfId="2" applyFont="1" applyFill="1"/>
    <xf numFmtId="0" fontId="3" fillId="6" borderId="12" xfId="2" applyFont="1" applyFill="1" applyBorder="1"/>
    <xf numFmtId="0" fontId="3" fillId="0" borderId="12" xfId="2" applyFont="1" applyBorder="1"/>
    <xf numFmtId="0" fontId="18" fillId="0" borderId="0" xfId="0" applyFont="1" applyFill="1" applyBorder="1"/>
    <xf numFmtId="0" fontId="19" fillId="0" borderId="0" xfId="0" applyFont="1" applyFill="1" applyBorder="1"/>
    <xf numFmtId="0" fontId="19" fillId="0" borderId="6" xfId="0" applyFont="1" applyFill="1" applyBorder="1"/>
    <xf numFmtId="0" fontId="5" fillId="5" borderId="6" xfId="0" applyFont="1" applyFill="1" applyBorder="1"/>
    <xf numFmtId="43" fontId="21" fillId="24" borderId="12" xfId="1" applyNumberFormat="1" applyFont="1" applyFill="1" applyBorder="1"/>
    <xf numFmtId="0" fontId="5" fillId="16" borderId="1" xfId="3" applyFont="1" applyFill="1" applyBorder="1" applyAlignment="1" applyProtection="1">
      <alignment horizontal="centerContinuous"/>
      <protection locked="0"/>
    </xf>
    <xf numFmtId="0" fontId="5" fillId="16" borderId="8" xfId="3" applyFont="1" applyFill="1" applyBorder="1" applyAlignment="1" applyProtection="1">
      <alignment horizontal="centerContinuous"/>
      <protection locked="0"/>
    </xf>
    <xf numFmtId="0" fontId="5" fillId="16" borderId="0" xfId="3" applyFont="1" applyFill="1" applyBorder="1" applyAlignment="1" applyProtection="1">
      <alignment horizontal="centerContinuous"/>
      <protection locked="0"/>
    </xf>
    <xf numFmtId="0" fontId="5" fillId="16" borderId="7" xfId="3" applyFont="1" applyFill="1" applyBorder="1" applyAlignment="1" applyProtection="1">
      <alignment horizontal="centerContinuous"/>
      <protection locked="0"/>
    </xf>
    <xf numFmtId="0" fontId="5" fillId="16" borderId="0" xfId="3" applyFont="1" applyFill="1" applyBorder="1" applyAlignment="1" applyProtection="1">
      <alignment horizontal="center"/>
      <protection locked="0"/>
    </xf>
    <xf numFmtId="0" fontId="5" fillId="16" borderId="7" xfId="3" applyFont="1" applyFill="1" applyBorder="1" applyAlignment="1" applyProtection="1">
      <alignment horizontal="center"/>
      <protection locked="0"/>
    </xf>
    <xf numFmtId="3" fontId="5" fillId="16" borderId="0" xfId="0" applyNumberFormat="1" applyFont="1" applyFill="1" applyBorder="1"/>
    <xf numFmtId="0" fontId="9" fillId="15" borderId="12" xfId="2" applyFill="1" applyBorder="1"/>
    <xf numFmtId="0" fontId="9" fillId="21" borderId="12" xfId="2" applyFont="1" applyFill="1" applyBorder="1"/>
    <xf numFmtId="0" fontId="9" fillId="21" borderId="12" xfId="2" applyFill="1" applyBorder="1"/>
    <xf numFmtId="0" fontId="3" fillId="15" borderId="12" xfId="2" applyFont="1" applyFill="1" applyBorder="1"/>
    <xf numFmtId="0" fontId="9" fillId="13" borderId="12" xfId="2" applyFill="1" applyBorder="1"/>
    <xf numFmtId="0" fontId="3" fillId="13" borderId="12" xfId="2" applyFont="1" applyFill="1" applyBorder="1"/>
    <xf numFmtId="0" fontId="9" fillId="28" borderId="12" xfId="2" applyFill="1" applyBorder="1"/>
    <xf numFmtId="0" fontId="3" fillId="5" borderId="12" xfId="2" applyFont="1" applyFill="1" applyBorder="1"/>
    <xf numFmtId="0" fontId="3" fillId="24" borderId="12" xfId="2" applyFont="1" applyFill="1" applyBorder="1"/>
    <xf numFmtId="0" fontId="3" fillId="0" borderId="0" xfId="2" applyFont="1" applyAlignment="1">
      <alignment horizontal="center"/>
    </xf>
    <xf numFmtId="0" fontId="9" fillId="0" borderId="0" xfId="2" applyAlignment="1">
      <alignment horizontal="center"/>
    </xf>
    <xf numFmtId="0" fontId="6" fillId="7" borderId="0" xfId="2" applyFont="1" applyFill="1"/>
    <xf numFmtId="0" fontId="6" fillId="6" borderId="12" xfId="2" applyFont="1" applyFill="1" applyBorder="1"/>
    <xf numFmtId="0" fontId="6" fillId="6" borderId="29" xfId="2" applyFont="1" applyFill="1" applyBorder="1"/>
    <xf numFmtId="0" fontId="6" fillId="21" borderId="12" xfId="2" applyFont="1" applyFill="1" applyBorder="1"/>
    <xf numFmtId="0" fontId="6" fillId="8" borderId="0" xfId="2" applyFont="1" applyFill="1"/>
    <xf numFmtId="0" fontId="6" fillId="5" borderId="12" xfId="2" applyFont="1" applyFill="1" applyBorder="1"/>
    <xf numFmtId="0" fontId="6" fillId="5" borderId="29" xfId="2" applyFont="1" applyFill="1" applyBorder="1"/>
    <xf numFmtId="0" fontId="6" fillId="15" borderId="12" xfId="2" applyFont="1" applyFill="1" applyBorder="1"/>
    <xf numFmtId="0" fontId="5" fillId="0" borderId="0" xfId="0" applyFont="1" applyFill="1" applyBorder="1" applyAlignment="1">
      <alignment horizontal="center"/>
    </xf>
    <xf numFmtId="3" fontId="5" fillId="19" borderId="0" xfId="0" applyNumberFormat="1" applyFont="1" applyFill="1" applyBorder="1"/>
    <xf numFmtId="1" fontId="20" fillId="19" borderId="0" xfId="0" applyNumberFormat="1" applyFont="1" applyFill="1" applyBorder="1"/>
    <xf numFmtId="0" fontId="20" fillId="19" borderId="0" xfId="0" applyFont="1" applyFill="1" applyBorder="1"/>
    <xf numFmtId="0" fontId="7" fillId="19" borderId="0" xfId="0" applyFont="1" applyFill="1" applyBorder="1"/>
    <xf numFmtId="0" fontId="5" fillId="0" borderId="4" xfId="0" applyFont="1" applyFill="1" applyBorder="1" applyAlignment="1">
      <alignment horizontal="center"/>
    </xf>
    <xf numFmtId="0" fontId="5" fillId="29" borderId="5" xfId="0" applyFont="1" applyFill="1" applyBorder="1"/>
    <xf numFmtId="172" fontId="5" fillId="8" borderId="2" xfId="0" applyNumberFormat="1" applyFont="1" applyFill="1" applyBorder="1" applyAlignment="1">
      <alignment horizontal="center"/>
    </xf>
    <xf numFmtId="172" fontId="5" fillId="8" borderId="3" xfId="0" applyNumberFormat="1" applyFont="1" applyFill="1" applyBorder="1" applyAlignment="1">
      <alignment horizontal="center"/>
    </xf>
    <xf numFmtId="0" fontId="5" fillId="23" borderId="5" xfId="0" applyFont="1" applyFill="1" applyBorder="1"/>
    <xf numFmtId="172" fontId="5" fillId="28" borderId="3" xfId="0" applyNumberFormat="1" applyFont="1" applyFill="1" applyBorder="1" applyAlignment="1">
      <alignment horizontal="center"/>
    </xf>
    <xf numFmtId="0" fontId="3" fillId="28" borderId="12" xfId="2" applyFont="1" applyFill="1" applyBorder="1"/>
    <xf numFmtId="0" fontId="5" fillId="28" borderId="0" xfId="0" applyFont="1" applyFill="1" applyBorder="1"/>
    <xf numFmtId="0" fontId="5" fillId="28" borderId="2" xfId="0" applyFont="1" applyFill="1" applyBorder="1" applyAlignment="1">
      <alignment horizontal="center"/>
    </xf>
    <xf numFmtId="165" fontId="7" fillId="0" borderId="22" xfId="0" applyNumberFormat="1" applyFont="1" applyFill="1" applyBorder="1"/>
    <xf numFmtId="0" fontId="5" fillId="0" borderId="27" xfId="0" applyFont="1" applyFill="1" applyBorder="1"/>
    <xf numFmtId="0" fontId="8" fillId="0" borderId="2" xfId="0" applyFont="1" applyBorder="1" applyAlignment="1">
      <alignment horizontal="left"/>
    </xf>
    <xf numFmtId="1" fontId="9" fillId="0" borderId="12" xfId="1" applyNumberFormat="1" applyFont="1" applyBorder="1"/>
    <xf numFmtId="0" fontId="5" fillId="0" borderId="40" xfId="0" applyFont="1" applyFill="1" applyBorder="1"/>
    <xf numFmtId="165" fontId="7" fillId="0" borderId="40" xfId="0" applyNumberFormat="1" applyFont="1" applyFill="1" applyBorder="1"/>
    <xf numFmtId="3" fontId="5" fillId="19" borderId="40" xfId="0" applyNumberFormat="1" applyFont="1" applyFill="1" applyBorder="1"/>
    <xf numFmtId="0" fontId="5" fillId="29" borderId="1" xfId="0" applyFont="1" applyFill="1" applyBorder="1"/>
    <xf numFmtId="0" fontId="5" fillId="29" borderId="0" xfId="0" applyFont="1" applyFill="1" applyBorder="1"/>
    <xf numFmtId="0" fontId="5" fillId="29" borderId="7" xfId="0" applyFont="1" applyFill="1" applyBorder="1"/>
    <xf numFmtId="0" fontId="24" fillId="0" borderId="0" xfId="0" applyNumberFormat="1" applyFont="1" applyAlignment="1">
      <alignment horizontal="center"/>
    </xf>
    <xf numFmtId="0" fontId="25" fillId="0" borderId="0" xfId="0" applyNumberFormat="1" applyFont="1"/>
    <xf numFmtId="0" fontId="26" fillId="0" borderId="0" xfId="0" applyNumberFormat="1" applyFont="1"/>
    <xf numFmtId="0" fontId="26" fillId="0" borderId="0" xfId="0" applyNumberFormat="1" applyFont="1" applyFill="1" applyBorder="1"/>
    <xf numFmtId="0" fontId="26" fillId="0" borderId="0" xfId="0" applyNumberFormat="1" applyFont="1" applyBorder="1"/>
    <xf numFmtId="0" fontId="27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Border="1"/>
    <xf numFmtId="0" fontId="26" fillId="0" borderId="0" xfId="0" applyFont="1" applyFill="1" applyBorder="1"/>
    <xf numFmtId="0" fontId="28" fillId="0" borderId="0" xfId="0" applyFont="1" applyAlignment="1">
      <alignment horizontal="center"/>
    </xf>
    <xf numFmtId="0" fontId="26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30" fillId="0" borderId="0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1" fillId="0" borderId="5" xfId="0" applyFont="1" applyBorder="1"/>
    <xf numFmtId="0" fontId="31" fillId="18" borderId="5" xfId="3" applyFont="1" applyFill="1" applyBorder="1" applyAlignment="1" applyProtection="1">
      <alignment horizontal="center"/>
      <protection locked="0"/>
    </xf>
    <xf numFmtId="0" fontId="31" fillId="18" borderId="8" xfId="3" applyFont="1" applyFill="1" applyBorder="1" applyAlignment="1" applyProtection="1">
      <alignment horizontal="center"/>
      <protection locked="0"/>
    </xf>
    <xf numFmtId="0" fontId="31" fillId="0" borderId="0" xfId="0" applyFont="1" applyFill="1" applyBorder="1"/>
    <xf numFmtId="0" fontId="31" fillId="0" borderId="0" xfId="0" applyFont="1" applyFill="1" applyBorder="1" applyAlignment="1">
      <alignment horizontal="center"/>
    </xf>
    <xf numFmtId="1" fontId="32" fillId="0" borderId="6" xfId="3" applyNumberFormat="1" applyFont="1" applyFill="1" applyBorder="1" applyAlignment="1" applyProtection="1">
      <alignment horizontal="center"/>
      <protection locked="0"/>
    </xf>
    <xf numFmtId="0" fontId="31" fillId="18" borderId="6" xfId="3" applyFont="1" applyFill="1" applyBorder="1" applyAlignment="1" applyProtection="1">
      <alignment horizontal="center"/>
      <protection locked="0"/>
    </xf>
    <xf numFmtId="0" fontId="31" fillId="18" borderId="0" xfId="3" applyFont="1" applyFill="1" applyBorder="1" applyAlignment="1" applyProtection="1">
      <alignment horizontal="center"/>
      <protection locked="0"/>
    </xf>
    <xf numFmtId="1" fontId="31" fillId="18" borderId="6" xfId="3" applyNumberFormat="1" applyFont="1" applyFill="1" applyBorder="1" applyAlignment="1" applyProtection="1">
      <alignment horizontal="center"/>
      <protection locked="0"/>
    </xf>
    <xf numFmtId="1" fontId="31" fillId="18" borderId="7" xfId="3" applyNumberFormat="1" applyFont="1" applyFill="1" applyBorder="1" applyAlignment="1" applyProtection="1">
      <alignment horizontal="center"/>
      <protection locked="0"/>
    </xf>
    <xf numFmtId="0" fontId="31" fillId="0" borderId="6" xfId="3" applyFont="1" applyFill="1" applyBorder="1" applyAlignment="1" applyProtection="1">
      <alignment horizontal="left"/>
      <protection locked="0"/>
    </xf>
    <xf numFmtId="0" fontId="31" fillId="0" borderId="7" xfId="3" applyFont="1" applyFill="1" applyBorder="1" applyAlignment="1" applyProtection="1">
      <alignment horizontal="centerContinuous"/>
      <protection locked="0"/>
    </xf>
    <xf numFmtId="0" fontId="31" fillId="0" borderId="4" xfId="3" applyNumberFormat="1" applyFont="1" applyFill="1" applyBorder="1" applyAlignment="1" applyProtection="1">
      <alignment horizontal="center"/>
      <protection locked="0"/>
    </xf>
    <xf numFmtId="0" fontId="31" fillId="18" borderId="12" xfId="0" applyFont="1" applyFill="1" applyBorder="1"/>
    <xf numFmtId="0" fontId="31" fillId="18" borderId="12" xfId="3" applyNumberFormat="1" applyFont="1" applyFill="1" applyBorder="1" applyAlignment="1" applyProtection="1">
      <alignment horizontal="center"/>
      <protection locked="0"/>
    </xf>
    <xf numFmtId="0" fontId="31" fillId="26" borderId="12" xfId="3" applyFont="1" applyFill="1" applyBorder="1" applyAlignment="1" applyProtection="1">
      <alignment horizontal="center"/>
      <protection locked="0"/>
    </xf>
    <xf numFmtId="0" fontId="31" fillId="23" borderId="12" xfId="3" applyFont="1" applyFill="1" applyBorder="1" applyAlignment="1" applyProtection="1">
      <alignment horizontal="center"/>
      <protection locked="0"/>
    </xf>
    <xf numFmtId="0" fontId="31" fillId="30" borderId="12" xfId="3" applyFont="1" applyFill="1" applyBorder="1" applyAlignment="1" applyProtection="1">
      <alignment horizontal="center"/>
      <protection locked="0"/>
    </xf>
    <xf numFmtId="0" fontId="31" fillId="0" borderId="12" xfId="3" applyFont="1" applyFill="1" applyBorder="1" applyAlignment="1" applyProtection="1">
      <alignment horizontal="center"/>
      <protection locked="0"/>
    </xf>
    <xf numFmtId="0" fontId="31" fillId="28" borderId="12" xfId="3" applyFont="1" applyFill="1" applyBorder="1" applyAlignment="1" applyProtection="1">
      <alignment horizontal="center"/>
      <protection locked="0"/>
    </xf>
    <xf numFmtId="0" fontId="31" fillId="9" borderId="12" xfId="3" applyFont="1" applyFill="1" applyBorder="1" applyAlignment="1" applyProtection="1">
      <alignment horizontal="center"/>
      <protection locked="0"/>
    </xf>
    <xf numFmtId="0" fontId="31" fillId="24" borderId="12" xfId="3" applyFont="1" applyFill="1" applyBorder="1" applyAlignment="1" applyProtection="1">
      <alignment horizontal="center"/>
      <protection locked="0"/>
    </xf>
    <xf numFmtId="0" fontId="31" fillId="6" borderId="12" xfId="3" applyFont="1" applyFill="1" applyBorder="1" applyAlignment="1" applyProtection="1">
      <alignment horizontal="center"/>
      <protection locked="0"/>
    </xf>
    <xf numFmtId="0" fontId="31" fillId="8" borderId="12" xfId="3" applyFont="1" applyFill="1" applyBorder="1" applyAlignment="1" applyProtection="1">
      <alignment horizontal="center"/>
      <protection locked="0"/>
    </xf>
    <xf numFmtId="0" fontId="31" fillId="0" borderId="0" xfId="3" applyFont="1" applyFill="1" applyBorder="1" applyAlignment="1" applyProtection="1">
      <alignment horizontal="center"/>
      <protection locked="0"/>
    </xf>
    <xf numFmtId="1" fontId="31" fillId="18" borderId="0" xfId="0" applyNumberFormat="1" applyFont="1" applyFill="1" applyBorder="1"/>
    <xf numFmtId="1" fontId="31" fillId="18" borderId="6" xfId="0" applyNumberFormat="1" applyFont="1" applyFill="1" applyBorder="1"/>
    <xf numFmtId="3" fontId="31" fillId="26" borderId="5" xfId="0" applyNumberFormat="1" applyFont="1" applyFill="1" applyBorder="1"/>
    <xf numFmtId="3" fontId="31" fillId="26" borderId="8" xfId="0" applyNumberFormat="1" applyFont="1" applyFill="1" applyBorder="1"/>
    <xf numFmtId="3" fontId="31" fillId="23" borderId="5" xfId="0" applyNumberFormat="1" applyFont="1" applyFill="1" applyBorder="1"/>
    <xf numFmtId="3" fontId="31" fillId="23" borderId="0" xfId="0" applyNumberFormat="1" applyFont="1" applyFill="1" applyBorder="1"/>
    <xf numFmtId="3" fontId="31" fillId="30" borderId="5" xfId="0" applyNumberFormat="1" applyFont="1" applyFill="1" applyBorder="1"/>
    <xf numFmtId="3" fontId="31" fillId="30" borderId="7" xfId="0" applyNumberFormat="1" applyFont="1" applyFill="1" applyBorder="1"/>
    <xf numFmtId="3" fontId="31" fillId="0" borderId="0" xfId="0" applyNumberFormat="1" applyFont="1" applyBorder="1"/>
    <xf numFmtId="3" fontId="31" fillId="28" borderId="6" xfId="0" applyNumberFormat="1" applyFont="1" applyFill="1" applyBorder="1"/>
    <xf numFmtId="3" fontId="31" fillId="28" borderId="7" xfId="0" applyNumberFormat="1" applyFont="1" applyFill="1" applyBorder="1"/>
    <xf numFmtId="3" fontId="31" fillId="9" borderId="6" xfId="0" applyNumberFormat="1" applyFont="1" applyFill="1" applyBorder="1"/>
    <xf numFmtId="3" fontId="31" fillId="9" borderId="7" xfId="0" applyNumberFormat="1" applyFont="1" applyFill="1" applyBorder="1"/>
    <xf numFmtId="165" fontId="31" fillId="24" borderId="0" xfId="3" applyNumberFormat="1" applyFont="1" applyFill="1" applyBorder="1" applyProtection="1">
      <protection locked="0"/>
    </xf>
    <xf numFmtId="0" fontId="31" fillId="24" borderId="15" xfId="0" applyFont="1" applyFill="1" applyBorder="1"/>
    <xf numFmtId="0" fontId="31" fillId="24" borderId="0" xfId="0" applyFont="1" applyFill="1" applyBorder="1"/>
    <xf numFmtId="165" fontId="31" fillId="24" borderId="16" xfId="3" applyNumberFormat="1" applyFont="1" applyFill="1" applyBorder="1" applyProtection="1">
      <protection locked="0"/>
    </xf>
    <xf numFmtId="3" fontId="31" fillId="24" borderId="15" xfId="0" applyNumberFormat="1" applyFont="1" applyFill="1" applyBorder="1"/>
    <xf numFmtId="169" fontId="31" fillId="24" borderId="0" xfId="1" applyNumberFormat="1" applyFont="1" applyFill="1" applyBorder="1"/>
    <xf numFmtId="169" fontId="31" fillId="24" borderId="7" xfId="1" applyNumberFormat="1" applyFont="1" applyFill="1" applyBorder="1"/>
    <xf numFmtId="169" fontId="31" fillId="0" borderId="5" xfId="1" applyNumberFormat="1" applyFont="1" applyBorder="1"/>
    <xf numFmtId="169" fontId="31" fillId="0" borderId="8" xfId="1" applyNumberFormat="1" applyFont="1" applyBorder="1"/>
    <xf numFmtId="3" fontId="31" fillId="6" borderId="0" xfId="0" applyNumberFormat="1" applyFont="1" applyFill="1" applyBorder="1"/>
    <xf numFmtId="3" fontId="31" fillId="6" borderId="7" xfId="0" applyNumberFormat="1" applyFont="1" applyFill="1" applyBorder="1"/>
    <xf numFmtId="165" fontId="31" fillId="0" borderId="0" xfId="0" applyNumberFormat="1" applyFont="1" applyBorder="1"/>
    <xf numFmtId="166" fontId="31" fillId="0" borderId="7" xfId="0" applyNumberFormat="1" applyFont="1" applyBorder="1"/>
    <xf numFmtId="9" fontId="31" fillId="8" borderId="6" xfId="4" applyNumberFormat="1" applyFont="1" applyFill="1" applyBorder="1"/>
    <xf numFmtId="9" fontId="33" fillId="8" borderId="7" xfId="4" applyNumberFormat="1" applyFont="1" applyFill="1" applyBorder="1"/>
    <xf numFmtId="165" fontId="31" fillId="0" borderId="0" xfId="0" applyNumberFormat="1" applyFont="1" applyFill="1" applyBorder="1"/>
    <xf numFmtId="165" fontId="31" fillId="0" borderId="5" xfId="0" applyNumberFormat="1" applyFont="1" applyFill="1" applyBorder="1"/>
    <xf numFmtId="165" fontId="31" fillId="0" borderId="8" xfId="0" applyNumberFormat="1" applyFont="1" applyFill="1" applyBorder="1"/>
    <xf numFmtId="164" fontId="31" fillId="0" borderId="0" xfId="4" applyNumberFormat="1" applyFont="1" applyFill="1" applyBorder="1"/>
    <xf numFmtId="164" fontId="31" fillId="0" borderId="7" xfId="4" applyNumberFormat="1" applyFont="1" applyFill="1" applyBorder="1"/>
    <xf numFmtId="3" fontId="31" fillId="0" borderId="0" xfId="0" applyNumberFormat="1" applyFont="1" applyFill="1" applyBorder="1"/>
    <xf numFmtId="3" fontId="31" fillId="26" borderId="6" xfId="0" applyNumberFormat="1" applyFont="1" applyFill="1" applyBorder="1"/>
    <xf numFmtId="3" fontId="31" fillId="26" borderId="7" xfId="0" applyNumberFormat="1" applyFont="1" applyFill="1" applyBorder="1"/>
    <xf numFmtId="3" fontId="31" fillId="23" borderId="6" xfId="0" applyNumberFormat="1" applyFont="1" applyFill="1" applyBorder="1"/>
    <xf numFmtId="3" fontId="31" fillId="30" borderId="6" xfId="0" applyNumberFormat="1" applyFont="1" applyFill="1" applyBorder="1"/>
    <xf numFmtId="165" fontId="31" fillId="0" borderId="6" xfId="0" applyNumberFormat="1" applyFont="1" applyFill="1" applyBorder="1"/>
    <xf numFmtId="165" fontId="31" fillId="0" borderId="7" xfId="0" applyNumberFormat="1" applyFont="1" applyFill="1" applyBorder="1"/>
    <xf numFmtId="165" fontId="31" fillId="24" borderId="15" xfId="3" applyNumberFormat="1" applyFont="1" applyFill="1" applyBorder="1" applyProtection="1">
      <protection locked="0"/>
    </xf>
    <xf numFmtId="166" fontId="31" fillId="0" borderId="7" xfId="0" applyNumberFormat="1" applyFont="1" applyFill="1" applyBorder="1"/>
    <xf numFmtId="1" fontId="31" fillId="18" borderId="2" xfId="0" applyNumberFormat="1" applyFont="1" applyFill="1" applyBorder="1"/>
    <xf numFmtId="1" fontId="31" fillId="18" borderId="3" xfId="0" applyNumberFormat="1" applyFont="1" applyFill="1" applyBorder="1"/>
    <xf numFmtId="1" fontId="31" fillId="18" borderId="4" xfId="0" applyNumberFormat="1" applyFont="1" applyFill="1" applyBorder="1"/>
    <xf numFmtId="3" fontId="31" fillId="26" borderId="4" xfId="0" applyNumberFormat="1" applyFont="1" applyFill="1" applyBorder="1"/>
    <xf numFmtId="3" fontId="31" fillId="26" borderId="3" xfId="0" applyNumberFormat="1" applyFont="1" applyFill="1" applyBorder="1"/>
    <xf numFmtId="3" fontId="31" fillId="23" borderId="4" xfId="0" applyNumberFormat="1" applyFont="1" applyFill="1" applyBorder="1"/>
    <xf numFmtId="3" fontId="31" fillId="23" borderId="2" xfId="0" applyNumberFormat="1" applyFont="1" applyFill="1" applyBorder="1"/>
    <xf numFmtId="3" fontId="31" fillId="30" borderId="4" xfId="0" applyNumberFormat="1" applyFont="1" applyFill="1" applyBorder="1"/>
    <xf numFmtId="3" fontId="31" fillId="30" borderId="3" xfId="0" applyNumberFormat="1" applyFont="1" applyFill="1" applyBorder="1"/>
    <xf numFmtId="3" fontId="31" fillId="0" borderId="2" xfId="0" applyNumberFormat="1" applyFont="1" applyFill="1" applyBorder="1"/>
    <xf numFmtId="3" fontId="31" fillId="28" borderId="4" xfId="0" applyNumberFormat="1" applyFont="1" applyFill="1" applyBorder="1"/>
    <xf numFmtId="3" fontId="31" fillId="28" borderId="3" xfId="0" applyNumberFormat="1" applyFont="1" applyFill="1" applyBorder="1"/>
    <xf numFmtId="3" fontId="31" fillId="9" borderId="4" xfId="0" applyNumberFormat="1" applyFont="1" applyFill="1" applyBorder="1"/>
    <xf numFmtId="3" fontId="31" fillId="9" borderId="3" xfId="0" applyNumberFormat="1" applyFont="1" applyFill="1" applyBorder="1"/>
    <xf numFmtId="165" fontId="31" fillId="24" borderId="2" xfId="3" applyNumberFormat="1" applyFont="1" applyFill="1" applyBorder="1" applyProtection="1">
      <protection locked="0"/>
    </xf>
    <xf numFmtId="0" fontId="31" fillId="24" borderId="17" xfId="0" applyFont="1" applyFill="1" applyBorder="1"/>
    <xf numFmtId="0" fontId="31" fillId="24" borderId="2" xfId="0" applyFont="1" applyFill="1" applyBorder="1"/>
    <xf numFmtId="165" fontId="31" fillId="24" borderId="18" xfId="3" applyNumberFormat="1" applyFont="1" applyFill="1" applyBorder="1" applyProtection="1">
      <protection locked="0"/>
    </xf>
    <xf numFmtId="3" fontId="31" fillId="24" borderId="17" xfId="0" applyNumberFormat="1" applyFont="1" applyFill="1" applyBorder="1"/>
    <xf numFmtId="169" fontId="31" fillId="24" borderId="2" xfId="1" applyNumberFormat="1" applyFont="1" applyFill="1" applyBorder="1"/>
    <xf numFmtId="169" fontId="31" fillId="24" borderId="3" xfId="1" applyNumberFormat="1" applyFont="1" applyFill="1" applyBorder="1"/>
    <xf numFmtId="3" fontId="31" fillId="6" borderId="2" xfId="0" applyNumberFormat="1" applyFont="1" applyFill="1" applyBorder="1"/>
    <xf numFmtId="3" fontId="31" fillId="6" borderId="3" xfId="0" applyNumberFormat="1" applyFont="1" applyFill="1" applyBorder="1"/>
    <xf numFmtId="165" fontId="31" fillId="0" borderId="2" xfId="0" applyNumberFormat="1" applyFont="1" applyFill="1" applyBorder="1"/>
    <xf numFmtId="166" fontId="31" fillId="0" borderId="3" xfId="0" applyNumberFormat="1" applyFont="1" applyFill="1" applyBorder="1"/>
    <xf numFmtId="165" fontId="31" fillId="0" borderId="4" xfId="0" applyNumberFormat="1" applyFont="1" applyFill="1" applyBorder="1"/>
    <xf numFmtId="165" fontId="31" fillId="0" borderId="3" xfId="0" applyNumberFormat="1" applyFont="1" applyFill="1" applyBorder="1"/>
    <xf numFmtId="164" fontId="31" fillId="0" borderId="2" xfId="4" applyNumberFormat="1" applyFont="1" applyFill="1" applyBorder="1"/>
    <xf numFmtId="164" fontId="31" fillId="0" borderId="3" xfId="4" applyNumberFormat="1" applyFont="1" applyFill="1" applyBorder="1"/>
    <xf numFmtId="9" fontId="31" fillId="8" borderId="5" xfId="4" applyNumberFormat="1" applyFont="1" applyFill="1" applyBorder="1"/>
    <xf numFmtId="9" fontId="33" fillId="8" borderId="8" xfId="4" applyNumberFormat="1" applyFont="1" applyFill="1" applyBorder="1"/>
    <xf numFmtId="168" fontId="31" fillId="24" borderId="16" xfId="1" applyNumberFormat="1" applyFont="1" applyFill="1" applyBorder="1"/>
    <xf numFmtId="9" fontId="31" fillId="8" borderId="4" xfId="4" applyNumberFormat="1" applyFont="1" applyFill="1" applyBorder="1"/>
    <xf numFmtId="9" fontId="33" fillId="8" borderId="3" xfId="4" applyNumberFormat="1" applyFont="1" applyFill="1" applyBorder="1"/>
    <xf numFmtId="3" fontId="31" fillId="0" borderId="2" xfId="0" applyNumberFormat="1" applyFont="1" applyBorder="1"/>
    <xf numFmtId="166" fontId="31" fillId="0" borderId="3" xfId="0" applyNumberFormat="1" applyFont="1" applyBorder="1"/>
    <xf numFmtId="0" fontId="31" fillId="0" borderId="0" xfId="0" applyFont="1"/>
    <xf numFmtId="0" fontId="31" fillId="0" borderId="0" xfId="0" applyFont="1" applyBorder="1"/>
    <xf numFmtId="165" fontId="26" fillId="0" borderId="0" xfId="0" applyNumberFormat="1" applyFont="1" applyBorder="1"/>
    <xf numFmtId="165" fontId="26" fillId="0" borderId="0" xfId="0" applyNumberFormat="1" applyFont="1" applyFill="1" applyBorder="1"/>
    <xf numFmtId="3" fontId="26" fillId="0" borderId="0" xfId="0" applyNumberFormat="1" applyFont="1" applyFill="1" applyBorder="1"/>
    <xf numFmtId="16" fontId="26" fillId="0" borderId="0" xfId="0" applyNumberFormat="1" applyFont="1" applyBorder="1"/>
    <xf numFmtId="0" fontId="34" fillId="0" borderId="0" xfId="0" applyFont="1"/>
    <xf numFmtId="15" fontId="26" fillId="0" borderId="0" xfId="0" applyNumberFormat="1" applyFont="1" applyBorder="1"/>
    <xf numFmtId="0" fontId="31" fillId="0" borderId="4" xfId="0" applyFont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1" fillId="0" borderId="4" xfId="3" applyFont="1" applyFill="1" applyBorder="1" applyAlignment="1" applyProtection="1">
      <alignment horizontal="center"/>
      <protection locked="0"/>
    </xf>
    <xf numFmtId="0" fontId="31" fillId="0" borderId="3" xfId="3" applyFont="1" applyFill="1" applyBorder="1" applyAlignment="1" applyProtection="1">
      <alignment horizontal="center"/>
      <protection locked="0"/>
    </xf>
    <xf numFmtId="165" fontId="31" fillId="24" borderId="5" xfId="3" applyNumberFormat="1" applyFont="1" applyFill="1" applyBorder="1" applyProtection="1">
      <protection locked="0"/>
    </xf>
    <xf numFmtId="0" fontId="31" fillId="24" borderId="14" xfId="0" applyFont="1" applyFill="1" applyBorder="1"/>
    <xf numFmtId="0" fontId="31" fillId="24" borderId="1" xfId="0" applyFont="1" applyFill="1" applyBorder="1"/>
    <xf numFmtId="165" fontId="31" fillId="24" borderId="30" xfId="3" applyNumberFormat="1" applyFont="1" applyFill="1" applyBorder="1" applyProtection="1">
      <protection locked="0"/>
    </xf>
    <xf numFmtId="3" fontId="31" fillId="24" borderId="14" xfId="0" applyNumberFormat="1" applyFont="1" applyFill="1" applyBorder="1"/>
    <xf numFmtId="169" fontId="31" fillId="24" borderId="1" xfId="1" applyNumberFormat="1" applyFont="1" applyFill="1" applyBorder="1"/>
    <xf numFmtId="169" fontId="31" fillId="24" borderId="8" xfId="1" applyNumberFormat="1" applyFont="1" applyFill="1" applyBorder="1"/>
    <xf numFmtId="165" fontId="31" fillId="24" borderId="6" xfId="3" applyNumberFormat="1" applyFont="1" applyFill="1" applyBorder="1" applyProtection="1">
      <protection locked="0"/>
    </xf>
    <xf numFmtId="165" fontId="31" fillId="24" borderId="4" xfId="3" applyNumberFormat="1" applyFont="1" applyFill="1" applyBorder="1" applyProtection="1">
      <protection locked="0"/>
    </xf>
    <xf numFmtId="0" fontId="31" fillId="0" borderId="9" xfId="0" applyFont="1" applyBorder="1"/>
    <xf numFmtId="0" fontId="31" fillId="0" borderId="5" xfId="3" applyFont="1" applyFill="1" applyBorder="1"/>
    <xf numFmtId="0" fontId="31" fillId="0" borderId="1" xfId="0" applyFont="1" applyBorder="1"/>
    <xf numFmtId="0" fontId="31" fillId="0" borderId="1" xfId="3" applyFont="1" applyFill="1" applyBorder="1" applyAlignment="1" applyProtection="1">
      <alignment horizontal="center"/>
      <protection locked="0"/>
    </xf>
    <xf numFmtId="0" fontId="35" fillId="0" borderId="1" xfId="3" applyFont="1" applyFill="1" applyBorder="1" applyAlignment="1" applyProtection="1">
      <alignment horizontal="center"/>
      <protection locked="0"/>
    </xf>
    <xf numFmtId="0" fontId="31" fillId="0" borderId="1" xfId="3" applyFont="1" applyFill="1" applyBorder="1" applyProtection="1">
      <protection locked="0"/>
    </xf>
    <xf numFmtId="0" fontId="31" fillId="0" borderId="8" xfId="3" applyFont="1" applyFill="1" applyBorder="1" applyProtection="1">
      <protection locked="0"/>
    </xf>
    <xf numFmtId="16" fontId="35" fillId="20" borderId="5" xfId="3" applyNumberFormat="1" applyFont="1" applyFill="1" applyBorder="1" applyAlignment="1" applyProtection="1">
      <alignment horizontal="center"/>
      <protection locked="0"/>
    </xf>
    <xf numFmtId="0" fontId="31" fillId="0" borderId="10" xfId="0" applyFont="1" applyBorder="1"/>
    <xf numFmtId="0" fontId="31" fillId="0" borderId="6" xfId="3" applyFont="1" applyFill="1" applyBorder="1" applyAlignment="1" applyProtection="1">
      <alignment horizontal="center"/>
      <protection locked="0"/>
    </xf>
    <xf numFmtId="0" fontId="35" fillId="0" borderId="0" xfId="3" applyFont="1" applyFill="1" applyBorder="1" applyAlignment="1" applyProtection="1">
      <alignment horizontal="center"/>
      <protection locked="0"/>
    </xf>
    <xf numFmtId="0" fontId="35" fillId="0" borderId="7" xfId="3" applyFont="1" applyFill="1" applyBorder="1" applyAlignment="1" applyProtection="1">
      <alignment horizontal="center"/>
      <protection locked="0"/>
    </xf>
    <xf numFmtId="16" fontId="35" fillId="20" borderId="6" xfId="3" applyNumberFormat="1" applyFont="1" applyFill="1" applyBorder="1" applyAlignment="1" applyProtection="1">
      <alignment horizontal="center"/>
      <protection locked="0"/>
    </xf>
    <xf numFmtId="0" fontId="31" fillId="0" borderId="11" xfId="0" applyFont="1" applyBorder="1" applyAlignment="1">
      <alignment horizontal="center"/>
    </xf>
    <xf numFmtId="0" fontId="31" fillId="0" borderId="4" xfId="0" applyFont="1" applyBorder="1"/>
    <xf numFmtId="0" fontId="31" fillId="0" borderId="2" xfId="3" applyFont="1" applyFill="1" applyBorder="1" applyAlignment="1" applyProtection="1">
      <alignment horizontal="center"/>
      <protection locked="0"/>
    </xf>
    <xf numFmtId="0" fontId="31" fillId="20" borderId="4" xfId="3" applyFont="1" applyFill="1" applyBorder="1" applyAlignment="1" applyProtection="1">
      <alignment horizontal="center"/>
      <protection locked="0"/>
    </xf>
    <xf numFmtId="0" fontId="31" fillId="24" borderId="2" xfId="3" applyFont="1" applyFill="1" applyBorder="1" applyAlignment="1" applyProtection="1">
      <alignment horizontal="center"/>
      <protection locked="0"/>
    </xf>
    <xf numFmtId="0" fontId="31" fillId="14" borderId="39" xfId="3" applyFont="1" applyFill="1" applyBorder="1" applyAlignment="1" applyProtection="1">
      <alignment horizontal="center"/>
      <protection locked="0"/>
    </xf>
    <xf numFmtId="0" fontId="31" fillId="14" borderId="38" xfId="3" applyFont="1" applyFill="1" applyBorder="1" applyAlignment="1" applyProtection="1">
      <alignment horizontal="center"/>
      <protection locked="0"/>
    </xf>
    <xf numFmtId="0" fontId="31" fillId="25" borderId="2" xfId="3" applyFont="1" applyFill="1" applyBorder="1" applyAlignment="1" applyProtection="1">
      <alignment horizontal="center"/>
      <protection locked="0"/>
    </xf>
    <xf numFmtId="0" fontId="31" fillId="12" borderId="2" xfId="3" applyFont="1" applyFill="1" applyBorder="1" applyAlignment="1" applyProtection="1">
      <alignment horizontal="center"/>
      <protection locked="0"/>
    </xf>
    <xf numFmtId="0" fontId="31" fillId="12" borderId="3" xfId="3" applyFont="1" applyFill="1" applyBorder="1" applyAlignment="1" applyProtection="1">
      <alignment horizontal="center"/>
      <protection locked="0"/>
    </xf>
    <xf numFmtId="3" fontId="31" fillId="5" borderId="12" xfId="3" applyNumberFormat="1" applyFont="1" applyFill="1" applyBorder="1" applyAlignment="1" applyProtection="1">
      <alignment horizontal="right"/>
      <protection locked="0"/>
    </xf>
    <xf numFmtId="167" fontId="31" fillId="5" borderId="12" xfId="3" applyNumberFormat="1" applyFont="1" applyFill="1" applyBorder="1" applyAlignment="1" applyProtection="1">
      <alignment horizontal="right"/>
      <protection locked="0"/>
    </xf>
    <xf numFmtId="3" fontId="31" fillId="7" borderId="12" xfId="3" applyNumberFormat="1" applyFont="1" applyFill="1" applyBorder="1" applyAlignment="1" applyProtection="1">
      <alignment horizontal="right"/>
      <protection locked="0"/>
    </xf>
    <xf numFmtId="3" fontId="31" fillId="8" borderId="12" xfId="3" applyNumberFormat="1" applyFont="1" applyFill="1" applyBorder="1" applyAlignment="1" applyProtection="1">
      <alignment horizontal="right"/>
      <protection locked="0"/>
    </xf>
    <xf numFmtId="3" fontId="31" fillId="8" borderId="12" xfId="3" applyNumberFormat="1" applyFont="1" applyFill="1" applyBorder="1" applyAlignment="1">
      <alignment horizontal="right"/>
    </xf>
    <xf numFmtId="3" fontId="31" fillId="20" borderId="12" xfId="3" applyNumberFormat="1" applyFont="1" applyFill="1" applyBorder="1" applyAlignment="1">
      <alignment horizontal="center"/>
    </xf>
    <xf numFmtId="3" fontId="31" fillId="24" borderId="12" xfId="3" applyNumberFormat="1" applyFont="1" applyFill="1" applyBorder="1" applyAlignment="1">
      <alignment horizontal="right"/>
    </xf>
    <xf numFmtId="3" fontId="31" fillId="24" borderId="29" xfId="3" applyNumberFormat="1" applyFont="1" applyFill="1" applyBorder="1" applyAlignment="1">
      <alignment horizontal="right"/>
    </xf>
    <xf numFmtId="3" fontId="31" fillId="14" borderId="37" xfId="3" applyNumberFormat="1" applyFont="1" applyFill="1" applyBorder="1" applyAlignment="1">
      <alignment horizontal="right"/>
    </xf>
    <xf numFmtId="3" fontId="31" fillId="14" borderId="41" xfId="3" applyNumberFormat="1" applyFont="1" applyFill="1" applyBorder="1" applyAlignment="1">
      <alignment horizontal="right"/>
    </xf>
    <xf numFmtId="3" fontId="31" fillId="25" borderId="13" xfId="3" applyNumberFormat="1" applyFont="1" applyFill="1" applyBorder="1" applyAlignment="1">
      <alignment horizontal="right"/>
    </xf>
    <xf numFmtId="3" fontId="31" fillId="25" borderId="12" xfId="3" applyNumberFormat="1" applyFont="1" applyFill="1" applyBorder="1" applyAlignment="1">
      <alignment horizontal="right"/>
    </xf>
    <xf numFmtId="3" fontId="31" fillId="12" borderId="12" xfId="0" applyNumberFormat="1" applyFont="1" applyFill="1" applyBorder="1"/>
    <xf numFmtId="9" fontId="31" fillId="0" borderId="0" xfId="4" applyFont="1" applyBorder="1"/>
    <xf numFmtId="0" fontId="24" fillId="17" borderId="9" xfId="0" applyFont="1" applyFill="1" applyBorder="1"/>
    <xf numFmtId="0" fontId="37" fillId="0" borderId="0" xfId="3" applyFont="1" applyFill="1" applyBorder="1" applyAlignment="1" applyProtection="1">
      <alignment horizontal="center" wrapText="1"/>
      <protection locked="0"/>
    </xf>
    <xf numFmtId="0" fontId="24" fillId="0" borderId="0" xfId="0" applyFont="1" applyBorder="1"/>
    <xf numFmtId="0" fontId="31" fillId="17" borderId="11" xfId="0" applyFont="1" applyFill="1" applyBorder="1" applyAlignment="1">
      <alignment horizontal="center"/>
    </xf>
    <xf numFmtId="0" fontId="26" fillId="21" borderId="4" xfId="3" applyFont="1" applyFill="1" applyBorder="1" applyAlignment="1" applyProtection="1">
      <alignment horizontal="right"/>
      <protection locked="0"/>
    </xf>
    <xf numFmtId="0" fontId="26" fillId="21" borderId="3" xfId="3" applyFont="1" applyFill="1" applyBorder="1" applyAlignment="1" applyProtection="1">
      <alignment horizontal="right"/>
      <protection locked="0"/>
    </xf>
    <xf numFmtId="0" fontId="26" fillId="26" borderId="4" xfId="3" applyFont="1" applyFill="1" applyBorder="1" applyAlignment="1" applyProtection="1">
      <alignment horizontal="right"/>
      <protection locked="0"/>
    </xf>
    <xf numFmtId="0" fontId="26" fillId="26" borderId="3" xfId="3" applyFont="1" applyFill="1" applyBorder="1" applyAlignment="1" applyProtection="1">
      <alignment horizontal="right"/>
      <protection locked="0"/>
    </xf>
    <xf numFmtId="0" fontId="26" fillId="27" borderId="4" xfId="3" applyFont="1" applyFill="1" applyBorder="1" applyAlignment="1" applyProtection="1">
      <alignment horizontal="right"/>
      <protection locked="0"/>
    </xf>
    <xf numFmtId="0" fontId="26" fillId="27" borderId="3" xfId="3" applyFont="1" applyFill="1" applyBorder="1" applyAlignment="1" applyProtection="1">
      <alignment horizontal="right"/>
      <protection locked="0"/>
    </xf>
    <xf numFmtId="0" fontId="37" fillId="0" borderId="0" xfId="3" applyFont="1" applyFill="1" applyBorder="1" applyAlignment="1" applyProtection="1">
      <alignment horizontal="right"/>
      <protection locked="0"/>
    </xf>
    <xf numFmtId="0" fontId="26" fillId="17" borderId="10" xfId="0" applyFont="1" applyFill="1" applyBorder="1"/>
    <xf numFmtId="0" fontId="38" fillId="21" borderId="6" xfId="3" applyFont="1" applyFill="1" applyBorder="1" applyAlignment="1" applyProtection="1">
      <alignment horizontal="right"/>
      <protection locked="0"/>
    </xf>
    <xf numFmtId="3" fontId="38" fillId="21" borderId="0" xfId="3" applyNumberFormat="1" applyFont="1" applyFill="1" applyBorder="1" applyAlignment="1" applyProtection="1">
      <alignment horizontal="right"/>
      <protection locked="0"/>
    </xf>
    <xf numFmtId="3" fontId="38" fillId="26" borderId="5" xfId="3" applyNumberFormat="1" applyFont="1" applyFill="1" applyBorder="1" applyAlignment="1" applyProtection="1">
      <alignment horizontal="right"/>
      <protection locked="0"/>
    </xf>
    <xf numFmtId="0" fontId="38" fillId="26" borderId="8" xfId="3" applyFont="1" applyFill="1" applyBorder="1" applyAlignment="1" applyProtection="1">
      <alignment horizontal="right"/>
      <protection locked="0"/>
    </xf>
    <xf numFmtId="3" fontId="38" fillId="26" borderId="0" xfId="3" applyNumberFormat="1" applyFont="1" applyFill="1" applyBorder="1" applyAlignment="1" applyProtection="1">
      <alignment horizontal="right"/>
      <protection locked="0"/>
    </xf>
    <xf numFmtId="0" fontId="38" fillId="26" borderId="7" xfId="3" applyFont="1" applyFill="1" applyBorder="1" applyAlignment="1" applyProtection="1">
      <alignment horizontal="right"/>
      <protection locked="0"/>
    </xf>
    <xf numFmtId="3" fontId="38" fillId="26" borderId="6" xfId="3" applyNumberFormat="1" applyFont="1" applyFill="1" applyBorder="1" applyAlignment="1" applyProtection="1">
      <alignment horizontal="right"/>
      <protection locked="0"/>
    </xf>
    <xf numFmtId="3" fontId="38" fillId="26" borderId="7" xfId="3" applyNumberFormat="1" applyFont="1" applyFill="1" applyBorder="1" applyAlignment="1" applyProtection="1">
      <alignment horizontal="right"/>
      <protection locked="0"/>
    </xf>
    <xf numFmtId="3" fontId="26" fillId="27" borderId="6" xfId="0" applyNumberFormat="1" applyFont="1" applyFill="1" applyBorder="1"/>
    <xf numFmtId="3" fontId="26" fillId="27" borderId="7" xfId="0" applyNumberFormat="1" applyFont="1" applyFill="1" applyBorder="1"/>
    <xf numFmtId="3" fontId="37" fillId="0" borderId="6" xfId="0" applyNumberFormat="1" applyFont="1" applyBorder="1"/>
    <xf numFmtId="0" fontId="38" fillId="26" borderId="6" xfId="3" applyFont="1" applyFill="1" applyBorder="1" applyAlignment="1" applyProtection="1">
      <alignment horizontal="right"/>
      <protection locked="0"/>
    </xf>
    <xf numFmtId="0" fontId="39" fillId="26" borderId="0" xfId="0" applyFont="1" applyFill="1" applyBorder="1"/>
    <xf numFmtId="0" fontId="39" fillId="26" borderId="7" xfId="0" applyFont="1" applyFill="1" applyBorder="1"/>
    <xf numFmtId="0" fontId="39" fillId="26" borderId="6" xfId="0" applyFont="1" applyFill="1" applyBorder="1"/>
    <xf numFmtId="0" fontId="24" fillId="0" borderId="6" xfId="0" applyFont="1" applyBorder="1"/>
    <xf numFmtId="0" fontId="38" fillId="21" borderId="4" xfId="3" applyFont="1" applyFill="1" applyBorder="1" applyAlignment="1" applyProtection="1">
      <alignment horizontal="right"/>
      <protection locked="0"/>
    </xf>
    <xf numFmtId="3" fontId="38" fillId="21" borderId="2" xfId="3" applyNumberFormat="1" applyFont="1" applyFill="1" applyBorder="1" applyAlignment="1" applyProtection="1">
      <alignment horizontal="right"/>
      <protection locked="0"/>
    </xf>
    <xf numFmtId="0" fontId="38" fillId="26" borderId="4" xfId="3" applyFont="1" applyFill="1" applyBorder="1" applyAlignment="1" applyProtection="1">
      <alignment horizontal="right"/>
      <protection locked="0"/>
    </xf>
    <xf numFmtId="0" fontId="38" fillId="26" borderId="3" xfId="3" applyFont="1" applyFill="1" applyBorder="1" applyAlignment="1" applyProtection="1">
      <alignment horizontal="right"/>
      <protection locked="0"/>
    </xf>
    <xf numFmtId="0" fontId="39" fillId="26" borderId="2" xfId="0" applyFont="1" applyFill="1" applyBorder="1"/>
    <xf numFmtId="0" fontId="39" fillId="26" borderId="3" xfId="0" applyFont="1" applyFill="1" applyBorder="1"/>
    <xf numFmtId="0" fontId="39" fillId="26" borderId="4" xfId="0" applyFont="1" applyFill="1" applyBorder="1"/>
    <xf numFmtId="3" fontId="26" fillId="27" borderId="4" xfId="0" applyNumberFormat="1" applyFont="1" applyFill="1" applyBorder="1"/>
    <xf numFmtId="3" fontId="26" fillId="27" borderId="3" xfId="0" applyNumberFormat="1" applyFont="1" applyFill="1" applyBorder="1"/>
    <xf numFmtId="0" fontId="26" fillId="0" borderId="1" xfId="0" applyFont="1" applyBorder="1"/>
    <xf numFmtId="3" fontId="37" fillId="0" borderId="1" xfId="3" applyNumberFormat="1" applyFont="1" applyFill="1" applyBorder="1" applyAlignment="1" applyProtection="1">
      <alignment horizontal="right"/>
      <protection locked="0"/>
    </xf>
    <xf numFmtId="169" fontId="24" fillId="0" borderId="0" xfId="1" applyNumberFormat="1" applyFont="1"/>
    <xf numFmtId="164" fontId="31" fillId="0" borderId="0" xfId="4" applyNumberFormat="1" applyFont="1" applyBorder="1"/>
    <xf numFmtId="10" fontId="31" fillId="0" borderId="0" xfId="4" applyNumberFormat="1" applyFont="1" applyBorder="1"/>
    <xf numFmtId="169" fontId="9" fillId="0" borderId="24" xfId="1" applyNumberFormat="1" applyFont="1" applyBorder="1"/>
    <xf numFmtId="169" fontId="9" fillId="0" borderId="0" xfId="1" applyNumberFormat="1" applyFont="1" applyBorder="1"/>
    <xf numFmtId="169" fontId="9" fillId="0" borderId="0" xfId="1" applyNumberFormat="1" applyFont="1" applyBorder="1" applyAlignment="1">
      <alignment horizontal="left"/>
    </xf>
    <xf numFmtId="9" fontId="9" fillId="0" borderId="0" xfId="4" applyFont="1" applyBorder="1"/>
    <xf numFmtId="169" fontId="9" fillId="0" borderId="25" xfId="1" applyNumberFormat="1" applyFont="1" applyBorder="1"/>
    <xf numFmtId="168" fontId="16" fillId="0" borderId="0" xfId="1" applyNumberFormat="1" applyFont="1" applyBorder="1"/>
    <xf numFmtId="169" fontId="12" fillId="0" borderId="24" xfId="1" applyNumberFormat="1" applyFont="1" applyBorder="1" applyAlignment="1">
      <alignment horizontal="center"/>
    </xf>
    <xf numFmtId="169" fontId="12" fillId="0" borderId="0" xfId="1" applyNumberFormat="1" applyFont="1" applyBorder="1" applyAlignment="1">
      <alignment horizontal="center"/>
    </xf>
    <xf numFmtId="169" fontId="9" fillId="0" borderId="0" xfId="1" applyNumberFormat="1" applyFont="1" applyBorder="1" applyAlignment="1">
      <alignment horizontal="center"/>
    </xf>
    <xf numFmtId="169" fontId="9" fillId="0" borderId="25" xfId="1" applyNumberFormat="1" applyFont="1" applyBorder="1" applyAlignment="1">
      <alignment horizontal="center"/>
    </xf>
    <xf numFmtId="1" fontId="9" fillId="0" borderId="24" xfId="1" applyNumberFormat="1" applyFont="1" applyBorder="1"/>
    <xf numFmtId="1" fontId="9" fillId="3" borderId="0" xfId="1" applyNumberFormat="1" applyFont="1" applyFill="1" applyBorder="1"/>
    <xf numFmtId="1" fontId="9" fillId="12" borderId="0" xfId="1" applyNumberFormat="1" applyFont="1" applyFill="1" applyBorder="1"/>
    <xf numFmtId="1" fontId="9" fillId="13" borderId="0" xfId="1" applyNumberFormat="1" applyFont="1" applyFill="1" applyBorder="1"/>
    <xf numFmtId="1" fontId="9" fillId="2" borderId="0" xfId="1" applyNumberFormat="1" applyFont="1" applyFill="1" applyBorder="1"/>
    <xf numFmtId="1" fontId="6" fillId="3" borderId="19" xfId="1" applyNumberFormat="1" applyFont="1" applyFill="1" applyBorder="1"/>
    <xf numFmtId="1" fontId="9" fillId="3" borderId="22" xfId="1" applyNumberFormat="1" applyFont="1" applyFill="1" applyBorder="1"/>
    <xf numFmtId="1" fontId="9" fillId="12" borderId="22" xfId="1" applyNumberFormat="1" applyFont="1" applyFill="1" applyBorder="1"/>
    <xf numFmtId="1" fontId="9" fillId="13" borderId="22" xfId="1" applyNumberFormat="1" applyFont="1" applyFill="1" applyBorder="1"/>
    <xf numFmtId="1" fontId="6" fillId="2" borderId="19" xfId="1" applyNumberFormat="1" applyFont="1" applyFill="1" applyBorder="1"/>
    <xf numFmtId="1" fontId="9" fillId="2" borderId="22" xfId="1" applyNumberFormat="1" applyFont="1" applyFill="1" applyBorder="1"/>
    <xf numFmtId="1" fontId="9" fillId="3" borderId="23" xfId="1" applyNumberFormat="1" applyFont="1" applyFill="1" applyBorder="1"/>
    <xf numFmtId="1" fontId="9" fillId="3" borderId="25" xfId="1" applyNumberFormat="1" applyFont="1" applyFill="1" applyBorder="1"/>
    <xf numFmtId="1" fontId="9" fillId="0" borderId="34" xfId="1" applyNumberFormat="1" applyFont="1" applyBorder="1"/>
    <xf numFmtId="1" fontId="9" fillId="0" borderId="35" xfId="1" applyNumberFormat="1" applyFont="1" applyBorder="1"/>
    <xf numFmtId="1" fontId="9" fillId="0" borderId="37" xfId="1" applyNumberFormat="1" applyFont="1" applyBorder="1"/>
    <xf numFmtId="0" fontId="5" fillId="22" borderId="0" xfId="0" applyFont="1" applyFill="1" applyBorder="1"/>
    <xf numFmtId="0" fontId="5" fillId="16" borderId="8" xfId="0" applyFont="1" applyFill="1" applyBorder="1"/>
    <xf numFmtId="0" fontId="5" fillId="16" borderId="1" xfId="0" applyFont="1" applyFill="1" applyBorder="1"/>
    <xf numFmtId="0" fontId="5" fillId="13" borderId="0" xfId="0" applyFont="1" applyFill="1" applyBorder="1"/>
    <xf numFmtId="0" fontId="5" fillId="13" borderId="7" xfId="0" applyFont="1" applyFill="1" applyBorder="1"/>
    <xf numFmtId="0" fontId="5" fillId="0" borderId="32" xfId="0" applyFont="1" applyFill="1" applyBorder="1"/>
    <xf numFmtId="0" fontId="5" fillId="31" borderId="21" xfId="0" applyFont="1" applyFill="1" applyBorder="1"/>
    <xf numFmtId="0" fontId="5" fillId="31" borderId="24" xfId="0" applyFont="1" applyFill="1" applyBorder="1"/>
    <xf numFmtId="0" fontId="5" fillId="31" borderId="31" xfId="0" applyFont="1" applyFill="1" applyBorder="1"/>
    <xf numFmtId="0" fontId="5" fillId="20" borderId="0" xfId="0" applyFont="1" applyFill="1" applyBorder="1"/>
    <xf numFmtId="0" fontId="5" fillId="20" borderId="40" xfId="0" applyFont="1" applyFill="1" applyBorder="1"/>
    <xf numFmtId="0" fontId="5" fillId="31" borderId="23" xfId="0" applyFont="1" applyFill="1" applyBorder="1"/>
    <xf numFmtId="0" fontId="5" fillId="31" borderId="25" xfId="0" applyFont="1" applyFill="1" applyBorder="1"/>
    <xf numFmtId="0" fontId="5" fillId="31" borderId="32" xfId="0" applyFont="1" applyFill="1" applyBorder="1"/>
    <xf numFmtId="0" fontId="5" fillId="31" borderId="26" xfId="0" applyFont="1" applyFill="1" applyBorder="1"/>
    <xf numFmtId="0" fontId="5" fillId="31" borderId="28" xfId="0" applyFont="1" applyFill="1" applyBorder="1"/>
    <xf numFmtId="165" fontId="7" fillId="0" borderId="23" xfId="0" applyNumberFormat="1" applyFont="1" applyFill="1" applyBorder="1"/>
    <xf numFmtId="165" fontId="7" fillId="0" borderId="25" xfId="0" applyNumberFormat="1" applyFont="1" applyFill="1" applyBorder="1"/>
    <xf numFmtId="165" fontId="7" fillId="0" borderId="32" xfId="0" applyNumberFormat="1" applyFont="1" applyFill="1" applyBorder="1"/>
    <xf numFmtId="0" fontId="7" fillId="22" borderId="0" xfId="0" applyFont="1" applyFill="1" applyBorder="1"/>
    <xf numFmtId="3" fontId="5" fillId="22" borderId="0" xfId="0" applyNumberFormat="1" applyFont="1" applyFill="1" applyBorder="1"/>
    <xf numFmtId="3" fontId="5" fillId="22" borderId="40" xfId="0" applyNumberFormat="1" applyFont="1" applyFill="1" applyBorder="1"/>
    <xf numFmtId="3" fontId="5" fillId="32" borderId="22" xfId="0" applyNumberFormat="1" applyFont="1" applyFill="1" applyBorder="1"/>
    <xf numFmtId="0" fontId="3" fillId="24" borderId="29" xfId="2" applyFont="1" applyFill="1" applyBorder="1"/>
    <xf numFmtId="0" fontId="3" fillId="33" borderId="12" xfId="2" applyFont="1" applyFill="1" applyBorder="1"/>
    <xf numFmtId="0" fontId="3" fillId="33" borderId="29" xfId="2" applyFont="1" applyFill="1" applyBorder="1"/>
    <xf numFmtId="0" fontId="3" fillId="2" borderId="0" xfId="2" applyFont="1" applyFill="1"/>
    <xf numFmtId="0" fontId="3" fillId="0" borderId="29" xfId="2" applyFont="1" applyBorder="1"/>
    <xf numFmtId="0" fontId="3" fillId="17" borderId="12" xfId="2" applyFont="1" applyFill="1" applyBorder="1"/>
    <xf numFmtId="0" fontId="9" fillId="17" borderId="12" xfId="2" applyFill="1" applyBorder="1"/>
    <xf numFmtId="0" fontId="17" fillId="3" borderId="29" xfId="2" applyFont="1" applyFill="1" applyBorder="1"/>
    <xf numFmtId="0" fontId="9" fillId="10" borderId="29" xfId="2" applyFont="1" applyFill="1" applyBorder="1"/>
    <xf numFmtId="0" fontId="9" fillId="21" borderId="34" xfId="2" applyFont="1" applyFill="1" applyBorder="1"/>
    <xf numFmtId="0" fontId="9" fillId="21" borderId="35" xfId="2" applyFont="1" applyFill="1" applyBorder="1"/>
    <xf numFmtId="0" fontId="9" fillId="21" borderId="36" xfId="2" applyFont="1" applyFill="1" applyBorder="1"/>
    <xf numFmtId="0" fontId="9" fillId="21" borderId="37" xfId="2" applyFont="1" applyFill="1" applyBorder="1"/>
    <xf numFmtId="0" fontId="9" fillId="21" borderId="41" xfId="2" applyFont="1" applyFill="1" applyBorder="1"/>
    <xf numFmtId="0" fontId="9" fillId="21" borderId="41" xfId="2" applyFill="1" applyBorder="1"/>
    <xf numFmtId="0" fontId="6" fillId="21" borderId="37" xfId="2" applyFont="1" applyFill="1" applyBorder="1"/>
    <xf numFmtId="0" fontId="9" fillId="15" borderId="37" xfId="2" applyFont="1" applyFill="1" applyBorder="1"/>
    <xf numFmtId="0" fontId="3" fillId="15" borderId="41" xfId="2" applyFont="1" applyFill="1" applyBorder="1"/>
    <xf numFmtId="0" fontId="9" fillId="15" borderId="41" xfId="2" applyFill="1" applyBorder="1"/>
    <xf numFmtId="0" fontId="6" fillId="15" borderId="37" xfId="2" applyFont="1" applyFill="1" applyBorder="1"/>
    <xf numFmtId="0" fontId="3" fillId="13" borderId="37" xfId="2" applyFont="1" applyFill="1" applyBorder="1"/>
    <xf numFmtId="0" fontId="9" fillId="13" borderId="41" xfId="2" applyFill="1" applyBorder="1"/>
    <xf numFmtId="0" fontId="3" fillId="28" borderId="37" xfId="2" applyFont="1" applyFill="1" applyBorder="1"/>
    <xf numFmtId="0" fontId="9" fillId="28" borderId="41" xfId="2" applyFill="1" applyBorder="1"/>
    <xf numFmtId="0" fontId="9" fillId="28" borderId="37" xfId="2" applyFont="1" applyFill="1" applyBorder="1"/>
    <xf numFmtId="0" fontId="3" fillId="17" borderId="37" xfId="2" applyFont="1" applyFill="1" applyBorder="1"/>
    <xf numFmtId="0" fontId="9" fillId="17" borderId="41" xfId="2" applyFill="1" applyBorder="1"/>
    <xf numFmtId="0" fontId="9" fillId="17" borderId="37" xfId="2" applyFont="1" applyFill="1" applyBorder="1"/>
    <xf numFmtId="0" fontId="17" fillId="3" borderId="44" xfId="2" applyFont="1" applyFill="1" applyBorder="1"/>
    <xf numFmtId="0" fontId="17" fillId="3" borderId="45" xfId="2" applyFont="1" applyFill="1" applyBorder="1"/>
    <xf numFmtId="1" fontId="9" fillId="10" borderId="24" xfId="2" applyNumberFormat="1" applyFill="1" applyBorder="1"/>
    <xf numFmtId="1" fontId="9" fillId="10" borderId="0" xfId="2" applyNumberFormat="1" applyFill="1" applyBorder="1"/>
    <xf numFmtId="1" fontId="9" fillId="10" borderId="25" xfId="2" applyNumberFormat="1" applyFill="1" applyBorder="1"/>
    <xf numFmtId="1" fontId="9" fillId="11" borderId="24" xfId="2" applyNumberFormat="1" applyFill="1" applyBorder="1"/>
    <xf numFmtId="1" fontId="9" fillId="11" borderId="0" xfId="2" applyNumberFormat="1" applyFill="1" applyBorder="1"/>
    <xf numFmtId="1" fontId="9" fillId="11" borderId="25" xfId="2" applyNumberFormat="1" applyFill="1" applyBorder="1"/>
    <xf numFmtId="0" fontId="9" fillId="0" borderId="26" xfId="2" applyFont="1" applyBorder="1"/>
    <xf numFmtId="0" fontId="9" fillId="0" borderId="27" xfId="2" applyBorder="1"/>
    <xf numFmtId="0" fontId="9" fillId="0" borderId="28" xfId="2" applyBorder="1"/>
    <xf numFmtId="0" fontId="5" fillId="0" borderId="22" xfId="0" applyFont="1" applyFill="1" applyBorder="1"/>
    <xf numFmtId="3" fontId="5" fillId="0" borderId="22" xfId="0" applyNumberFormat="1" applyFont="1" applyFill="1" applyBorder="1"/>
    <xf numFmtId="0" fontId="5" fillId="0" borderId="6" xfId="0" applyFont="1" applyFill="1" applyBorder="1" applyAlignment="1">
      <alignment horizontal="center"/>
    </xf>
    <xf numFmtId="0" fontId="5" fillId="0" borderId="0" xfId="3" applyFont="1" applyFill="1" applyBorder="1" applyAlignment="1" applyProtection="1">
      <alignment horizontal="center"/>
      <protection locked="0"/>
    </xf>
    <xf numFmtId="0" fontId="5" fillId="5" borderId="16" xfId="3" applyFont="1" applyFill="1" applyBorder="1" applyAlignment="1" applyProtection="1">
      <alignment horizontal="center"/>
      <protection locked="0"/>
    </xf>
    <xf numFmtId="0" fontId="5" fillId="5" borderId="15" xfId="3" applyFont="1" applyFill="1" applyBorder="1" applyAlignment="1" applyProtection="1">
      <alignment horizontal="center"/>
      <protection locked="0"/>
    </xf>
    <xf numFmtId="0" fontId="5" fillId="3" borderId="16" xfId="3" applyFont="1" applyFill="1" applyBorder="1" applyAlignment="1" applyProtection="1">
      <alignment horizontal="center"/>
      <protection locked="0"/>
    </xf>
    <xf numFmtId="0" fontId="5" fillId="3" borderId="15" xfId="3" applyFont="1" applyFill="1" applyBorder="1" applyAlignment="1" applyProtection="1">
      <alignment horizontal="center"/>
      <protection locked="0"/>
    </xf>
    <xf numFmtId="0" fontId="5" fillId="0" borderId="6" xfId="3" applyFont="1" applyFill="1" applyBorder="1" applyAlignment="1" applyProtection="1">
      <alignment horizontal="center"/>
      <protection locked="0"/>
    </xf>
    <xf numFmtId="0" fontId="5" fillId="0" borderId="7" xfId="3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/>
      <protection locked="0"/>
    </xf>
    <xf numFmtId="0" fontId="26" fillId="0" borderId="0" xfId="0" applyFont="1" applyFill="1" applyBorder="1" applyAlignment="1">
      <alignment horizontal="center" vertical="center"/>
    </xf>
    <xf numFmtId="0" fontId="24" fillId="0" borderId="0" xfId="0" applyFont="1" applyFill="1" applyBorder="1"/>
    <xf numFmtId="9" fontId="26" fillId="0" borderId="0" xfId="0" applyNumberFormat="1" applyFont="1" applyFill="1" applyBorder="1"/>
    <xf numFmtId="0" fontId="31" fillId="8" borderId="5" xfId="0" applyFont="1" applyFill="1" applyBorder="1" applyAlignment="1">
      <alignment horizontal="center"/>
    </xf>
    <xf numFmtId="0" fontId="31" fillId="8" borderId="8" xfId="0" applyFont="1" applyFill="1" applyBorder="1" applyAlignment="1">
      <alignment horizontal="center"/>
    </xf>
    <xf numFmtId="0" fontId="31" fillId="6" borderId="4" xfId="0" applyFont="1" applyFill="1" applyBorder="1" applyAlignment="1">
      <alignment horizontal="center"/>
    </xf>
    <xf numFmtId="0" fontId="31" fillId="6" borderId="3" xfId="0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1" fillId="0" borderId="6" xfId="0" applyFont="1" applyFill="1" applyBorder="1" applyAlignment="1">
      <alignment horizontal="center"/>
    </xf>
    <xf numFmtId="0" fontId="31" fillId="0" borderId="7" xfId="0" applyFont="1" applyFill="1" applyBorder="1" applyAlignment="1">
      <alignment horizontal="center"/>
    </xf>
    <xf numFmtId="0" fontId="31" fillId="8" borderId="4" xfId="0" applyFont="1" applyFill="1" applyBorder="1" applyAlignment="1">
      <alignment horizontal="center"/>
    </xf>
    <xf numFmtId="0" fontId="31" fillId="8" borderId="3" xfId="0" applyFont="1" applyFill="1" applyBorder="1" applyAlignment="1">
      <alignment horizontal="center"/>
    </xf>
    <xf numFmtId="0" fontId="31" fillId="0" borderId="4" xfId="3" applyFont="1" applyFill="1" applyBorder="1" applyAlignment="1" applyProtection="1">
      <alignment horizontal="center"/>
      <protection locked="0"/>
    </xf>
    <xf numFmtId="0" fontId="31" fillId="0" borderId="3" xfId="3" applyFont="1" applyFill="1" applyBorder="1" applyAlignment="1" applyProtection="1">
      <alignment horizontal="center"/>
      <protection locked="0"/>
    </xf>
    <xf numFmtId="0" fontId="26" fillId="0" borderId="0" xfId="0" applyFont="1" applyFill="1" applyBorder="1" applyAlignment="1">
      <alignment horizontal="center"/>
    </xf>
    <xf numFmtId="0" fontId="31" fillId="0" borderId="5" xfId="3" applyFont="1" applyFill="1" applyBorder="1" applyAlignment="1" applyProtection="1">
      <alignment horizontal="center"/>
      <protection locked="0"/>
    </xf>
    <xf numFmtId="0" fontId="31" fillId="0" borderId="8" xfId="3" applyFont="1" applyFill="1" applyBorder="1" applyAlignment="1" applyProtection="1">
      <alignment horizontal="center"/>
      <protection locked="0"/>
    </xf>
    <xf numFmtId="0" fontId="31" fillId="0" borderId="5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0" fontId="31" fillId="0" borderId="5" xfId="0" applyFont="1" applyFill="1" applyBorder="1" applyAlignment="1">
      <alignment horizontal="center"/>
    </xf>
    <xf numFmtId="0" fontId="31" fillId="0" borderId="8" xfId="0" applyFont="1" applyFill="1" applyBorder="1" applyAlignment="1">
      <alignment horizontal="center"/>
    </xf>
    <xf numFmtId="0" fontId="31" fillId="26" borderId="5" xfId="3" applyFont="1" applyFill="1" applyBorder="1" applyAlignment="1" applyProtection="1">
      <alignment horizontal="center"/>
      <protection locked="0"/>
    </xf>
    <xf numFmtId="0" fontId="31" fillId="26" borderId="8" xfId="3" applyFont="1" applyFill="1" applyBorder="1" applyAlignment="1" applyProtection="1">
      <alignment horizontal="center"/>
      <protection locked="0"/>
    </xf>
    <xf numFmtId="0" fontId="31" fillId="26" borderId="4" xfId="3" applyFont="1" applyFill="1" applyBorder="1" applyAlignment="1" applyProtection="1">
      <alignment horizontal="center"/>
      <protection locked="0"/>
    </xf>
    <xf numFmtId="0" fontId="31" fillId="26" borderId="3" xfId="3" applyFont="1" applyFill="1" applyBorder="1" applyAlignment="1" applyProtection="1">
      <alignment horizontal="center"/>
      <protection locked="0"/>
    </xf>
    <xf numFmtId="0" fontId="31" fillId="6" borderId="5" xfId="0" applyFont="1" applyFill="1" applyBorder="1" applyAlignment="1">
      <alignment horizontal="center"/>
    </xf>
    <xf numFmtId="0" fontId="31" fillId="6" borderId="8" xfId="0" applyFont="1" applyFill="1" applyBorder="1" applyAlignment="1">
      <alignment horizontal="center"/>
    </xf>
    <xf numFmtId="0" fontId="31" fillId="28" borderId="5" xfId="3" applyFont="1" applyFill="1" applyBorder="1" applyAlignment="1">
      <alignment horizontal="center"/>
    </xf>
    <xf numFmtId="0" fontId="31" fillId="28" borderId="8" xfId="3" applyFont="1" applyFill="1" applyBorder="1" applyAlignment="1">
      <alignment horizontal="center"/>
    </xf>
    <xf numFmtId="0" fontId="31" fillId="23" borderId="29" xfId="3" applyFont="1" applyFill="1" applyBorder="1" applyAlignment="1" applyProtection="1">
      <alignment horizontal="center" wrapText="1"/>
      <protection locked="0"/>
    </xf>
    <xf numFmtId="0" fontId="31" fillId="23" borderId="13" xfId="3" applyFont="1" applyFill="1" applyBorder="1" applyAlignment="1" applyProtection="1">
      <alignment horizontal="center" wrapText="1"/>
      <protection locked="0"/>
    </xf>
    <xf numFmtId="0" fontId="31" fillId="24" borderId="29" xfId="3" applyFont="1" applyFill="1" applyBorder="1" applyAlignment="1" applyProtection="1">
      <alignment horizontal="center" vertical="center"/>
      <protection locked="0"/>
    </xf>
    <xf numFmtId="0" fontId="31" fillId="24" borderId="33" xfId="3" applyFont="1" applyFill="1" applyBorder="1" applyAlignment="1" applyProtection="1">
      <alignment horizontal="center" vertical="center"/>
      <protection locked="0"/>
    </xf>
    <xf numFmtId="0" fontId="31" fillId="24" borderId="13" xfId="3" applyFont="1" applyFill="1" applyBorder="1" applyAlignment="1" applyProtection="1">
      <alignment horizontal="center" vertical="center"/>
      <protection locked="0"/>
    </xf>
    <xf numFmtId="0" fontId="31" fillId="30" borderId="5" xfId="3" applyFont="1" applyFill="1" applyBorder="1" applyAlignment="1" applyProtection="1">
      <alignment horizontal="center"/>
      <protection locked="0"/>
    </xf>
    <xf numFmtId="0" fontId="31" fillId="30" borderId="8" xfId="3" applyFont="1" applyFill="1" applyBorder="1" applyAlignment="1" applyProtection="1">
      <alignment horizontal="center"/>
      <protection locked="0"/>
    </xf>
    <xf numFmtId="0" fontId="31" fillId="28" borderId="4" xfId="3" applyFont="1" applyFill="1" applyBorder="1" applyAlignment="1">
      <alignment horizontal="center"/>
    </xf>
    <xf numFmtId="0" fontId="31" fillId="28" borderId="3" xfId="3" applyFont="1" applyFill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1" fillId="24" borderId="29" xfId="3" applyFont="1" applyFill="1" applyBorder="1" applyAlignment="1" applyProtection="1">
      <alignment horizontal="center"/>
      <protection locked="0"/>
    </xf>
    <xf numFmtId="0" fontId="31" fillId="24" borderId="42" xfId="3" applyFont="1" applyFill="1" applyBorder="1" applyAlignment="1" applyProtection="1">
      <alignment horizontal="center"/>
      <protection locked="0"/>
    </xf>
    <xf numFmtId="0" fontId="31" fillId="24" borderId="43" xfId="3" applyFont="1" applyFill="1" applyBorder="1" applyAlignment="1" applyProtection="1">
      <alignment horizontal="center"/>
      <protection locked="0"/>
    </xf>
    <xf numFmtId="0" fontId="31" fillId="24" borderId="13" xfId="3" applyFont="1" applyFill="1" applyBorder="1" applyAlignment="1" applyProtection="1">
      <alignment horizontal="center"/>
      <protection locked="0"/>
    </xf>
    <xf numFmtId="0" fontId="31" fillId="30" borderId="4" xfId="3" applyFont="1" applyFill="1" applyBorder="1" applyAlignment="1" applyProtection="1">
      <alignment horizontal="center"/>
      <protection locked="0"/>
    </xf>
    <xf numFmtId="0" fontId="31" fillId="30" borderId="3" xfId="3" applyFont="1" applyFill="1" applyBorder="1" applyAlignment="1" applyProtection="1">
      <alignment horizontal="center"/>
      <protection locked="0"/>
    </xf>
    <xf numFmtId="3" fontId="31" fillId="0" borderId="5" xfId="3" applyNumberFormat="1" applyFont="1" applyFill="1" applyBorder="1" applyAlignment="1" applyProtection="1">
      <alignment horizontal="center"/>
      <protection locked="0"/>
    </xf>
    <xf numFmtId="3" fontId="31" fillId="0" borderId="8" xfId="3" applyNumberFormat="1" applyFont="1" applyFill="1" applyBorder="1" applyAlignment="1" applyProtection="1">
      <alignment horizontal="center"/>
      <protection locked="0"/>
    </xf>
    <xf numFmtId="3" fontId="31" fillId="0" borderId="4" xfId="3" applyNumberFormat="1" applyFont="1" applyFill="1" applyBorder="1" applyAlignment="1" applyProtection="1">
      <alignment horizontal="center"/>
      <protection locked="0"/>
    </xf>
    <xf numFmtId="3" fontId="31" fillId="0" borderId="3" xfId="3" applyNumberFormat="1" applyFont="1" applyFill="1" applyBorder="1" applyAlignment="1" applyProtection="1">
      <alignment horizontal="center"/>
      <protection locked="0"/>
    </xf>
    <xf numFmtId="0" fontId="31" fillId="9" borderId="5" xfId="3" applyFont="1" applyFill="1" applyBorder="1" applyAlignment="1" applyProtection="1">
      <alignment horizontal="center"/>
      <protection locked="0"/>
    </xf>
    <xf numFmtId="0" fontId="31" fillId="9" borderId="8" xfId="3" applyFont="1" applyFill="1" applyBorder="1" applyAlignment="1" applyProtection="1">
      <alignment horizontal="center"/>
      <protection locked="0"/>
    </xf>
    <xf numFmtId="0" fontId="31" fillId="9" borderId="4" xfId="3" applyFont="1" applyFill="1" applyBorder="1" applyAlignment="1" applyProtection="1">
      <alignment horizontal="center"/>
      <protection locked="0"/>
    </xf>
    <xf numFmtId="0" fontId="31" fillId="9" borderId="3" xfId="3" applyFont="1" applyFill="1" applyBorder="1" applyAlignment="1" applyProtection="1">
      <alignment horizontal="center"/>
      <protection locked="0"/>
    </xf>
    <xf numFmtId="0" fontId="31" fillId="0" borderId="0" xfId="0" applyFont="1" applyBorder="1" applyAlignment="1">
      <alignment horizontal="center"/>
    </xf>
    <xf numFmtId="16" fontId="35" fillId="24" borderId="1" xfId="3" applyNumberFormat="1" applyFont="1" applyFill="1" applyBorder="1" applyAlignment="1" applyProtection="1">
      <alignment horizontal="center"/>
      <protection locked="0"/>
    </xf>
    <xf numFmtId="0" fontId="35" fillId="12" borderId="0" xfId="0" applyFont="1" applyFill="1" applyBorder="1" applyAlignment="1">
      <alignment horizontal="center"/>
    </xf>
    <xf numFmtId="0" fontId="35" fillId="12" borderId="7" xfId="0" applyFont="1" applyFill="1" applyBorder="1" applyAlignment="1">
      <alignment horizontal="center"/>
    </xf>
    <xf numFmtId="0" fontId="35" fillId="12" borderId="1" xfId="0" applyFont="1" applyFill="1" applyBorder="1" applyAlignment="1">
      <alignment horizontal="center"/>
    </xf>
    <xf numFmtId="0" fontId="35" fillId="12" borderId="8" xfId="0" applyFont="1" applyFill="1" applyBorder="1" applyAlignment="1">
      <alignment horizontal="center"/>
    </xf>
    <xf numFmtId="16" fontId="35" fillId="0" borderId="6" xfId="3" applyNumberFormat="1" applyFont="1" applyFill="1" applyBorder="1" applyAlignment="1" applyProtection="1">
      <alignment horizontal="center"/>
      <protection locked="0"/>
    </xf>
    <xf numFmtId="16" fontId="35" fillId="0" borderId="0" xfId="3" applyNumberFormat="1" applyFont="1" applyFill="1" applyBorder="1" applyAlignment="1" applyProtection="1">
      <alignment horizontal="center"/>
      <protection locked="0"/>
    </xf>
    <xf numFmtId="16" fontId="35" fillId="0" borderId="7" xfId="3" applyNumberFormat="1" applyFont="1" applyFill="1" applyBorder="1" applyAlignment="1" applyProtection="1">
      <alignment horizontal="center"/>
      <protection locked="0"/>
    </xf>
    <xf numFmtId="16" fontId="35" fillId="24" borderId="0" xfId="3" applyNumberFormat="1" applyFont="1" applyFill="1" applyBorder="1" applyAlignment="1" applyProtection="1">
      <alignment horizontal="center"/>
      <protection locked="0"/>
    </xf>
    <xf numFmtId="16" fontId="35" fillId="25" borderId="1" xfId="3" applyNumberFormat="1" applyFont="1" applyFill="1" applyBorder="1" applyAlignment="1" applyProtection="1">
      <alignment horizontal="center"/>
      <protection locked="0"/>
    </xf>
    <xf numFmtId="16" fontId="35" fillId="25" borderId="0" xfId="3" applyNumberFormat="1" applyFont="1" applyFill="1" applyBorder="1" applyAlignment="1" applyProtection="1">
      <alignment horizontal="center"/>
      <protection locked="0"/>
    </xf>
    <xf numFmtId="0" fontId="31" fillId="0" borderId="1" xfId="3" applyFont="1" applyFill="1" applyBorder="1" applyAlignment="1" applyProtection="1">
      <alignment horizontal="center"/>
      <protection locked="0"/>
    </xf>
    <xf numFmtId="0" fontId="31" fillId="0" borderId="0" xfId="3" applyFont="1" applyFill="1" applyBorder="1" applyAlignment="1" applyProtection="1">
      <alignment horizontal="center"/>
      <protection locked="0"/>
    </xf>
    <xf numFmtId="16" fontId="35" fillId="14" borderId="21" xfId="3" applyNumberFormat="1" applyFont="1" applyFill="1" applyBorder="1" applyAlignment="1" applyProtection="1">
      <alignment horizontal="center"/>
      <protection locked="0"/>
    </xf>
    <xf numFmtId="16" fontId="35" fillId="14" borderId="23" xfId="3" applyNumberFormat="1" applyFont="1" applyFill="1" applyBorder="1" applyAlignment="1" applyProtection="1">
      <alignment horizontal="center"/>
      <protection locked="0"/>
    </xf>
    <xf numFmtId="16" fontId="35" fillId="14" borderId="24" xfId="3" applyNumberFormat="1" applyFont="1" applyFill="1" applyBorder="1" applyAlignment="1" applyProtection="1">
      <alignment horizontal="center"/>
      <protection locked="0"/>
    </xf>
    <xf numFmtId="16" fontId="35" fillId="14" borderId="25" xfId="3" applyNumberFormat="1" applyFont="1" applyFill="1" applyBorder="1" applyAlignment="1" applyProtection="1">
      <alignment horizontal="center"/>
      <protection locked="0"/>
    </xf>
    <xf numFmtId="0" fontId="36" fillId="27" borderId="5" xfId="0" applyFont="1" applyFill="1" applyBorder="1" applyAlignment="1">
      <alignment horizontal="center"/>
    </xf>
    <xf numFmtId="0" fontId="36" fillId="27" borderId="8" xfId="0" applyFont="1" applyFill="1" applyBorder="1" applyAlignment="1">
      <alignment horizontal="center"/>
    </xf>
    <xf numFmtId="0" fontId="26" fillId="26" borderId="5" xfId="3" applyFont="1" applyFill="1" applyBorder="1" applyAlignment="1" applyProtection="1">
      <alignment horizontal="center" wrapText="1"/>
      <protection locked="0"/>
    </xf>
    <xf numFmtId="0" fontId="26" fillId="26" borderId="8" xfId="3" applyFont="1" applyFill="1" applyBorder="1" applyAlignment="1" applyProtection="1">
      <alignment horizontal="center" wrapText="1"/>
      <protection locked="0"/>
    </xf>
    <xf numFmtId="0" fontId="26" fillId="21" borderId="5" xfId="3" applyFont="1" applyFill="1" applyBorder="1" applyAlignment="1" applyProtection="1">
      <alignment horizontal="center" wrapText="1"/>
      <protection locked="0"/>
    </xf>
    <xf numFmtId="0" fontId="26" fillId="21" borderId="8" xfId="3" applyFont="1" applyFill="1" applyBorder="1" applyAlignment="1" applyProtection="1">
      <alignment horizontal="center" wrapText="1"/>
      <protection locked="0"/>
    </xf>
    <xf numFmtId="0" fontId="8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5" xfId="3" applyFont="1" applyFill="1" applyBorder="1" applyAlignment="1" applyProtection="1">
      <alignment horizontal="center"/>
      <protection locked="0"/>
    </xf>
    <xf numFmtId="0" fontId="5" fillId="0" borderId="8" xfId="3" applyFont="1" applyFill="1" applyBorder="1" applyAlignment="1" applyProtection="1">
      <alignment horizontal="center"/>
      <protection locked="0"/>
    </xf>
    <xf numFmtId="0" fontId="5" fillId="4" borderId="1" xfId="3" applyFont="1" applyFill="1" applyBorder="1" applyAlignment="1" applyProtection="1">
      <alignment horizontal="center"/>
      <protection locked="0"/>
    </xf>
    <xf numFmtId="0" fontId="5" fillId="4" borderId="8" xfId="3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>
      <alignment horizontal="center"/>
    </xf>
    <xf numFmtId="0" fontId="5" fillId="5" borderId="30" xfId="3" applyFont="1" applyFill="1" applyBorder="1" applyAlignment="1" applyProtection="1">
      <alignment horizontal="center"/>
      <protection locked="0"/>
    </xf>
    <xf numFmtId="0" fontId="5" fillId="5" borderId="14" xfId="3" applyFont="1" applyFill="1" applyBorder="1" applyAlignment="1" applyProtection="1">
      <alignment horizontal="center"/>
      <protection locked="0"/>
    </xf>
    <xf numFmtId="0" fontId="5" fillId="3" borderId="16" xfId="3" applyFont="1" applyFill="1" applyBorder="1" applyAlignment="1" applyProtection="1">
      <alignment horizontal="center"/>
      <protection locked="0"/>
    </xf>
    <xf numFmtId="0" fontId="5" fillId="3" borderId="15" xfId="3" applyFont="1" applyFill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5" borderId="16" xfId="3" applyFont="1" applyFill="1" applyBorder="1" applyAlignment="1" applyProtection="1">
      <alignment horizontal="center"/>
      <protection locked="0"/>
    </xf>
    <xf numFmtId="0" fontId="5" fillId="5" borderId="15" xfId="3" applyFont="1" applyFill="1" applyBorder="1" applyAlignment="1" applyProtection="1">
      <alignment horizontal="center"/>
      <protection locked="0"/>
    </xf>
    <xf numFmtId="0" fontId="5" fillId="0" borderId="6" xfId="3" applyFont="1" applyFill="1" applyBorder="1" applyAlignment="1" applyProtection="1">
      <alignment horizontal="center"/>
      <protection locked="0"/>
    </xf>
    <xf numFmtId="0" fontId="5" fillId="0" borderId="7" xfId="3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/>
      <protection locked="0"/>
    </xf>
    <xf numFmtId="0" fontId="5" fillId="4" borderId="7" xfId="3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0" xfId="3" applyFont="1" applyFill="1" applyBorder="1" applyAlignment="1" applyProtection="1">
      <alignment horizontal="center"/>
      <protection locked="0"/>
    </xf>
    <xf numFmtId="9" fontId="31" fillId="23" borderId="12" xfId="4" applyFont="1" applyFill="1" applyBorder="1" applyAlignment="1" applyProtection="1">
      <alignment horizontal="right"/>
      <protection locked="0"/>
    </xf>
    <xf numFmtId="0" fontId="5" fillId="3" borderId="30" xfId="3" applyFont="1" applyFill="1" applyBorder="1" applyAlignment="1" applyProtection="1">
      <alignment horizontal="center"/>
      <protection locked="0"/>
    </xf>
    <xf numFmtId="0" fontId="5" fillId="3" borderId="14" xfId="3" applyFont="1" applyFill="1" applyBorder="1" applyAlignment="1" applyProtection="1">
      <alignment horizontal="center"/>
      <protection locked="0"/>
    </xf>
    <xf numFmtId="0" fontId="5" fillId="0" borderId="4" xfId="0" applyFont="1" applyFill="1" applyBorder="1"/>
    <xf numFmtId="3" fontId="5" fillId="16" borderId="2" xfId="0" applyNumberFormat="1" applyFont="1" applyFill="1" applyBorder="1"/>
    <xf numFmtId="165" fontId="5" fillId="5" borderId="2" xfId="3" applyNumberFormat="1" applyFont="1" applyFill="1" applyBorder="1" applyProtection="1">
      <protection locked="0"/>
    </xf>
    <xf numFmtId="0" fontId="5" fillId="5" borderId="2" xfId="0" applyFont="1" applyFill="1" applyBorder="1"/>
    <xf numFmtId="165" fontId="5" fillId="3" borderId="2" xfId="3" applyNumberFormat="1" applyFont="1" applyFill="1" applyBorder="1" applyProtection="1">
      <protection locked="0"/>
    </xf>
    <xf numFmtId="0" fontId="5" fillId="3" borderId="2" xfId="0" applyFont="1" applyFill="1" applyBorder="1"/>
    <xf numFmtId="168" fontId="5" fillId="4" borderId="2" xfId="1" applyNumberFormat="1" applyFont="1" applyFill="1" applyBorder="1"/>
    <xf numFmtId="0" fontId="5" fillId="0" borderId="2" xfId="0" applyFont="1" applyBorder="1"/>
    <xf numFmtId="0" fontId="5" fillId="0" borderId="3" xfId="0" applyFont="1" applyBorder="1"/>
    <xf numFmtId="169" fontId="5" fillId="0" borderId="2" xfId="1" applyNumberFormat="1" applyFont="1" applyBorder="1"/>
    <xf numFmtId="169" fontId="5" fillId="0" borderId="3" xfId="1" applyNumberFormat="1" applyFont="1" applyBorder="1"/>
    <xf numFmtId="3" fontId="5" fillId="0" borderId="2" xfId="0" applyNumberFormat="1" applyFont="1" applyFill="1" applyBorder="1"/>
    <xf numFmtId="3" fontId="5" fillId="0" borderId="3" xfId="0" applyNumberFormat="1" applyFont="1" applyFill="1" applyBorder="1"/>
    <xf numFmtId="169" fontId="5" fillId="0" borderId="2" xfId="1" applyNumberFormat="1" applyFont="1" applyFill="1" applyBorder="1"/>
    <xf numFmtId="169" fontId="6" fillId="0" borderId="46" xfId="1" applyNumberFormat="1" applyFont="1" applyBorder="1"/>
    <xf numFmtId="169" fontId="9" fillId="0" borderId="47" xfId="1" applyNumberFormat="1" applyFont="1" applyBorder="1"/>
    <xf numFmtId="169" fontId="9" fillId="0" borderId="48" xfId="1" applyNumberFormat="1" applyFont="1" applyBorder="1"/>
    <xf numFmtId="169" fontId="6" fillId="0" borderId="49" xfId="1" applyNumberFormat="1" applyFont="1" applyBorder="1"/>
    <xf numFmtId="169" fontId="9" fillId="0" borderId="50" xfId="1" applyNumberFormat="1" applyFont="1" applyBorder="1"/>
    <xf numFmtId="169" fontId="9" fillId="0" borderId="6" xfId="1" applyNumberFormat="1" applyFont="1" applyBorder="1"/>
    <xf numFmtId="169" fontId="9" fillId="0" borderId="7" xfId="1" applyNumberFormat="1" applyFont="1" applyBorder="1"/>
    <xf numFmtId="169" fontId="12" fillId="0" borderId="6" xfId="1" applyNumberFormat="1" applyFont="1" applyBorder="1" applyAlignment="1">
      <alignment horizontal="center"/>
    </xf>
    <xf numFmtId="169" fontId="12" fillId="0" borderId="7" xfId="1" applyNumberFormat="1" applyFont="1" applyBorder="1" applyAlignment="1">
      <alignment horizontal="center"/>
    </xf>
    <xf numFmtId="1" fontId="9" fillId="0" borderId="6" xfId="1" applyNumberFormat="1" applyFont="1" applyBorder="1"/>
    <xf numFmtId="1" fontId="9" fillId="0" borderId="4" xfId="1" applyNumberFormat="1" applyFont="1" applyBorder="1"/>
    <xf numFmtId="1" fontId="6" fillId="3" borderId="51" xfId="1" applyNumberFormat="1" applyFont="1" applyFill="1" applyBorder="1"/>
    <xf numFmtId="1" fontId="9" fillId="3" borderId="2" xfId="1" applyNumberFormat="1" applyFont="1" applyFill="1" applyBorder="1"/>
    <xf numFmtId="1" fontId="9" fillId="12" borderId="2" xfId="1" applyNumberFormat="1" applyFont="1" applyFill="1" applyBorder="1"/>
    <xf numFmtId="1" fontId="9" fillId="13" borderId="2" xfId="1" applyNumberFormat="1" applyFont="1" applyFill="1" applyBorder="1"/>
    <xf numFmtId="1" fontId="6" fillId="2" borderId="51" xfId="1" applyNumberFormat="1" applyFont="1" applyFill="1" applyBorder="1"/>
    <xf numFmtId="1" fontId="9" fillId="2" borderId="2" xfId="1" applyNumberFormat="1" applyFont="1" applyFill="1" applyBorder="1"/>
    <xf numFmtId="1" fontId="9" fillId="3" borderId="38" xfId="1" applyNumberFormat="1" applyFont="1" applyFill="1" applyBorder="1"/>
    <xf numFmtId="169" fontId="9" fillId="0" borderId="2" xfId="1" applyNumberFormat="1" applyFont="1" applyBorder="1"/>
    <xf numFmtId="169" fontId="9" fillId="0" borderId="38" xfId="1" applyNumberFormat="1" applyFont="1" applyBorder="1"/>
    <xf numFmtId="1" fontId="9" fillId="0" borderId="39" xfId="1" applyNumberFormat="1" applyFont="1" applyBorder="1"/>
    <xf numFmtId="0" fontId="9" fillId="0" borderId="0" xfId="2" applyFill="1"/>
  </cellXfs>
  <cellStyles count="6">
    <cellStyle name="Comma" xfId="1" builtinId="3"/>
    <cellStyle name="Normal" xfId="0" builtinId="0"/>
    <cellStyle name="Normal 2" xfId="5"/>
    <cellStyle name="Normal_sheet" xfId="2"/>
    <cellStyle name="Normal_SPGbase" xfId="3"/>
    <cellStyle name="Percent" xfId="4" builtinId="5"/>
  </cellStyles>
  <dxfs count="1"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Capacity</a:t>
            </a:r>
            <a:r>
              <a:rPr lang="en-US" baseline="0"/>
              <a:t> Options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CapOptions!$B$40</c:f>
              <c:strCache>
                <c:ptCount val="1"/>
                <c:pt idx="0">
                  <c:v>Total Avail</c:v>
                </c:pt>
              </c:strCache>
            </c:strRef>
          </c:tx>
          <c:marker>
            <c:symbol val="none"/>
          </c:marker>
          <c:cat>
            <c:numRef>
              <c:f>CapOptions!$D$1:$R$1</c:f>
              <c:numCache>
                <c:formatCode>General</c:formatCode>
                <c:ptCount val="1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</c:numCache>
            </c:numRef>
          </c:cat>
          <c:val>
            <c:numRef>
              <c:f>CapOptions!$D$40:$R$40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725</c:v>
                </c:pt>
                <c:pt idx="5">
                  <c:v>825</c:v>
                </c:pt>
                <c:pt idx="6">
                  <c:v>925</c:v>
                </c:pt>
                <c:pt idx="7">
                  <c:v>1025</c:v>
                </c:pt>
                <c:pt idx="8">
                  <c:v>1125</c:v>
                </c:pt>
                <c:pt idx="9">
                  <c:v>1643</c:v>
                </c:pt>
                <c:pt idx="10">
                  <c:v>1743</c:v>
                </c:pt>
                <c:pt idx="11">
                  <c:v>1843</c:v>
                </c:pt>
                <c:pt idx="12">
                  <c:v>1843</c:v>
                </c:pt>
                <c:pt idx="13">
                  <c:v>1425</c:v>
                </c:pt>
                <c:pt idx="14">
                  <c:v>1425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90-4AAA-B109-3B6C47CA5624}"/>
            </c:ext>
          </c:extLst>
        </c:ser>
        <c:ser>
          <c:idx val="1"/>
          <c:order val="1"/>
          <c:tx>
            <c:strRef>
              <c:f>CapOptions!$B$41</c:f>
              <c:strCache>
                <c:ptCount val="1"/>
                <c:pt idx="0">
                  <c:v>Min Need</c:v>
                </c:pt>
              </c:strCache>
            </c:strRef>
          </c:tx>
          <c:marker>
            <c:symbol val="none"/>
          </c:marker>
          <c:cat>
            <c:numRef>
              <c:f>CapOptions!$D$1:$R$1</c:f>
              <c:numCache>
                <c:formatCode>General</c:formatCode>
                <c:ptCount val="1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</c:numCache>
            </c:numRef>
          </c:cat>
          <c:val>
            <c:numRef>
              <c:f>CapOptions!$D$41:$R$41</c:f>
              <c:numCache>
                <c:formatCode>0</c:formatCode>
                <c:ptCount val="15"/>
                <c:pt idx="0">
                  <c:v>-112.16080000000015</c:v>
                </c:pt>
                <c:pt idx="1">
                  <c:v>-70.18040000000029</c:v>
                </c:pt>
                <c:pt idx="2">
                  <c:v>-54.698600000000049</c:v>
                </c:pt>
                <c:pt idx="3">
                  <c:v>-50.79759999999996</c:v>
                </c:pt>
                <c:pt idx="4">
                  <c:v>-37.336800000000238</c:v>
                </c:pt>
                <c:pt idx="5">
                  <c:v>-22.917200000000101</c:v>
                </c:pt>
                <c:pt idx="6">
                  <c:v>2.2183999999996922</c:v>
                </c:pt>
                <c:pt idx="7">
                  <c:v>11.533799999999982</c:v>
                </c:pt>
                <c:pt idx="8">
                  <c:v>20.755199999999931</c:v>
                </c:pt>
                <c:pt idx="9">
                  <c:v>28.228199999999759</c:v>
                </c:pt>
                <c:pt idx="10">
                  <c:v>57.349399999999775</c:v>
                </c:pt>
                <c:pt idx="11">
                  <c:v>58.439799999999636</c:v>
                </c:pt>
                <c:pt idx="12">
                  <c:v>77.032999999999831</c:v>
                </c:pt>
                <c:pt idx="13">
                  <c:v>95.09039999999986</c:v>
                </c:pt>
                <c:pt idx="14">
                  <c:v>102.01819999999975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90-4AAA-B109-3B6C47CA5624}"/>
            </c:ext>
          </c:extLst>
        </c:ser>
        <c:ser>
          <c:idx val="2"/>
          <c:order val="2"/>
          <c:tx>
            <c:strRef>
              <c:f>CapOptions!$B$42</c:f>
              <c:strCache>
                <c:ptCount val="1"/>
                <c:pt idx="0">
                  <c:v>Max Need</c:v>
                </c:pt>
              </c:strCache>
            </c:strRef>
          </c:tx>
          <c:marker>
            <c:symbol val="none"/>
          </c:marker>
          <c:cat>
            <c:numRef>
              <c:f>CapOptions!$D$1:$R$1</c:f>
              <c:numCache>
                <c:formatCode>General</c:formatCode>
                <c:ptCount val="1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</c:numCache>
            </c:numRef>
          </c:cat>
          <c:val>
            <c:numRef>
              <c:f>CapOptions!$D$42:$R$42</c:f>
              <c:numCache>
                <c:formatCode>0</c:formatCode>
                <c:ptCount val="15"/>
                <c:pt idx="0">
                  <c:v>530.67999999999984</c:v>
                </c:pt>
                <c:pt idx="1">
                  <c:v>575.33999999999969</c:v>
                </c:pt>
                <c:pt idx="2">
                  <c:v>591.80999999999995</c:v>
                </c:pt>
                <c:pt idx="3">
                  <c:v>595.96</c:v>
                </c:pt>
                <c:pt idx="4">
                  <c:v>610.27999999999975</c:v>
                </c:pt>
                <c:pt idx="5">
                  <c:v>625.61999999999989</c:v>
                </c:pt>
                <c:pt idx="6">
                  <c:v>652.35999999999967</c:v>
                </c:pt>
                <c:pt idx="7">
                  <c:v>662.27</c:v>
                </c:pt>
                <c:pt idx="8">
                  <c:v>672.07999999999993</c:v>
                </c:pt>
                <c:pt idx="9">
                  <c:v>680.02999999999975</c:v>
                </c:pt>
                <c:pt idx="10">
                  <c:v>711.00999999999976</c:v>
                </c:pt>
                <c:pt idx="11">
                  <c:v>712.16999999999962</c:v>
                </c:pt>
                <c:pt idx="12">
                  <c:v>731.94999999999982</c:v>
                </c:pt>
                <c:pt idx="13">
                  <c:v>751.15999999999985</c:v>
                </c:pt>
                <c:pt idx="14">
                  <c:v>758.52999999999975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90-4AAA-B109-3B6C47CA5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98944"/>
        <c:axId val="141700480"/>
      </c:lineChart>
      <c:catAx>
        <c:axId val="14169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1700480"/>
        <c:crosses val="autoZero"/>
        <c:auto val="1"/>
        <c:lblAlgn val="ctr"/>
        <c:lblOffset val="100"/>
        <c:noMultiLvlLbl val="0"/>
      </c:catAx>
      <c:valAx>
        <c:axId val="1417004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crossAx val="1416989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'CapCosts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'CapCosts (2)'!#REF!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455-45E4-99B7-86C556E15EB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'CapCosts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'CapCosts (2)'!#REF!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455-45E4-99B7-86C556E15EB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'CapCosts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'CapCosts (2)'!#REF!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C455-45E4-99B7-86C556E15EB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'CapCosts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'CapCosts (2)'!#REF!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C455-45E4-99B7-86C556E15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477184"/>
        <c:axId val="142479360"/>
      </c:lineChart>
      <c:catAx>
        <c:axId val="14247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479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79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MW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4771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-3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114300</xdr:rowOff>
    </xdr:from>
    <xdr:to>
      <xdr:col>10</xdr:col>
      <xdr:colOff>399313</xdr:colOff>
      <xdr:row>4</xdr:row>
      <xdr:rowOff>4681</xdr:rowOff>
    </xdr:to>
    <xdr:pic>
      <xdr:nvPicPr>
        <xdr:cNvPr id="70706" name="Picture 9" descr="E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314325"/>
          <a:ext cx="2879623" cy="5990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38100</xdr:colOff>
      <xdr:row>1</xdr:row>
      <xdr:rowOff>12700</xdr:rowOff>
    </xdr:from>
    <xdr:to>
      <xdr:col>35</xdr:col>
      <xdr:colOff>381000</xdr:colOff>
      <xdr:row>41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95250</xdr:rowOff>
    </xdr:from>
    <xdr:to>
      <xdr:col>0</xdr:col>
      <xdr:colOff>0</xdr:colOff>
      <xdr:row>67</xdr:row>
      <xdr:rowOff>0</xdr:rowOff>
    </xdr:to>
    <xdr:graphicFrame macro="">
      <xdr:nvGraphicFramePr>
        <xdr:cNvPr id="809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erwil\Desktop\preAC2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ssumptions"/>
      <sheetName val="AC2007"/>
      <sheetName val="AVDCST"/>
      <sheetName val="MACRO1"/>
      <sheetName val="BaseExpPlan"/>
      <sheetName val="Summary"/>
    </sheetNames>
    <sheetDataSet>
      <sheetData sheetId="0"/>
      <sheetData sheetId="1">
        <row r="9">
          <cell r="E9">
            <v>2010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Slice">
  <a:themeElements>
    <a:clrScheme name="Slice">
      <a:dk1>
        <a:sysClr val="windowText" lastClr="000000"/>
      </a:dk1>
      <a:lt1>
        <a:sysClr val="window" lastClr="FFFFFF"/>
      </a:lt1>
      <a:dk2>
        <a:srgbClr val="146194"/>
      </a:dk2>
      <a:lt2>
        <a:srgbClr val="76DBF4"/>
      </a:lt2>
      <a:accent1>
        <a:srgbClr val="052F61"/>
      </a:accent1>
      <a:accent2>
        <a:srgbClr val="A50E82"/>
      </a:accent2>
      <a:accent3>
        <a:srgbClr val="14967C"/>
      </a:accent3>
      <a:accent4>
        <a:srgbClr val="6A9E1F"/>
      </a:accent4>
      <a:accent5>
        <a:srgbClr val="E87D37"/>
      </a:accent5>
      <a:accent6>
        <a:srgbClr val="C62324"/>
      </a:accent6>
      <a:hlink>
        <a:srgbClr val="0D2E46"/>
      </a:hlink>
      <a:folHlink>
        <a:srgbClr val="356A95"/>
      </a:folHlink>
    </a:clrScheme>
    <a:fontScheme name="Slice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c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hueMod val="94000"/>
                <a:satMod val="140000"/>
                <a:lumMod val="110000"/>
              </a:schemeClr>
            </a:gs>
            <a:gs pos="100000">
              <a:schemeClr val="phClr">
                <a:tint val="84000"/>
                <a:satMod val="16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hueMod val="94000"/>
                <a:satMod val="130000"/>
                <a:lumMod val="128000"/>
              </a:schemeClr>
            </a:gs>
            <a:gs pos="100000">
              <a:schemeClr val="phClr">
                <a:shade val="94000"/>
                <a:lumMod val="88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tint val="76000"/>
              <a:alpha val="60000"/>
              <a:hueMod val="94000"/>
            </a:schemeClr>
          </a:solidFill>
          <a:prstDash val="solid"/>
        </a:ln>
        <a:ln w="15875" cap="rnd" cmpd="sng" algn="ctr">
          <a:solidFill>
            <a:schemeClr val="phClr">
              <a:hueMod val="94000"/>
            </a:schemeClr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46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  <pageSetUpPr fitToPage="1"/>
  </sheetPr>
  <dimension ref="A1:AT31"/>
  <sheetViews>
    <sheetView tabSelected="1" zoomScaleNormal="100" workbookViewId="0">
      <pane xSplit="1" ySplit="9" topLeftCell="F10" activePane="bottomRight" state="frozen"/>
      <selection activeCell="L10" sqref="L10"/>
      <selection pane="topRight" activeCell="L10" sqref="L10"/>
      <selection pane="bottomLeft" activeCell="L10" sqref="L10"/>
      <selection pane="bottomRight" activeCell="Q10" sqref="Q10"/>
    </sheetView>
  </sheetViews>
  <sheetFormatPr defaultColWidth="4.90625" defaultRowHeight="15"/>
  <cols>
    <col min="1" max="1" width="4.36328125" style="152" bestFit="1" customWidth="1"/>
    <col min="2" max="3" width="5.81640625" style="152" hidden="1" customWidth="1"/>
    <col min="4" max="5" width="4.54296875" style="152" hidden="1" customWidth="1"/>
    <col min="6" max="6" width="5.453125" style="152" customWidth="1"/>
    <col min="7" max="7" width="5.81640625" style="152" customWidth="1"/>
    <col min="8" max="9" width="4.36328125" style="152" customWidth="1"/>
    <col min="10" max="13" width="5.1796875" style="152" bestFit="1" customWidth="1"/>
    <col min="14" max="15" width="5.1796875" style="152" customWidth="1"/>
    <col min="16" max="17" width="6.90625" style="152" customWidth="1"/>
    <col min="18" max="19" width="3.1796875" style="152" customWidth="1"/>
    <col min="20" max="21" width="3.6328125" style="152" customWidth="1"/>
    <col min="22" max="23" width="3.90625" style="152" customWidth="1"/>
    <col min="24" max="25" width="3.6328125" style="152" customWidth="1"/>
    <col min="26" max="27" width="5.81640625" style="152" customWidth="1"/>
    <col min="28" max="29" width="7" style="152" bestFit="1" customWidth="1"/>
    <col min="30" max="31" width="5.1796875" style="152" bestFit="1" customWidth="1"/>
    <col min="32" max="33" width="4.1796875" style="152" customWidth="1"/>
    <col min="34" max="35" width="6.90625" style="152" customWidth="1"/>
    <col min="36" max="36" width="4.90625" style="148"/>
    <col min="37" max="38" width="5.1796875" style="149" bestFit="1" customWidth="1"/>
    <col min="39" max="40" width="5.1796875" style="150" bestFit="1" customWidth="1"/>
    <col min="41" max="41" width="9.6328125" style="150" bestFit="1" customWidth="1"/>
    <col min="42" max="42" width="8.81640625" style="150" bestFit="1" customWidth="1"/>
    <col min="43" max="44" width="3.453125" style="150" bestFit="1" customWidth="1"/>
    <col min="45" max="16384" width="4.90625" style="150"/>
  </cols>
  <sheetData>
    <row r="1" spans="1:46" s="145" customFormat="1">
      <c r="A1" s="142"/>
      <c r="B1" s="143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K1" s="146"/>
      <c r="AL1" s="146"/>
    </row>
    <row r="2" spans="1:46" ht="17.399999999999999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</row>
    <row r="3" spans="1:46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</row>
    <row r="4" spans="1:46" ht="22.2"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4" t="s">
        <v>144</v>
      </c>
      <c r="N4" s="153"/>
      <c r="O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461"/>
      <c r="AK4" s="460"/>
      <c r="AL4" s="150"/>
    </row>
    <row r="5" spans="1:46">
      <c r="A5" s="155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461"/>
      <c r="AK5" s="462"/>
      <c r="AL5" s="150"/>
      <c r="AO5" s="475"/>
      <c r="AP5" s="475"/>
      <c r="AQ5" s="475"/>
      <c r="AR5" s="475"/>
      <c r="AS5" s="475"/>
    </row>
    <row r="6" spans="1:46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6"/>
      <c r="Y6" s="156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O6" s="269"/>
      <c r="AP6" s="269"/>
      <c r="AQ6" s="269"/>
      <c r="AR6" s="269"/>
      <c r="AS6" s="269"/>
    </row>
    <row r="7" spans="1:46" s="160" customFormat="1" ht="25.5" customHeight="1">
      <c r="A7" s="157"/>
      <c r="B7" s="158" t="s">
        <v>88</v>
      </c>
      <c r="C7" s="159"/>
      <c r="D7" s="158" t="s">
        <v>104</v>
      </c>
      <c r="E7" s="159"/>
      <c r="F7" s="482" t="s">
        <v>145</v>
      </c>
      <c r="G7" s="483"/>
      <c r="H7" s="490" t="s">
        <v>121</v>
      </c>
      <c r="I7" s="491"/>
      <c r="J7" s="495" t="s">
        <v>10</v>
      </c>
      <c r="K7" s="496"/>
      <c r="L7" s="507" t="s">
        <v>13</v>
      </c>
      <c r="M7" s="508"/>
      <c r="N7" s="488" t="s">
        <v>96</v>
      </c>
      <c r="O7" s="489"/>
      <c r="P7" s="511" t="s">
        <v>14</v>
      </c>
      <c r="Q7" s="512"/>
      <c r="R7" s="492" t="s">
        <v>111</v>
      </c>
      <c r="S7" s="493"/>
      <c r="T7" s="493"/>
      <c r="U7" s="493"/>
      <c r="V7" s="493"/>
      <c r="W7" s="493"/>
      <c r="X7" s="493"/>
      <c r="Y7" s="493"/>
      <c r="Z7" s="493"/>
      <c r="AA7" s="494"/>
      <c r="AB7" s="478" t="s">
        <v>12</v>
      </c>
      <c r="AC7" s="479"/>
      <c r="AD7" s="486" t="s">
        <v>12</v>
      </c>
      <c r="AE7" s="487"/>
      <c r="AF7" s="476" t="s">
        <v>92</v>
      </c>
      <c r="AG7" s="477"/>
      <c r="AH7" s="463" t="s">
        <v>121</v>
      </c>
      <c r="AI7" s="464"/>
      <c r="AK7" s="478" t="s">
        <v>12</v>
      </c>
      <c r="AL7" s="479"/>
      <c r="AM7" s="480" t="s">
        <v>53</v>
      </c>
      <c r="AN7" s="481"/>
      <c r="AO7" s="476" t="s">
        <v>69</v>
      </c>
      <c r="AP7" s="477"/>
      <c r="AQ7" s="476" t="s">
        <v>12</v>
      </c>
      <c r="AR7" s="477"/>
      <c r="AS7" s="161"/>
    </row>
    <row r="8" spans="1:46" s="160" customFormat="1" ht="13.2">
      <c r="A8" s="162"/>
      <c r="B8" s="163" t="s">
        <v>80</v>
      </c>
      <c r="C8" s="164"/>
      <c r="D8" s="165" t="s">
        <v>80</v>
      </c>
      <c r="E8" s="166"/>
      <c r="F8" s="484" t="s">
        <v>106</v>
      </c>
      <c r="G8" s="485"/>
      <c r="H8" s="563"/>
      <c r="I8" s="563"/>
      <c r="J8" s="505" t="s">
        <v>16</v>
      </c>
      <c r="K8" s="506"/>
      <c r="L8" s="509" t="s">
        <v>10</v>
      </c>
      <c r="M8" s="510"/>
      <c r="N8" s="497" t="s">
        <v>95</v>
      </c>
      <c r="O8" s="498"/>
      <c r="P8" s="513" t="s">
        <v>17</v>
      </c>
      <c r="Q8" s="514"/>
      <c r="R8" s="501" t="s">
        <v>112</v>
      </c>
      <c r="S8" s="502"/>
      <c r="T8" s="503" t="s">
        <v>122</v>
      </c>
      <c r="U8" s="502"/>
      <c r="V8" s="503" t="s">
        <v>83</v>
      </c>
      <c r="W8" s="502"/>
      <c r="X8" s="503" t="s">
        <v>46</v>
      </c>
      <c r="Y8" s="502"/>
      <c r="Z8" s="503" t="s">
        <v>116</v>
      </c>
      <c r="AA8" s="504"/>
      <c r="AB8" s="499" t="s">
        <v>126</v>
      </c>
      <c r="AC8" s="500"/>
      <c r="AD8" s="465" t="s">
        <v>10</v>
      </c>
      <c r="AE8" s="466"/>
      <c r="AF8" s="473" t="s">
        <v>22</v>
      </c>
      <c r="AG8" s="474"/>
      <c r="AH8" s="471" t="s">
        <v>21</v>
      </c>
      <c r="AI8" s="472"/>
      <c r="AK8" s="467" t="s">
        <v>72</v>
      </c>
      <c r="AL8" s="468"/>
      <c r="AM8" s="469" t="s">
        <v>73</v>
      </c>
      <c r="AN8" s="470"/>
      <c r="AO8" s="167" t="s">
        <v>72</v>
      </c>
      <c r="AP8" s="168" t="s">
        <v>73</v>
      </c>
      <c r="AQ8" s="469" t="s">
        <v>77</v>
      </c>
      <c r="AR8" s="470"/>
      <c r="AS8" s="161"/>
    </row>
    <row r="9" spans="1:46" s="160" customFormat="1" ht="13.2">
      <c r="A9" s="169" t="s">
        <v>11</v>
      </c>
      <c r="B9" s="170" t="s">
        <v>3</v>
      </c>
      <c r="C9" s="170" t="s">
        <v>4</v>
      </c>
      <c r="D9" s="171" t="s">
        <v>3</v>
      </c>
      <c r="E9" s="171" t="s">
        <v>4</v>
      </c>
      <c r="F9" s="172" t="s">
        <v>3</v>
      </c>
      <c r="G9" s="172" t="s">
        <v>7</v>
      </c>
      <c r="H9" s="173" t="s">
        <v>3</v>
      </c>
      <c r="I9" s="173" t="s">
        <v>4</v>
      </c>
      <c r="J9" s="174" t="s">
        <v>3</v>
      </c>
      <c r="K9" s="174" t="s">
        <v>4</v>
      </c>
      <c r="L9" s="175" t="s">
        <v>3</v>
      </c>
      <c r="M9" s="175" t="s">
        <v>4</v>
      </c>
      <c r="N9" s="176" t="s">
        <v>3</v>
      </c>
      <c r="O9" s="176" t="s">
        <v>4</v>
      </c>
      <c r="P9" s="177" t="s">
        <v>3</v>
      </c>
      <c r="Q9" s="177" t="s">
        <v>4</v>
      </c>
      <c r="R9" s="178" t="s">
        <v>3</v>
      </c>
      <c r="S9" s="178" t="s">
        <v>4</v>
      </c>
      <c r="T9" s="178" t="s">
        <v>3</v>
      </c>
      <c r="U9" s="178" t="s">
        <v>4</v>
      </c>
      <c r="V9" s="178" t="s">
        <v>3</v>
      </c>
      <c r="W9" s="178" t="s">
        <v>4</v>
      </c>
      <c r="X9" s="178" t="s">
        <v>3</v>
      </c>
      <c r="Y9" s="178" t="s">
        <v>4</v>
      </c>
      <c r="Z9" s="178" t="s">
        <v>3</v>
      </c>
      <c r="AA9" s="178" t="s">
        <v>4</v>
      </c>
      <c r="AB9" s="175" t="s">
        <v>6</v>
      </c>
      <c r="AC9" s="175" t="s">
        <v>7</v>
      </c>
      <c r="AD9" s="179" t="s">
        <v>6</v>
      </c>
      <c r="AE9" s="179" t="s">
        <v>7</v>
      </c>
      <c r="AF9" s="175" t="s">
        <v>3</v>
      </c>
      <c r="AG9" s="175" t="s">
        <v>4</v>
      </c>
      <c r="AH9" s="180" t="s">
        <v>3</v>
      </c>
      <c r="AI9" s="180" t="s">
        <v>4</v>
      </c>
      <c r="AK9" s="175" t="s">
        <v>3</v>
      </c>
      <c r="AL9" s="175" t="s">
        <v>4</v>
      </c>
      <c r="AM9" s="175" t="s">
        <v>3</v>
      </c>
      <c r="AN9" s="175" t="s">
        <v>4</v>
      </c>
      <c r="AO9" s="175" t="s">
        <v>3</v>
      </c>
      <c r="AP9" s="175" t="s">
        <v>3</v>
      </c>
      <c r="AQ9" s="175" t="s">
        <v>3</v>
      </c>
      <c r="AR9" s="175" t="s">
        <v>4</v>
      </c>
      <c r="AS9" s="181"/>
    </row>
    <row r="10" spans="1:46" s="160" customFormat="1" ht="13.2">
      <c r="A10" s="270">
        <v>2022</v>
      </c>
      <c r="B10" s="182" t="e">
        <f>#REF!</f>
        <v>#REF!</v>
      </c>
      <c r="C10" s="182" t="e">
        <f>#REF!</f>
        <v>#REF!</v>
      </c>
      <c r="D10" s="183" t="e">
        <f>#REF!</f>
        <v>#REF!</v>
      </c>
      <c r="E10" s="182" t="e">
        <f>#REF!</f>
        <v>#REF!</v>
      </c>
      <c r="F10" s="184">
        <v>3314.98</v>
      </c>
      <c r="G10" s="185">
        <v>2498.44</v>
      </c>
      <c r="H10" s="186">
        <v>0</v>
      </c>
      <c r="I10" s="187">
        <v>75</v>
      </c>
      <c r="J10" s="188">
        <f>F10+H10</f>
        <v>3314.98</v>
      </c>
      <c r="K10" s="189">
        <f>G10+I10</f>
        <v>2573.44</v>
      </c>
      <c r="L10" s="190">
        <f>Generation!Z6+Purchases!M4</f>
        <v>3434.3</v>
      </c>
      <c r="M10" s="190">
        <f>Generation!AA6+Purchases!N4</f>
        <v>3132.3</v>
      </c>
      <c r="N10" s="191"/>
      <c r="O10" s="192"/>
      <c r="P10" s="193">
        <f t="shared" ref="P10:P24" si="0">J10-L10</f>
        <v>-119.32000000000016</v>
      </c>
      <c r="Q10" s="194">
        <f t="shared" ref="Q10:Q24" si="1">K10-M10</f>
        <v>-558.86000000000013</v>
      </c>
      <c r="R10" s="195"/>
      <c r="S10" s="196"/>
      <c r="T10" s="197"/>
      <c r="U10" s="197"/>
      <c r="V10" s="198"/>
      <c r="W10" s="199"/>
      <c r="X10" s="195"/>
      <c r="Y10" s="196"/>
      <c r="Z10" s="200"/>
      <c r="AA10" s="201"/>
      <c r="AB10" s="202">
        <f>R10+T10+V10+X10+(Z10*$AK$5)</f>
        <v>0</v>
      </c>
      <c r="AC10" s="203">
        <f>S10+U10+W10+Y10+(AA10*$AK$5)</f>
        <v>0</v>
      </c>
      <c r="AD10" s="204">
        <f t="shared" ref="AD10:AD24" si="2">SUM(AB10,L10)</f>
        <v>3434.3</v>
      </c>
      <c r="AE10" s="205">
        <f t="shared" ref="AE10:AE24" si="3">SUM(M10,AC10)</f>
        <v>3132.3</v>
      </c>
      <c r="AF10" s="206">
        <f t="shared" ref="AF10:AF24" si="4">IF(ROUND(P10-AB10,-1)&lt;25,0,ROUND(P10-AB10,-1))</f>
        <v>0</v>
      </c>
      <c r="AG10" s="207">
        <f t="shared" ref="AG10:AG24" si="5">IF(ROUND(Q10-AC10,-1)&lt;25,0,ROUND(Q10-AC10,-1))</f>
        <v>0</v>
      </c>
      <c r="AH10" s="208">
        <f t="shared" ref="AH10:AH24" si="6">(L10+AB10)/F10-1</f>
        <v>3.599418397697729E-2</v>
      </c>
      <c r="AI10" s="209">
        <f t="shared" ref="AI10:AI24" si="7">(M10+AC10)/G10-1</f>
        <v>0.25370231024159073</v>
      </c>
      <c r="AK10" s="210">
        <f>SUM($X$10:X10)+Generation!S6</f>
        <v>1687</v>
      </c>
      <c r="AL10" s="210">
        <f>SUM($Y$10:Y10)+Generation!S6</f>
        <v>1687</v>
      </c>
      <c r="AM10" s="211">
        <f>SUM($R$10:R10)+SUM($T$10:T10)+Generation!T6</f>
        <v>1556</v>
      </c>
      <c r="AN10" s="212">
        <f>SUM($R$10:S10)+SUM($T$10:U10)+Generation!U6</f>
        <v>1254</v>
      </c>
      <c r="AO10" s="213">
        <f t="shared" ref="AO10:AO24" si="8">AK10/AD10</f>
        <v>0.49122091838220305</v>
      </c>
      <c r="AP10" s="214">
        <f t="shared" ref="AP10:AP24" si="9">AM10/AD10</f>
        <v>0.45307631831814343</v>
      </c>
      <c r="AQ10" s="211">
        <f>SUM($V$10:V10)+Purchases!M4</f>
        <v>0</v>
      </c>
      <c r="AR10" s="212">
        <f>SUM($W$10:W10)+Purchases!N4</f>
        <v>0</v>
      </c>
      <c r="AT10" s="215"/>
    </row>
    <row r="11" spans="1:46" s="160" customFormat="1" ht="13.2">
      <c r="A11" s="270">
        <f>A10+1</f>
        <v>2023</v>
      </c>
      <c r="B11" s="182" t="e">
        <f>#REF!</f>
        <v>#REF!</v>
      </c>
      <c r="C11" s="182" t="e">
        <f>#REF!</f>
        <v>#REF!</v>
      </c>
      <c r="D11" s="183" t="e">
        <f>#REF!</f>
        <v>#REF!</v>
      </c>
      <c r="E11" s="182" t="e">
        <f>#REF!</f>
        <v>#REF!</v>
      </c>
      <c r="F11" s="216">
        <v>3359.64</v>
      </c>
      <c r="G11" s="217">
        <v>2568.27</v>
      </c>
      <c r="H11" s="218">
        <v>0</v>
      </c>
      <c r="I11" s="187">
        <v>77</v>
      </c>
      <c r="J11" s="219">
        <f t="shared" ref="J11:J24" si="10">F11+H11</f>
        <v>3359.64</v>
      </c>
      <c r="K11" s="189">
        <f t="shared" ref="K11:K24" si="11">G11+I11</f>
        <v>2645.27</v>
      </c>
      <c r="L11" s="190">
        <f>Generation!Z7+Purchases!M5</f>
        <v>3434.3</v>
      </c>
      <c r="M11" s="190">
        <f>Generation!AA7+Purchases!N5</f>
        <v>3132.3</v>
      </c>
      <c r="N11" s="191"/>
      <c r="O11" s="192"/>
      <c r="P11" s="193">
        <f t="shared" si="0"/>
        <v>-74.660000000000309</v>
      </c>
      <c r="Q11" s="194">
        <f t="shared" si="1"/>
        <v>-487.0300000000002</v>
      </c>
      <c r="R11" s="195"/>
      <c r="S11" s="196"/>
      <c r="T11" s="197"/>
      <c r="U11" s="197"/>
      <c r="V11" s="198"/>
      <c r="W11" s="199"/>
      <c r="X11" s="195"/>
      <c r="Y11" s="196"/>
      <c r="Z11" s="200"/>
      <c r="AA11" s="201"/>
      <c r="AB11" s="202">
        <f>R11+T11+V11+X11+(Z11*$AK$5)+AB10</f>
        <v>0</v>
      </c>
      <c r="AC11" s="203">
        <f>S11+U11+W11+Y11+(AA11*$AK$5)+AC10</f>
        <v>0</v>
      </c>
      <c r="AD11" s="204">
        <f t="shared" si="2"/>
        <v>3434.3</v>
      </c>
      <c r="AE11" s="205">
        <f t="shared" si="3"/>
        <v>3132.3</v>
      </c>
      <c r="AF11" s="206">
        <f t="shared" si="4"/>
        <v>0</v>
      </c>
      <c r="AG11" s="207">
        <f t="shared" si="5"/>
        <v>0</v>
      </c>
      <c r="AH11" s="208">
        <f t="shared" si="6"/>
        <v>2.2222619090140672E-2</v>
      </c>
      <c r="AI11" s="209">
        <f t="shared" si="7"/>
        <v>0.21961476013036019</v>
      </c>
      <c r="AK11" s="210">
        <f>SUM($X$10:X11)+Generation!S7</f>
        <v>1687</v>
      </c>
      <c r="AL11" s="210">
        <f>SUM($Y$10:Y11)+Generation!S7</f>
        <v>1687</v>
      </c>
      <c r="AM11" s="220">
        <f>SUM($R$10:R11)+SUM($T$10:T11)+Generation!T7</f>
        <v>1556</v>
      </c>
      <c r="AN11" s="221">
        <f>SUM($R$10:S11)+SUM($T$10:U11)+Generation!U7</f>
        <v>1254</v>
      </c>
      <c r="AO11" s="213">
        <f t="shared" si="8"/>
        <v>0.49122091838220305</v>
      </c>
      <c r="AP11" s="214">
        <f t="shared" si="9"/>
        <v>0.45307631831814343</v>
      </c>
      <c r="AQ11" s="220">
        <f>SUM($V$10:V11)+Purchases!M5</f>
        <v>0</v>
      </c>
      <c r="AR11" s="221">
        <f>SUM($W$10:W11)+Purchases!N5</f>
        <v>0</v>
      </c>
      <c r="AT11" s="215"/>
    </row>
    <row r="12" spans="1:46" s="160" customFormat="1" ht="13.2">
      <c r="A12" s="270">
        <f t="shared" ref="A12:A24" si="12">A11+1</f>
        <v>2024</v>
      </c>
      <c r="B12" s="182" t="e">
        <f>#REF!</f>
        <v>#REF!</v>
      </c>
      <c r="C12" s="182" t="e">
        <f>#REF!</f>
        <v>#REF!</v>
      </c>
      <c r="D12" s="183" t="e">
        <f>#REF!</f>
        <v>#REF!</v>
      </c>
      <c r="E12" s="182" t="e">
        <f>#REF!</f>
        <v>#REF!</v>
      </c>
      <c r="F12" s="216">
        <v>3376.11</v>
      </c>
      <c r="G12" s="217">
        <v>2604.92</v>
      </c>
      <c r="H12" s="218">
        <v>0</v>
      </c>
      <c r="I12" s="187">
        <v>78</v>
      </c>
      <c r="J12" s="219">
        <f t="shared" si="10"/>
        <v>3376.11</v>
      </c>
      <c r="K12" s="189">
        <f t="shared" si="11"/>
        <v>2682.92</v>
      </c>
      <c r="L12" s="215">
        <f>Generation!Z8+Purchases!M6</f>
        <v>3434.3</v>
      </c>
      <c r="M12" s="215">
        <f>Generation!AA8+Purchases!N6</f>
        <v>3132.3</v>
      </c>
      <c r="N12" s="191"/>
      <c r="O12" s="192"/>
      <c r="P12" s="193">
        <f t="shared" si="0"/>
        <v>-58.190000000000055</v>
      </c>
      <c r="Q12" s="194">
        <f t="shared" si="1"/>
        <v>-449.38000000000011</v>
      </c>
      <c r="R12" s="195"/>
      <c r="S12" s="196"/>
      <c r="T12" s="197"/>
      <c r="U12" s="196"/>
      <c r="V12" s="198"/>
      <c r="W12" s="199"/>
      <c r="X12" s="197"/>
      <c r="Y12" s="222"/>
      <c r="Z12" s="200"/>
      <c r="AA12" s="201"/>
      <c r="AB12" s="202">
        <f t="shared" ref="AB12:AB24" si="13">R12+T12+V12+X12+(Z12*$AK$5)+AB11</f>
        <v>0</v>
      </c>
      <c r="AC12" s="203">
        <f t="shared" ref="AC12:AC24" si="14">S12+U12+W12+Y12+(AA12*$AK$5)+AC11</f>
        <v>0</v>
      </c>
      <c r="AD12" s="204">
        <f t="shared" si="2"/>
        <v>3434.3</v>
      </c>
      <c r="AE12" s="205">
        <f t="shared" si="3"/>
        <v>3132.3</v>
      </c>
      <c r="AF12" s="210">
        <f t="shared" si="4"/>
        <v>0</v>
      </c>
      <c r="AG12" s="223">
        <f t="shared" si="5"/>
        <v>0</v>
      </c>
      <c r="AH12" s="208">
        <f t="shared" si="6"/>
        <v>1.7235812814155871E-2</v>
      </c>
      <c r="AI12" s="209">
        <f t="shared" si="7"/>
        <v>0.20245535371527734</v>
      </c>
      <c r="AK12" s="210">
        <f>SUM($X$10:X12)+Generation!S8</f>
        <v>1687</v>
      </c>
      <c r="AL12" s="210">
        <f>SUM($Y$10:Y12)+Generation!S8</f>
        <v>1687</v>
      </c>
      <c r="AM12" s="220">
        <f>SUM($R$10:R12)+SUM($T$10:T12)+Generation!T8</f>
        <v>1556</v>
      </c>
      <c r="AN12" s="221">
        <f>SUM($R$10:S12)+SUM($T$10:U12)+Generation!U8</f>
        <v>1254</v>
      </c>
      <c r="AO12" s="213">
        <f t="shared" si="8"/>
        <v>0.49122091838220305</v>
      </c>
      <c r="AP12" s="214">
        <f t="shared" si="9"/>
        <v>0.45307631831814343</v>
      </c>
      <c r="AQ12" s="220">
        <f>SUM($V$10:V12)+Purchases!M6</f>
        <v>0</v>
      </c>
      <c r="AR12" s="221">
        <f>SUM($W$10:W12)+Purchases!N6</f>
        <v>0</v>
      </c>
      <c r="AT12" s="215"/>
    </row>
    <row r="13" spans="1:46" s="160" customFormat="1" ht="13.2">
      <c r="A13" s="270">
        <f t="shared" si="12"/>
        <v>2025</v>
      </c>
      <c r="B13" s="182" t="e">
        <f>#REF!</f>
        <v>#REF!</v>
      </c>
      <c r="C13" s="182" t="e">
        <f>#REF!</f>
        <v>#REF!</v>
      </c>
      <c r="D13" s="183" t="e">
        <f>#REF!</f>
        <v>#REF!</v>
      </c>
      <c r="E13" s="182" t="e">
        <f>#REF!</f>
        <v>#REF!</v>
      </c>
      <c r="F13" s="216">
        <v>3380.26</v>
      </c>
      <c r="G13" s="217">
        <v>2613.14</v>
      </c>
      <c r="H13" s="218">
        <v>0</v>
      </c>
      <c r="I13" s="187">
        <v>78</v>
      </c>
      <c r="J13" s="219">
        <f t="shared" si="10"/>
        <v>3380.26</v>
      </c>
      <c r="K13" s="189">
        <f t="shared" si="11"/>
        <v>2691.14</v>
      </c>
      <c r="L13" s="215">
        <f>Generation!Z9+Purchases!M7</f>
        <v>3434.3</v>
      </c>
      <c r="M13" s="215">
        <f>Generation!AA9+Purchases!N7</f>
        <v>3132.3</v>
      </c>
      <c r="N13" s="191"/>
      <c r="O13" s="192"/>
      <c r="P13" s="193">
        <f t="shared" si="0"/>
        <v>-54.039999999999964</v>
      </c>
      <c r="Q13" s="194">
        <f t="shared" si="1"/>
        <v>-441.16000000000031</v>
      </c>
      <c r="R13" s="195"/>
      <c r="S13" s="196"/>
      <c r="T13" s="197"/>
      <c r="U13" s="196"/>
      <c r="V13" s="198"/>
      <c r="W13" s="199"/>
      <c r="X13" s="195"/>
      <c r="Y13" s="196"/>
      <c r="Z13" s="200"/>
      <c r="AA13" s="201"/>
      <c r="AB13" s="202">
        <f t="shared" si="13"/>
        <v>0</v>
      </c>
      <c r="AC13" s="203">
        <f t="shared" si="14"/>
        <v>0</v>
      </c>
      <c r="AD13" s="204">
        <f t="shared" si="2"/>
        <v>3434.3</v>
      </c>
      <c r="AE13" s="205">
        <f t="shared" si="3"/>
        <v>3132.3</v>
      </c>
      <c r="AF13" s="210">
        <f t="shared" si="4"/>
        <v>0</v>
      </c>
      <c r="AG13" s="223">
        <f t="shared" si="5"/>
        <v>0</v>
      </c>
      <c r="AH13" s="208">
        <f t="shared" si="6"/>
        <v>1.5986935916172174E-2</v>
      </c>
      <c r="AI13" s="209">
        <f t="shared" si="7"/>
        <v>0.19867286100247217</v>
      </c>
      <c r="AK13" s="210">
        <f>SUM($X$10:X13)+Generation!S9</f>
        <v>1687</v>
      </c>
      <c r="AL13" s="210">
        <f>SUM($Y$10:Y13)+Generation!S9</f>
        <v>1687</v>
      </c>
      <c r="AM13" s="220">
        <f>SUM($R$10:R13)+SUM($T$10:T13)+Generation!T9</f>
        <v>1556</v>
      </c>
      <c r="AN13" s="221">
        <f>SUM($R$10:S13)+SUM($T$10:U13)+Generation!U9</f>
        <v>1254</v>
      </c>
      <c r="AO13" s="213">
        <f t="shared" si="8"/>
        <v>0.49122091838220305</v>
      </c>
      <c r="AP13" s="214">
        <f t="shared" si="9"/>
        <v>0.45307631831814343</v>
      </c>
      <c r="AQ13" s="220">
        <f>SUM($V$10:V13)+Purchases!M7</f>
        <v>0</v>
      </c>
      <c r="AR13" s="221">
        <f>SUM($W$10:W13)+Purchases!N7</f>
        <v>0</v>
      </c>
      <c r="AT13" s="215"/>
    </row>
    <row r="14" spans="1:46" s="160" customFormat="1" ht="13.2">
      <c r="A14" s="268">
        <f t="shared" si="12"/>
        <v>2026</v>
      </c>
      <c r="B14" s="224" t="e">
        <f>#REF!</f>
        <v>#REF!</v>
      </c>
      <c r="C14" s="225" t="e">
        <f>#REF!</f>
        <v>#REF!</v>
      </c>
      <c r="D14" s="226" t="e">
        <f>#REF!</f>
        <v>#REF!</v>
      </c>
      <c r="E14" s="224" t="e">
        <f>#REF!</f>
        <v>#REF!</v>
      </c>
      <c r="F14" s="227">
        <v>3394.58</v>
      </c>
      <c r="G14" s="228">
        <v>2622.03</v>
      </c>
      <c r="H14" s="229">
        <v>0</v>
      </c>
      <c r="I14" s="230">
        <v>79</v>
      </c>
      <c r="J14" s="231">
        <f t="shared" si="10"/>
        <v>3394.58</v>
      </c>
      <c r="K14" s="232">
        <f t="shared" si="11"/>
        <v>2701.03</v>
      </c>
      <c r="L14" s="233">
        <f>Generation!Z10+Purchases!M8</f>
        <v>3434.3</v>
      </c>
      <c r="M14" s="233">
        <f>Generation!AA10+Purchases!N8</f>
        <v>3132.3</v>
      </c>
      <c r="N14" s="234"/>
      <c r="O14" s="235"/>
      <c r="P14" s="236">
        <f t="shared" si="0"/>
        <v>-39.720000000000255</v>
      </c>
      <c r="Q14" s="237">
        <f t="shared" si="1"/>
        <v>-431.27</v>
      </c>
      <c r="R14" s="195"/>
      <c r="S14" s="196"/>
      <c r="T14" s="197"/>
      <c r="U14" s="197"/>
      <c r="V14" s="198"/>
      <c r="W14" s="199"/>
      <c r="X14" s="195"/>
      <c r="Y14" s="196"/>
      <c r="Z14" s="200"/>
      <c r="AA14" s="201"/>
      <c r="AB14" s="202">
        <f t="shared" si="13"/>
        <v>0</v>
      </c>
      <c r="AC14" s="203">
        <f t="shared" si="14"/>
        <v>0</v>
      </c>
      <c r="AD14" s="245">
        <f t="shared" si="2"/>
        <v>3434.3</v>
      </c>
      <c r="AE14" s="246">
        <f t="shared" si="3"/>
        <v>3132.3</v>
      </c>
      <c r="AF14" s="247">
        <f t="shared" si="4"/>
        <v>0</v>
      </c>
      <c r="AG14" s="248">
        <f t="shared" si="5"/>
        <v>0</v>
      </c>
      <c r="AH14" s="208">
        <f t="shared" si="6"/>
        <v>1.1701005720884616E-2</v>
      </c>
      <c r="AI14" s="209">
        <f t="shared" si="7"/>
        <v>0.19460875733687266</v>
      </c>
      <c r="AK14" s="247">
        <f>SUM($X$10:X14)+Generation!S10</f>
        <v>1687</v>
      </c>
      <c r="AL14" s="247">
        <f>SUM($Y$10:Y14)+Generation!S10</f>
        <v>1687</v>
      </c>
      <c r="AM14" s="249">
        <f>SUM($R$10:R14)+SUM($T$10:T14)+Generation!T10</f>
        <v>1556</v>
      </c>
      <c r="AN14" s="250">
        <f>SUM($R$10:S14)+SUM($T$10:U14)+Generation!U10</f>
        <v>1254</v>
      </c>
      <c r="AO14" s="251">
        <f t="shared" si="8"/>
        <v>0.49122091838220305</v>
      </c>
      <c r="AP14" s="252">
        <f t="shared" si="9"/>
        <v>0.45307631831814343</v>
      </c>
      <c r="AQ14" s="220">
        <f>SUM($V$10:V14)+Purchases!M8</f>
        <v>0</v>
      </c>
      <c r="AR14" s="221">
        <f>SUM($W$10:W14)+Purchases!N8</f>
        <v>0</v>
      </c>
      <c r="AT14" s="215"/>
    </row>
    <row r="15" spans="1:46" s="160" customFormat="1" ht="13.2" collapsed="1">
      <c r="A15" s="270">
        <f t="shared" si="12"/>
        <v>2027</v>
      </c>
      <c r="B15" s="182" t="e">
        <f>#REF!</f>
        <v>#REF!</v>
      </c>
      <c r="C15" s="182" t="e">
        <f>#REF!</f>
        <v>#REF!</v>
      </c>
      <c r="D15" s="183" t="e">
        <f>#REF!</f>
        <v>#REF!</v>
      </c>
      <c r="E15" s="182" t="e">
        <f>#REF!</f>
        <v>#REF!</v>
      </c>
      <c r="F15" s="184">
        <v>3409.92</v>
      </c>
      <c r="G15" s="185">
        <v>2636.1</v>
      </c>
      <c r="H15" s="218">
        <v>0</v>
      </c>
      <c r="I15" s="187">
        <v>79</v>
      </c>
      <c r="J15" s="219">
        <f t="shared" si="10"/>
        <v>3409.92</v>
      </c>
      <c r="K15" s="189">
        <f t="shared" si="11"/>
        <v>2715.1</v>
      </c>
      <c r="L15" s="215">
        <f>Generation!Z11+Purchases!M9</f>
        <v>3434.3</v>
      </c>
      <c r="M15" s="215">
        <f>Generation!AA11+Purchases!N9</f>
        <v>3132.3</v>
      </c>
      <c r="N15" s="191"/>
      <c r="O15" s="192"/>
      <c r="P15" s="193">
        <f t="shared" si="0"/>
        <v>-24.380000000000109</v>
      </c>
      <c r="Q15" s="194">
        <f t="shared" si="1"/>
        <v>-417.20000000000027</v>
      </c>
      <c r="R15" s="273"/>
      <c r="S15" s="274"/>
      <c r="T15" s="275"/>
      <c r="U15" s="275"/>
      <c r="V15" s="276"/>
      <c r="W15" s="277"/>
      <c r="X15" s="274"/>
      <c r="Y15" s="274"/>
      <c r="Z15" s="278"/>
      <c r="AA15" s="279"/>
      <c r="AB15" s="202">
        <f t="shared" si="13"/>
        <v>0</v>
      </c>
      <c r="AC15" s="203">
        <f t="shared" si="14"/>
        <v>0</v>
      </c>
      <c r="AD15" s="204">
        <f t="shared" si="2"/>
        <v>3434.3</v>
      </c>
      <c r="AE15" s="205">
        <f t="shared" si="3"/>
        <v>3132.3</v>
      </c>
      <c r="AF15" s="210">
        <f t="shared" si="4"/>
        <v>0</v>
      </c>
      <c r="AG15" s="223">
        <f t="shared" si="5"/>
        <v>0</v>
      </c>
      <c r="AH15" s="253">
        <f t="shared" si="6"/>
        <v>7.1497278528529495E-3</v>
      </c>
      <c r="AI15" s="254">
        <f t="shared" si="7"/>
        <v>0.18823261636508493</v>
      </c>
      <c r="AK15" s="210">
        <f>SUM($X$10:X15)+Generation!S11</f>
        <v>1687</v>
      </c>
      <c r="AL15" s="210">
        <f>SUM($Y$10:Y15)+Generation!S11</f>
        <v>1687</v>
      </c>
      <c r="AM15" s="220">
        <f>SUM($R$10:R15)+SUM($T$10:T15)+Generation!T11</f>
        <v>1556</v>
      </c>
      <c r="AN15" s="221">
        <f>SUM($R$10:S15)+SUM($T$10:U15)+Generation!U11</f>
        <v>1254</v>
      </c>
      <c r="AO15" s="213">
        <f t="shared" si="8"/>
        <v>0.49122091838220305</v>
      </c>
      <c r="AP15" s="214">
        <f t="shared" si="9"/>
        <v>0.45307631831814343</v>
      </c>
      <c r="AQ15" s="211">
        <f>SUM($V$10:V15)+Purchases!M9</f>
        <v>0</v>
      </c>
      <c r="AR15" s="212">
        <f>SUM($W$10:W15)+Purchases!N9</f>
        <v>0</v>
      </c>
      <c r="AT15" s="215"/>
    </row>
    <row r="16" spans="1:46" s="160" customFormat="1" ht="13.2" collapsed="1">
      <c r="A16" s="270">
        <f t="shared" si="12"/>
        <v>2028</v>
      </c>
      <c r="B16" s="182" t="e">
        <f>#REF!</f>
        <v>#REF!</v>
      </c>
      <c r="C16" s="182" t="e">
        <f>#REF!</f>
        <v>#REF!</v>
      </c>
      <c r="D16" s="183" t="e">
        <f>#REF!</f>
        <v>#REF!</v>
      </c>
      <c r="E16" s="182" t="e">
        <f>#REF!</f>
        <v>#REF!</v>
      </c>
      <c r="F16" s="216">
        <v>3436.66</v>
      </c>
      <c r="G16" s="217">
        <v>2651.63</v>
      </c>
      <c r="H16" s="218">
        <v>0</v>
      </c>
      <c r="I16" s="187">
        <v>80</v>
      </c>
      <c r="J16" s="219">
        <f t="shared" si="10"/>
        <v>3436.66</v>
      </c>
      <c r="K16" s="189">
        <f t="shared" si="11"/>
        <v>2731.63</v>
      </c>
      <c r="L16" s="215">
        <f>Generation!Z12+Purchases!M10</f>
        <v>3434.3</v>
      </c>
      <c r="M16" s="215">
        <f>Generation!AA12+Purchases!N10</f>
        <v>3132.3</v>
      </c>
      <c r="N16" s="191"/>
      <c r="O16" s="192"/>
      <c r="P16" s="193">
        <f t="shared" si="0"/>
        <v>2.3599999999996726</v>
      </c>
      <c r="Q16" s="194">
        <f t="shared" si="1"/>
        <v>-400.67000000000007</v>
      </c>
      <c r="R16" s="280"/>
      <c r="S16" s="196"/>
      <c r="T16" s="197"/>
      <c r="U16" s="196"/>
      <c r="V16" s="198"/>
      <c r="W16" s="199"/>
      <c r="X16" s="255"/>
      <c r="Y16" s="196"/>
      <c r="Z16" s="200"/>
      <c r="AA16" s="201"/>
      <c r="AB16" s="202">
        <f t="shared" si="13"/>
        <v>0</v>
      </c>
      <c r="AC16" s="203">
        <f t="shared" si="14"/>
        <v>0</v>
      </c>
      <c r="AD16" s="204">
        <f t="shared" si="2"/>
        <v>3434.3</v>
      </c>
      <c r="AE16" s="205">
        <f t="shared" si="3"/>
        <v>3132.3</v>
      </c>
      <c r="AF16" s="210">
        <f t="shared" si="4"/>
        <v>0</v>
      </c>
      <c r="AG16" s="223">
        <f t="shared" si="5"/>
        <v>0</v>
      </c>
      <c r="AH16" s="208">
        <f t="shared" si="6"/>
        <v>-6.8671326229530205E-4</v>
      </c>
      <c r="AI16" s="209">
        <f t="shared" si="7"/>
        <v>0.18127340541478265</v>
      </c>
      <c r="AK16" s="210">
        <f>SUM($X$10:X16)+Generation!S12</f>
        <v>1687</v>
      </c>
      <c r="AL16" s="210">
        <f>SUM($Y$10:Y16)+Generation!S12</f>
        <v>1687</v>
      </c>
      <c r="AM16" s="220">
        <f>SUM($R$10:R16)+SUM($T$10:T16)+Generation!T12</f>
        <v>1556</v>
      </c>
      <c r="AN16" s="221">
        <f>SUM($R$10:S16)+SUM($T$10:U16)+Generation!U12</f>
        <v>1254</v>
      </c>
      <c r="AO16" s="213">
        <f t="shared" si="8"/>
        <v>0.49122091838220305</v>
      </c>
      <c r="AP16" s="214">
        <f t="shared" si="9"/>
        <v>0.45307631831814343</v>
      </c>
      <c r="AQ16" s="220">
        <f>SUM($V$10:V16)+Purchases!M10</f>
        <v>0</v>
      </c>
      <c r="AR16" s="221">
        <f>SUM($W$10:W16)+Purchases!N10</f>
        <v>0</v>
      </c>
      <c r="AT16" s="215"/>
    </row>
    <row r="17" spans="1:46" s="160" customFormat="1" ht="13.2" collapsed="1">
      <c r="A17" s="270">
        <f t="shared" si="12"/>
        <v>2029</v>
      </c>
      <c r="B17" s="182" t="e">
        <f>#REF!</f>
        <v>#REF!</v>
      </c>
      <c r="C17" s="182" t="e">
        <f>#REF!</f>
        <v>#REF!</v>
      </c>
      <c r="D17" s="183" t="e">
        <f>#REF!</f>
        <v>#REF!</v>
      </c>
      <c r="E17" s="182" t="e">
        <f>#REF!</f>
        <v>#REF!</v>
      </c>
      <c r="F17" s="216">
        <v>3446.57</v>
      </c>
      <c r="G17" s="217">
        <v>2667.93</v>
      </c>
      <c r="H17" s="218">
        <v>0</v>
      </c>
      <c r="I17" s="187">
        <v>80</v>
      </c>
      <c r="J17" s="219">
        <f t="shared" si="10"/>
        <v>3446.57</v>
      </c>
      <c r="K17" s="189">
        <f t="shared" si="11"/>
        <v>2747.93</v>
      </c>
      <c r="L17" s="215">
        <f>Generation!Z13+Purchases!M11</f>
        <v>3434.3</v>
      </c>
      <c r="M17" s="215">
        <f>Generation!AA13+Purchases!N11</f>
        <v>3132.3</v>
      </c>
      <c r="N17" s="191"/>
      <c r="O17" s="192"/>
      <c r="P17" s="193">
        <f t="shared" si="0"/>
        <v>12.269999999999982</v>
      </c>
      <c r="Q17" s="194">
        <f t="shared" si="1"/>
        <v>-384.37000000000035</v>
      </c>
      <c r="R17" s="280"/>
      <c r="S17" s="196"/>
      <c r="T17" s="197"/>
      <c r="U17" s="196"/>
      <c r="V17" s="198"/>
      <c r="W17" s="199"/>
      <c r="X17" s="255"/>
      <c r="Y17" s="196"/>
      <c r="Z17" s="200"/>
      <c r="AA17" s="201"/>
      <c r="AB17" s="202">
        <f t="shared" si="13"/>
        <v>0</v>
      </c>
      <c r="AC17" s="203">
        <f t="shared" si="14"/>
        <v>0</v>
      </c>
      <c r="AD17" s="204">
        <f t="shared" si="2"/>
        <v>3434.3</v>
      </c>
      <c r="AE17" s="205">
        <f t="shared" si="3"/>
        <v>3132.3</v>
      </c>
      <c r="AF17" s="210">
        <f t="shared" si="4"/>
        <v>0</v>
      </c>
      <c r="AG17" s="223">
        <f t="shared" si="5"/>
        <v>0</v>
      </c>
      <c r="AH17" s="208">
        <f t="shared" si="6"/>
        <v>-3.5600611622569334E-3</v>
      </c>
      <c r="AI17" s="209">
        <f t="shared" si="7"/>
        <v>0.1740562908322183</v>
      </c>
      <c r="AK17" s="210">
        <f>SUM($X$10:X17)+Generation!S13</f>
        <v>1687</v>
      </c>
      <c r="AL17" s="210">
        <f>SUM($Y$10:Y17)+Generation!S13</f>
        <v>1687</v>
      </c>
      <c r="AM17" s="220">
        <f>SUM($R$10:R17)+SUM($T$10:T17)+Generation!T13</f>
        <v>1556</v>
      </c>
      <c r="AN17" s="221">
        <f>SUM($R$10:S17)+SUM($T$10:U17)+Generation!U13</f>
        <v>1254</v>
      </c>
      <c r="AO17" s="213">
        <f t="shared" si="8"/>
        <v>0.49122091838220305</v>
      </c>
      <c r="AP17" s="214">
        <f t="shared" si="9"/>
        <v>0.45307631831814343</v>
      </c>
      <c r="AQ17" s="220">
        <f>SUM($V$10:V17)+Purchases!M11</f>
        <v>0</v>
      </c>
      <c r="AR17" s="221">
        <f>SUM($W$10:W17)+Purchases!N11</f>
        <v>0</v>
      </c>
      <c r="AT17" s="215"/>
    </row>
    <row r="18" spans="1:46" s="160" customFormat="1" ht="13.2">
      <c r="A18" s="270">
        <f t="shared" si="12"/>
        <v>2030</v>
      </c>
      <c r="B18" s="182" t="e">
        <f>#REF!</f>
        <v>#REF!</v>
      </c>
      <c r="C18" s="182" t="e">
        <f>#REF!</f>
        <v>#REF!</v>
      </c>
      <c r="D18" s="183" t="e">
        <f>#REF!</f>
        <v>#REF!</v>
      </c>
      <c r="E18" s="182" t="e">
        <f>#REF!</f>
        <v>#REF!</v>
      </c>
      <c r="F18" s="216">
        <v>3456.38</v>
      </c>
      <c r="G18" s="217">
        <v>2680.18</v>
      </c>
      <c r="H18" s="218">
        <v>0</v>
      </c>
      <c r="I18" s="187">
        <v>80</v>
      </c>
      <c r="J18" s="219">
        <f t="shared" si="10"/>
        <v>3456.38</v>
      </c>
      <c r="K18" s="189">
        <f t="shared" si="11"/>
        <v>2760.18</v>
      </c>
      <c r="L18" s="215">
        <f>Generation!Z14+Purchases!M12</f>
        <v>3434.3</v>
      </c>
      <c r="M18" s="215">
        <f>Generation!AA14+Purchases!N12</f>
        <v>3132.3</v>
      </c>
      <c r="N18" s="191"/>
      <c r="O18" s="192"/>
      <c r="P18" s="193">
        <f t="shared" si="0"/>
        <v>22.079999999999927</v>
      </c>
      <c r="Q18" s="194">
        <f t="shared" si="1"/>
        <v>-372.12000000000035</v>
      </c>
      <c r="R18" s="280"/>
      <c r="S18" s="196"/>
      <c r="T18" s="197"/>
      <c r="U18" s="196"/>
      <c r="V18" s="198"/>
      <c r="W18" s="199"/>
      <c r="X18" s="255"/>
      <c r="Y18" s="196"/>
      <c r="Z18" s="200"/>
      <c r="AA18" s="201"/>
      <c r="AB18" s="202">
        <f t="shared" si="13"/>
        <v>0</v>
      </c>
      <c r="AC18" s="203">
        <f t="shared" si="14"/>
        <v>0</v>
      </c>
      <c r="AD18" s="204">
        <f t="shared" si="2"/>
        <v>3434.3</v>
      </c>
      <c r="AE18" s="205">
        <f t="shared" si="3"/>
        <v>3132.3</v>
      </c>
      <c r="AF18" s="210">
        <f t="shared" si="4"/>
        <v>0</v>
      </c>
      <c r="AG18" s="223">
        <f t="shared" si="5"/>
        <v>0</v>
      </c>
      <c r="AH18" s="208">
        <f t="shared" si="6"/>
        <v>-6.3881864841249802E-3</v>
      </c>
      <c r="AI18" s="209">
        <f t="shared" si="7"/>
        <v>0.16869016260101954</v>
      </c>
      <c r="AK18" s="210">
        <f>SUM($X$10:X18)+Generation!S14</f>
        <v>1687</v>
      </c>
      <c r="AL18" s="210">
        <f>SUM($Y$10:Y18)+Generation!S14</f>
        <v>1687</v>
      </c>
      <c r="AM18" s="220">
        <f>SUM($R$10:R18)+SUM($T$10:T18)+Generation!T14</f>
        <v>1556</v>
      </c>
      <c r="AN18" s="221">
        <f>SUM($R$10:S18)+SUM($T$10:U18)+Generation!U14</f>
        <v>1254</v>
      </c>
      <c r="AO18" s="213">
        <f t="shared" si="8"/>
        <v>0.49122091838220305</v>
      </c>
      <c r="AP18" s="214">
        <f t="shared" si="9"/>
        <v>0.45307631831814343</v>
      </c>
      <c r="AQ18" s="220">
        <f>SUM($V$10:V18)+Purchases!M12</f>
        <v>0</v>
      </c>
      <c r="AR18" s="221">
        <f>SUM($W$10:W18)+Purchases!N12</f>
        <v>0</v>
      </c>
      <c r="AT18" s="215"/>
    </row>
    <row r="19" spans="1:46" s="160" customFormat="1" ht="13.2">
      <c r="A19" s="268">
        <f t="shared" si="12"/>
        <v>2031</v>
      </c>
      <c r="B19" s="224" t="e">
        <f>#REF!</f>
        <v>#REF!</v>
      </c>
      <c r="C19" s="225" t="e">
        <f>#REF!</f>
        <v>#REF!</v>
      </c>
      <c r="D19" s="226" t="e">
        <f>#REF!</f>
        <v>#REF!</v>
      </c>
      <c r="E19" s="224" t="e">
        <f>#REF!</f>
        <v>#REF!</v>
      </c>
      <c r="F19" s="227">
        <v>3464.33</v>
      </c>
      <c r="G19" s="228">
        <v>2698.48</v>
      </c>
      <c r="H19" s="229">
        <v>0</v>
      </c>
      <c r="I19" s="230">
        <v>81</v>
      </c>
      <c r="J19" s="231">
        <f t="shared" si="10"/>
        <v>3464.33</v>
      </c>
      <c r="K19" s="232">
        <f t="shared" si="11"/>
        <v>2779.48</v>
      </c>
      <c r="L19" s="233">
        <f>Generation!Z15+Purchases!M13</f>
        <v>3434.3</v>
      </c>
      <c r="M19" s="233">
        <f>Generation!AA15+Purchases!N13</f>
        <v>3132.3</v>
      </c>
      <c r="N19" s="234"/>
      <c r="O19" s="235"/>
      <c r="P19" s="236">
        <f t="shared" si="0"/>
        <v>30.029999999999745</v>
      </c>
      <c r="Q19" s="237">
        <f t="shared" si="1"/>
        <v>-352.82000000000016</v>
      </c>
      <c r="R19" s="281"/>
      <c r="S19" s="239"/>
      <c r="T19" s="240"/>
      <c r="U19" s="240"/>
      <c r="V19" s="241"/>
      <c r="W19" s="242"/>
      <c r="X19" s="238"/>
      <c r="Y19" s="239"/>
      <c r="Z19" s="243"/>
      <c r="AA19" s="244"/>
      <c r="AB19" s="202">
        <f t="shared" si="13"/>
        <v>0</v>
      </c>
      <c r="AC19" s="203">
        <f t="shared" si="14"/>
        <v>0</v>
      </c>
      <c r="AD19" s="245">
        <f t="shared" si="2"/>
        <v>3434.3</v>
      </c>
      <c r="AE19" s="246">
        <f t="shared" si="3"/>
        <v>3132.3</v>
      </c>
      <c r="AF19" s="247">
        <f t="shared" si="4"/>
        <v>30</v>
      </c>
      <c r="AG19" s="248">
        <f t="shared" si="5"/>
        <v>0</v>
      </c>
      <c r="AH19" s="256">
        <f t="shared" si="6"/>
        <v>-8.6683427964425741E-3</v>
      </c>
      <c r="AI19" s="257">
        <f t="shared" si="7"/>
        <v>0.16076457857756976</v>
      </c>
      <c r="AK19" s="247">
        <f>SUM($X$10:X19)+Generation!S15</f>
        <v>1687</v>
      </c>
      <c r="AL19" s="247">
        <f>SUM($Y$10:Y19)+Generation!S15</f>
        <v>1687</v>
      </c>
      <c r="AM19" s="249">
        <f>SUM($R$10:R19)+SUM($T$10:T19)+Generation!T15</f>
        <v>1556</v>
      </c>
      <c r="AN19" s="250">
        <f>SUM($R$10:S19)+SUM($T$10:U19)+Generation!U15</f>
        <v>1254</v>
      </c>
      <c r="AO19" s="251">
        <f t="shared" si="8"/>
        <v>0.49122091838220305</v>
      </c>
      <c r="AP19" s="252">
        <f t="shared" si="9"/>
        <v>0.45307631831814343</v>
      </c>
      <c r="AQ19" s="249">
        <f>SUM($V$10:V19)+Purchases!M13</f>
        <v>0</v>
      </c>
      <c r="AR19" s="250">
        <f>SUM($W$10:W19)+Purchases!N13</f>
        <v>0</v>
      </c>
      <c r="AT19" s="215"/>
    </row>
    <row r="20" spans="1:46" s="160" customFormat="1" ht="13.2">
      <c r="A20" s="270">
        <f t="shared" si="12"/>
        <v>2032</v>
      </c>
      <c r="B20" s="182" t="e">
        <f>#REF!</f>
        <v>#REF!</v>
      </c>
      <c r="C20" s="182" t="e">
        <f>#REF!</f>
        <v>#REF!</v>
      </c>
      <c r="D20" s="183" t="e">
        <f>#REF!</f>
        <v>#REF!</v>
      </c>
      <c r="E20" s="182" t="e">
        <f>#REF!</f>
        <v>#REF!</v>
      </c>
      <c r="F20" s="184">
        <v>3495.31</v>
      </c>
      <c r="G20" s="185">
        <v>2698.49</v>
      </c>
      <c r="H20" s="218">
        <v>0</v>
      </c>
      <c r="I20" s="187">
        <v>81</v>
      </c>
      <c r="J20" s="219">
        <f t="shared" si="10"/>
        <v>3495.31</v>
      </c>
      <c r="K20" s="189">
        <f t="shared" si="11"/>
        <v>2779.49</v>
      </c>
      <c r="L20" s="215">
        <f>Generation!Z16+Purchases!M14</f>
        <v>3434.3</v>
      </c>
      <c r="M20" s="215">
        <f>Generation!AA16+Purchases!N14</f>
        <v>3132.3</v>
      </c>
      <c r="N20" s="191"/>
      <c r="O20" s="192"/>
      <c r="P20" s="193">
        <f t="shared" si="0"/>
        <v>61.009999999999764</v>
      </c>
      <c r="Q20" s="194">
        <f t="shared" si="1"/>
        <v>-352.8100000000004</v>
      </c>
      <c r="R20" s="195"/>
      <c r="S20" s="196"/>
      <c r="T20" s="197"/>
      <c r="U20" s="196"/>
      <c r="V20" s="198"/>
      <c r="W20" s="199"/>
      <c r="X20" s="195"/>
      <c r="Y20" s="196"/>
      <c r="Z20" s="200"/>
      <c r="AA20" s="201"/>
      <c r="AB20" s="202">
        <f t="shared" si="13"/>
        <v>0</v>
      </c>
      <c r="AC20" s="203">
        <f t="shared" si="14"/>
        <v>0</v>
      </c>
      <c r="AD20" s="204">
        <f t="shared" si="2"/>
        <v>3434.3</v>
      </c>
      <c r="AE20" s="205">
        <f t="shared" si="3"/>
        <v>3132.3</v>
      </c>
      <c r="AF20" s="210">
        <f t="shared" si="4"/>
        <v>60</v>
      </c>
      <c r="AG20" s="223">
        <f t="shared" si="5"/>
        <v>0</v>
      </c>
      <c r="AH20" s="208">
        <f t="shared" si="6"/>
        <v>-1.7454818027585417E-2</v>
      </c>
      <c r="AI20" s="209">
        <f t="shared" si="7"/>
        <v>0.16076027704382834</v>
      </c>
      <c r="AK20" s="210">
        <f>SUM($X$10:X20)+Generation!S16</f>
        <v>1687</v>
      </c>
      <c r="AL20" s="210">
        <f>SUM($Y$10:Y20)+Generation!S16</f>
        <v>1687</v>
      </c>
      <c r="AM20" s="220">
        <f>SUM($R$10:R20)+SUM($T$10:T20)+Generation!T16</f>
        <v>1556</v>
      </c>
      <c r="AN20" s="221">
        <f>SUM($R$10:S20)+SUM($T$10:U20)+Generation!U16</f>
        <v>1254</v>
      </c>
      <c r="AO20" s="213">
        <f t="shared" si="8"/>
        <v>0.49122091838220305</v>
      </c>
      <c r="AP20" s="214">
        <f t="shared" si="9"/>
        <v>0.45307631831814343</v>
      </c>
      <c r="AQ20" s="211">
        <f>SUM($V$10:V20)+Purchases!M14</f>
        <v>0</v>
      </c>
      <c r="AR20" s="212">
        <f>SUM($W$10:W20)+Purchases!N14</f>
        <v>0</v>
      </c>
      <c r="AT20" s="215"/>
    </row>
    <row r="21" spans="1:46" s="160" customFormat="1" ht="13.2">
      <c r="A21" s="270">
        <f t="shared" si="12"/>
        <v>2033</v>
      </c>
      <c r="B21" s="182" t="e">
        <f>#REF!</f>
        <v>#REF!</v>
      </c>
      <c r="C21" s="182" t="e">
        <f>#REF!</f>
        <v>#REF!</v>
      </c>
      <c r="D21" s="183" t="e">
        <f>#REF!</f>
        <v>#REF!</v>
      </c>
      <c r="E21" s="182" t="e">
        <f>#REF!</f>
        <v>#REF!</v>
      </c>
      <c r="F21" s="216">
        <v>3496.47</v>
      </c>
      <c r="G21" s="217">
        <v>2726.43</v>
      </c>
      <c r="H21" s="218">
        <v>0</v>
      </c>
      <c r="I21" s="187">
        <v>82</v>
      </c>
      <c r="J21" s="219">
        <f t="shared" si="10"/>
        <v>3496.47</v>
      </c>
      <c r="K21" s="189">
        <f t="shared" si="11"/>
        <v>2808.43</v>
      </c>
      <c r="L21" s="215">
        <f>Generation!Z17+Purchases!M15</f>
        <v>3434.3</v>
      </c>
      <c r="M21" s="215">
        <f>Generation!AA17+Purchases!N15</f>
        <v>3132.3</v>
      </c>
      <c r="N21" s="191"/>
      <c r="O21" s="192"/>
      <c r="P21" s="193">
        <f t="shared" si="0"/>
        <v>62.169999999999618</v>
      </c>
      <c r="Q21" s="194">
        <f t="shared" si="1"/>
        <v>-323.87000000000035</v>
      </c>
      <c r="R21" s="195"/>
      <c r="S21" s="196"/>
      <c r="T21" s="195"/>
      <c r="U21" s="196"/>
      <c r="V21" s="198"/>
      <c r="W21" s="199"/>
      <c r="X21" s="195"/>
      <c r="Y21" s="196"/>
      <c r="Z21" s="200"/>
      <c r="AA21" s="201"/>
      <c r="AB21" s="202">
        <f t="shared" si="13"/>
        <v>0</v>
      </c>
      <c r="AC21" s="203">
        <f t="shared" si="14"/>
        <v>0</v>
      </c>
      <c r="AD21" s="204">
        <f t="shared" si="2"/>
        <v>3434.3</v>
      </c>
      <c r="AE21" s="205">
        <f t="shared" si="3"/>
        <v>3132.3</v>
      </c>
      <c r="AF21" s="210">
        <f t="shared" si="4"/>
        <v>60</v>
      </c>
      <c r="AG21" s="223">
        <f t="shared" si="5"/>
        <v>0</v>
      </c>
      <c r="AH21" s="208">
        <f t="shared" si="6"/>
        <v>-1.7780790339971375E-2</v>
      </c>
      <c r="AI21" s="209">
        <f t="shared" si="7"/>
        <v>0.14886499928477903</v>
      </c>
      <c r="AK21" s="210">
        <f>SUM($X$10:X21)+Generation!S17</f>
        <v>1687</v>
      </c>
      <c r="AL21" s="210">
        <f>SUM($Y$10:Y21)+Generation!S17</f>
        <v>1687</v>
      </c>
      <c r="AM21" s="220">
        <f>SUM($R$10:R21)+SUM($T$10:T21)+Generation!T17</f>
        <v>1556</v>
      </c>
      <c r="AN21" s="221">
        <f>SUM($R$10:S21)+SUM($T$10:U21)+Generation!U17</f>
        <v>1254</v>
      </c>
      <c r="AO21" s="213">
        <f t="shared" si="8"/>
        <v>0.49122091838220305</v>
      </c>
      <c r="AP21" s="214">
        <f t="shared" si="9"/>
        <v>0.45307631831814343</v>
      </c>
      <c r="AQ21" s="220">
        <f>SUM($V$10:V21)+Purchases!M15</f>
        <v>0</v>
      </c>
      <c r="AR21" s="221">
        <f>SUM($W$10:W21)+Purchases!N15</f>
        <v>0</v>
      </c>
      <c r="AT21" s="215"/>
    </row>
    <row r="22" spans="1:46" s="160" customFormat="1" ht="13.2">
      <c r="A22" s="270">
        <f t="shared" si="12"/>
        <v>2034</v>
      </c>
      <c r="B22" s="182" t="e">
        <f>#REF!</f>
        <v>#REF!</v>
      </c>
      <c r="C22" s="182" t="e">
        <f>#REF!</f>
        <v>#REF!</v>
      </c>
      <c r="D22" s="183" t="e">
        <f>#REF!</f>
        <v>#REF!</v>
      </c>
      <c r="E22" s="182" t="e">
        <f>#REF!</f>
        <v>#REF!</v>
      </c>
      <c r="F22" s="216">
        <v>3516.25</v>
      </c>
      <c r="G22" s="217">
        <v>2742.62</v>
      </c>
      <c r="H22" s="218">
        <v>0</v>
      </c>
      <c r="I22" s="187">
        <v>82</v>
      </c>
      <c r="J22" s="219">
        <f t="shared" si="10"/>
        <v>3516.25</v>
      </c>
      <c r="K22" s="189">
        <f t="shared" si="11"/>
        <v>2824.62</v>
      </c>
      <c r="L22" s="215">
        <f>Generation!Z18+Purchases!M16</f>
        <v>3434.3</v>
      </c>
      <c r="M22" s="215">
        <f>Generation!AA18+Purchases!N16</f>
        <v>3132.3</v>
      </c>
      <c r="N22" s="191"/>
      <c r="O22" s="192"/>
      <c r="P22" s="193">
        <f t="shared" si="0"/>
        <v>81.949999999999818</v>
      </c>
      <c r="Q22" s="194">
        <f t="shared" si="1"/>
        <v>-307.68000000000029</v>
      </c>
      <c r="R22" s="195"/>
      <c r="S22" s="222"/>
      <c r="T22" s="195"/>
      <c r="U22" s="196"/>
      <c r="V22" s="198"/>
      <c r="W22" s="199"/>
      <c r="X22" s="195"/>
      <c r="Y22" s="196"/>
      <c r="Z22" s="200"/>
      <c r="AA22" s="201"/>
      <c r="AB22" s="202">
        <f t="shared" si="13"/>
        <v>0</v>
      </c>
      <c r="AC22" s="203">
        <f t="shared" si="14"/>
        <v>0</v>
      </c>
      <c r="AD22" s="204">
        <f t="shared" si="2"/>
        <v>3434.3</v>
      </c>
      <c r="AE22" s="205">
        <f t="shared" si="3"/>
        <v>3132.3</v>
      </c>
      <c r="AF22" s="210">
        <f t="shared" si="4"/>
        <v>80</v>
      </c>
      <c r="AG22" s="223">
        <f t="shared" si="5"/>
        <v>0</v>
      </c>
      <c r="AH22" s="208">
        <f t="shared" si="6"/>
        <v>-2.3306078919303141E-2</v>
      </c>
      <c r="AI22" s="209">
        <f t="shared" si="7"/>
        <v>0.14208311760287629</v>
      </c>
      <c r="AK22" s="210">
        <f>SUM($X$10:X22)+Generation!S18</f>
        <v>1687</v>
      </c>
      <c r="AL22" s="210">
        <f>SUM($Y$10:Y22)+Generation!S18</f>
        <v>1687</v>
      </c>
      <c r="AM22" s="220">
        <f>SUM($R$10:R22)+SUM($T$10:T22)+Generation!T18</f>
        <v>1556</v>
      </c>
      <c r="AN22" s="221">
        <f>SUM($R$10:S22)+SUM($T$10:U22)+Generation!U18</f>
        <v>1254</v>
      </c>
      <c r="AO22" s="213">
        <f t="shared" si="8"/>
        <v>0.49122091838220305</v>
      </c>
      <c r="AP22" s="214">
        <f t="shared" si="9"/>
        <v>0.45307631831814343</v>
      </c>
      <c r="AQ22" s="220">
        <f>SUM($V$10:V22)+Purchases!M16</f>
        <v>0</v>
      </c>
      <c r="AR22" s="221">
        <f>SUM($W$10:W22)+Purchases!N16</f>
        <v>0</v>
      </c>
      <c r="AT22" s="215"/>
    </row>
    <row r="23" spans="1:46" s="160" customFormat="1" ht="13.2">
      <c r="A23" s="270">
        <f t="shared" si="12"/>
        <v>2035</v>
      </c>
      <c r="B23" s="182" t="e">
        <f>#REF!</f>
        <v>#REF!</v>
      </c>
      <c r="C23" s="182" t="e">
        <f>#REF!</f>
        <v>#REF!</v>
      </c>
      <c r="D23" s="183" t="e">
        <f>#REF!</f>
        <v>#REF!</v>
      </c>
      <c r="E23" s="182" t="e">
        <f>#REF!</f>
        <v>#REF!</v>
      </c>
      <c r="F23" s="216">
        <v>3535.46</v>
      </c>
      <c r="G23" s="217">
        <v>2763.98</v>
      </c>
      <c r="H23" s="218">
        <v>0</v>
      </c>
      <c r="I23" s="187">
        <v>83</v>
      </c>
      <c r="J23" s="219">
        <f t="shared" si="10"/>
        <v>3535.46</v>
      </c>
      <c r="K23" s="189">
        <f t="shared" si="11"/>
        <v>2846.98</v>
      </c>
      <c r="L23" s="190">
        <f>Generation!Z19+Purchases!M17</f>
        <v>3434.3</v>
      </c>
      <c r="M23" s="190">
        <f>Generation!AA19+Purchases!N17</f>
        <v>3132.3</v>
      </c>
      <c r="N23" s="191"/>
      <c r="O23" s="192"/>
      <c r="P23" s="193">
        <f t="shared" si="0"/>
        <v>101.15999999999985</v>
      </c>
      <c r="Q23" s="194">
        <f t="shared" si="1"/>
        <v>-285.32000000000016</v>
      </c>
      <c r="R23" s="195"/>
      <c r="S23" s="196"/>
      <c r="T23" s="197"/>
      <c r="U23" s="196"/>
      <c r="V23" s="198"/>
      <c r="W23" s="199"/>
      <c r="X23" s="195"/>
      <c r="Y23" s="196"/>
      <c r="Z23" s="200"/>
      <c r="AA23" s="201"/>
      <c r="AB23" s="202">
        <f t="shared" si="13"/>
        <v>0</v>
      </c>
      <c r="AC23" s="203">
        <f t="shared" si="14"/>
        <v>0</v>
      </c>
      <c r="AD23" s="204">
        <f t="shared" si="2"/>
        <v>3434.3</v>
      </c>
      <c r="AE23" s="205">
        <f t="shared" si="3"/>
        <v>3132.3</v>
      </c>
      <c r="AF23" s="210">
        <f t="shared" si="4"/>
        <v>100</v>
      </c>
      <c r="AG23" s="207">
        <f t="shared" si="5"/>
        <v>0</v>
      </c>
      <c r="AH23" s="208">
        <f t="shared" si="6"/>
        <v>-2.861296691236781E-2</v>
      </c>
      <c r="AI23" s="209">
        <f t="shared" si="7"/>
        <v>0.1332571147403383</v>
      </c>
      <c r="AK23" s="210">
        <f>SUM($X$10:X23)+Generation!S19</f>
        <v>1687</v>
      </c>
      <c r="AL23" s="210">
        <f>SUM($Y$10:Y23)+Generation!S19</f>
        <v>1687</v>
      </c>
      <c r="AM23" s="220">
        <f>SUM($R$10:R23)+SUM($T$10:T23)+Generation!T19</f>
        <v>1556</v>
      </c>
      <c r="AN23" s="221">
        <f>SUM($R$10:S23)+SUM($T$10:U23)+Generation!U19</f>
        <v>1254</v>
      </c>
      <c r="AO23" s="213">
        <f t="shared" si="8"/>
        <v>0.49122091838220305</v>
      </c>
      <c r="AP23" s="214">
        <f t="shared" si="9"/>
        <v>0.45307631831814343</v>
      </c>
      <c r="AQ23" s="220">
        <f>SUM($V$10:V23)+Purchases!M17</f>
        <v>0</v>
      </c>
      <c r="AR23" s="221">
        <f>SUM($W$10:W23)+Purchases!N17</f>
        <v>0</v>
      </c>
      <c r="AT23" s="215"/>
    </row>
    <row r="24" spans="1:46" s="160" customFormat="1" ht="13.2">
      <c r="A24" s="268">
        <f t="shared" si="12"/>
        <v>2036</v>
      </c>
      <c r="B24" s="224" t="e">
        <f>#REF!</f>
        <v>#REF!</v>
      </c>
      <c r="C24" s="225" t="e">
        <f>#REF!</f>
        <v>#REF!</v>
      </c>
      <c r="D24" s="226" t="e">
        <f>#REF!</f>
        <v>#REF!</v>
      </c>
      <c r="E24" s="224" t="e">
        <f>#REF!</f>
        <v>#REF!</v>
      </c>
      <c r="F24" s="227">
        <v>3542.83</v>
      </c>
      <c r="G24" s="228">
        <v>2776.58</v>
      </c>
      <c r="H24" s="229">
        <v>0</v>
      </c>
      <c r="I24" s="230">
        <v>83</v>
      </c>
      <c r="J24" s="231">
        <f t="shared" si="10"/>
        <v>3542.83</v>
      </c>
      <c r="K24" s="232">
        <f t="shared" si="11"/>
        <v>2859.58</v>
      </c>
      <c r="L24" s="258">
        <f>Generation!Z20+Purchases!M18</f>
        <v>3434.3</v>
      </c>
      <c r="M24" s="258">
        <f>Generation!AA20+Purchases!N18</f>
        <v>3132.3</v>
      </c>
      <c r="N24" s="234"/>
      <c r="O24" s="235"/>
      <c r="P24" s="236">
        <f t="shared" si="0"/>
        <v>108.52999999999975</v>
      </c>
      <c r="Q24" s="237">
        <f t="shared" si="1"/>
        <v>-272.72000000000025</v>
      </c>
      <c r="R24" s="238"/>
      <c r="S24" s="239"/>
      <c r="T24" s="240"/>
      <c r="U24" s="239"/>
      <c r="V24" s="241"/>
      <c r="W24" s="242"/>
      <c r="X24" s="238"/>
      <c r="Y24" s="239"/>
      <c r="Z24" s="243"/>
      <c r="AA24" s="244"/>
      <c r="AB24" s="202">
        <f t="shared" si="13"/>
        <v>0</v>
      </c>
      <c r="AC24" s="203">
        <f t="shared" si="14"/>
        <v>0</v>
      </c>
      <c r="AD24" s="245">
        <f t="shared" si="2"/>
        <v>3434.3</v>
      </c>
      <c r="AE24" s="246">
        <f t="shared" si="3"/>
        <v>3132.3</v>
      </c>
      <c r="AF24" s="247">
        <f t="shared" si="4"/>
        <v>110</v>
      </c>
      <c r="AG24" s="259">
        <f t="shared" si="5"/>
        <v>0</v>
      </c>
      <c r="AH24" s="208">
        <f t="shared" si="6"/>
        <v>-3.0633702435623467E-2</v>
      </c>
      <c r="AI24" s="209">
        <f t="shared" si="7"/>
        <v>0.12811444294779917</v>
      </c>
      <c r="AK24" s="247">
        <f>SUM($X$10:X24)+Generation!S20</f>
        <v>1687</v>
      </c>
      <c r="AL24" s="247">
        <f>SUM($Y$10:Y24)+Generation!S20</f>
        <v>1687</v>
      </c>
      <c r="AM24" s="249">
        <f>SUM($R$10:R24)+SUM($T$10:T24)+Generation!T20</f>
        <v>1556</v>
      </c>
      <c r="AN24" s="250">
        <f>SUM($R$10:S24)+SUM($T$10:U24)+Generation!U20</f>
        <v>1254</v>
      </c>
      <c r="AO24" s="251">
        <f t="shared" si="8"/>
        <v>0.49122091838220305</v>
      </c>
      <c r="AP24" s="252">
        <f t="shared" si="9"/>
        <v>0.45307631831814343</v>
      </c>
      <c r="AQ24" s="249">
        <f>SUM($V$10:V24)+Purchases!M18</f>
        <v>0</v>
      </c>
      <c r="AR24" s="250">
        <f>SUM($W$10:W24)+Purchases!N18</f>
        <v>0</v>
      </c>
      <c r="AT24" s="215"/>
    </row>
    <row r="25" spans="1:46">
      <c r="A25" s="149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L25" s="262"/>
      <c r="AM25" s="263"/>
      <c r="AO25" s="264"/>
      <c r="AP25" s="264"/>
    </row>
    <row r="26" spans="1:46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L26" s="262"/>
      <c r="AM26" s="263"/>
      <c r="AO26" s="264"/>
      <c r="AP26" s="264"/>
    </row>
    <row r="27" spans="1:46">
      <c r="A27" s="149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O27" s="264"/>
      <c r="AP27" s="264"/>
    </row>
    <row r="28" spans="1:46">
      <c r="A28" s="149"/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O28" s="264"/>
      <c r="AP28" s="264"/>
    </row>
    <row r="29" spans="1:46">
      <c r="A29" s="149"/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</row>
    <row r="30" spans="1:46">
      <c r="A30" s="149"/>
      <c r="B30" s="149"/>
      <c r="C30" s="149"/>
      <c r="D30" s="149"/>
      <c r="E30" s="149"/>
      <c r="F30" s="149"/>
      <c r="G30" s="149"/>
      <c r="H30" s="149"/>
      <c r="I30" s="265"/>
      <c r="J30" s="149"/>
      <c r="K30" s="149"/>
      <c r="L30" s="149"/>
      <c r="M30" s="149"/>
      <c r="N30" s="149"/>
      <c r="O30" s="149"/>
      <c r="P30" s="149"/>
      <c r="Q30" s="149"/>
      <c r="R30" s="262"/>
      <c r="S30" s="149"/>
      <c r="T30" s="149"/>
      <c r="U30" s="149"/>
      <c r="V30" s="149"/>
      <c r="W30" s="149"/>
      <c r="X30" s="266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</row>
    <row r="31" spans="1:46">
      <c r="A31" s="149"/>
      <c r="B31" s="149"/>
      <c r="C31" s="149"/>
      <c r="D31" s="149"/>
      <c r="E31" s="149"/>
      <c r="F31" s="149"/>
      <c r="G31" s="149"/>
      <c r="H31" s="149"/>
      <c r="I31" s="267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</row>
  </sheetData>
  <mergeCells count="33">
    <mergeCell ref="J8:K8"/>
    <mergeCell ref="L7:M7"/>
    <mergeCell ref="L8:M8"/>
    <mergeCell ref="P7:Q7"/>
    <mergeCell ref="P8:Q8"/>
    <mergeCell ref="F7:G7"/>
    <mergeCell ref="F8:G8"/>
    <mergeCell ref="AF7:AG7"/>
    <mergeCell ref="AD7:AE7"/>
    <mergeCell ref="AB7:AC7"/>
    <mergeCell ref="N7:O7"/>
    <mergeCell ref="H7:I7"/>
    <mergeCell ref="R7:AA7"/>
    <mergeCell ref="J7:K7"/>
    <mergeCell ref="N8:O8"/>
    <mergeCell ref="AB8:AC8"/>
    <mergeCell ref="R8:S8"/>
    <mergeCell ref="T8:U8"/>
    <mergeCell ref="V8:W8"/>
    <mergeCell ref="X8:Y8"/>
    <mergeCell ref="Z8:AA8"/>
    <mergeCell ref="AO5:AS5"/>
    <mergeCell ref="AO7:AP7"/>
    <mergeCell ref="AK7:AL7"/>
    <mergeCell ref="AM7:AN7"/>
    <mergeCell ref="AQ8:AR8"/>
    <mergeCell ref="AQ7:AR7"/>
    <mergeCell ref="AH7:AI7"/>
    <mergeCell ref="AD8:AE8"/>
    <mergeCell ref="AK8:AL8"/>
    <mergeCell ref="AM8:AN8"/>
    <mergeCell ref="AH8:AI8"/>
    <mergeCell ref="AF8:AG8"/>
  </mergeCells>
  <phoneticPr fontId="0" type="noConversion"/>
  <pageMargins left="0.17" right="0.17" top="1" bottom="1" header="0.5" footer="0.5"/>
  <pageSetup scale="65" orientation="landscape" r:id="rId1"/>
  <headerFooter alignWithMargins="0">
    <oddFooter>&amp;L&amp;10&amp;F&amp;R&amp;10Resource Planning
&amp;D</oddFooter>
  </headerFooter>
  <ignoredErrors>
    <ignoredError sqref="AK14:AL14 AM15:AM24 AN1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00B0F0"/>
    <pageSetUpPr fitToPage="1"/>
  </sheetPr>
  <dimension ref="A1:AH24"/>
  <sheetViews>
    <sheetView workbookViewId="0">
      <pane ySplit="5" topLeftCell="A6" activePane="bottomLeft" state="frozen"/>
      <selection pane="bottomLeft" activeCell="AJ1" sqref="AJ1:AN1048576"/>
    </sheetView>
  </sheetViews>
  <sheetFormatPr defaultColWidth="8.90625" defaultRowHeight="13.2"/>
  <cols>
    <col min="1" max="2" width="4.36328125" style="261" bestFit="1" customWidth="1"/>
    <col min="3" max="3" width="4.36328125" style="261" customWidth="1"/>
    <col min="4" max="4" width="4.36328125" style="261" bestFit="1" customWidth="1"/>
    <col min="5" max="5" width="5.1796875" style="261" bestFit="1" customWidth="1"/>
    <col min="6" max="10" width="6.08984375" style="261" bestFit="1" customWidth="1"/>
    <col min="11" max="16" width="4.36328125" style="261" bestFit="1" customWidth="1"/>
    <col min="17" max="18" width="3.453125" style="261" bestFit="1" customWidth="1"/>
    <col min="19" max="19" width="9.6328125" style="261" bestFit="1" customWidth="1"/>
    <col min="20" max="20" width="5.1796875" style="261" customWidth="1"/>
    <col min="21" max="23" width="5.1796875" style="261" bestFit="1" customWidth="1"/>
    <col min="24" max="25" width="4.36328125" style="261" bestFit="1" customWidth="1"/>
    <col min="26" max="27" width="5.1796875" style="261" bestFit="1" customWidth="1"/>
    <col min="28" max="28" width="8.90625" style="261"/>
    <col min="29" max="29" width="4.36328125" style="261" bestFit="1" customWidth="1"/>
    <col min="30" max="30" width="3.453125" style="261" bestFit="1" customWidth="1"/>
    <col min="31" max="31" width="5.81640625" style="261" bestFit="1" customWidth="1"/>
    <col min="32" max="32" width="5.7265625" style="261" bestFit="1" customWidth="1"/>
    <col min="33" max="33" width="5.26953125" style="261" bestFit="1" customWidth="1"/>
    <col min="34" max="34" width="5.54296875" style="261" bestFit="1" customWidth="1"/>
    <col min="35" max="16384" width="8.90625" style="261"/>
  </cols>
  <sheetData>
    <row r="1" spans="1:34">
      <c r="A1" s="515" t="str">
        <f>"Existing Capacity (as of "&amp;'Exp Plan'!A10&amp;")"</f>
        <v>Existing Capacity (as of 2022)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  <c r="R1" s="515"/>
      <c r="S1" s="515"/>
      <c r="T1" s="515"/>
      <c r="U1" s="515"/>
      <c r="V1" s="515"/>
      <c r="W1" s="515"/>
      <c r="X1" s="515"/>
      <c r="Y1" s="515"/>
      <c r="Z1" s="515"/>
      <c r="AA1" s="515"/>
    </row>
    <row r="2" spans="1:34" ht="13.8" thickBot="1"/>
    <row r="3" spans="1:34">
      <c r="A3" s="282"/>
      <c r="B3" s="283"/>
      <c r="C3" s="284"/>
      <c r="D3" s="284"/>
      <c r="E3" s="284"/>
      <c r="F3" s="285" t="s">
        <v>9</v>
      </c>
      <c r="G3" s="286"/>
      <c r="H3" s="287"/>
      <c r="I3" s="288"/>
      <c r="J3" s="287"/>
      <c r="K3" s="476" t="s">
        <v>1</v>
      </c>
      <c r="L3" s="527"/>
      <c r="M3" s="527"/>
      <c r="N3" s="527"/>
      <c r="O3" s="527"/>
      <c r="P3" s="477"/>
      <c r="Q3" s="476" t="s">
        <v>110</v>
      </c>
      <c r="R3" s="477"/>
      <c r="S3" s="289" t="s">
        <v>12</v>
      </c>
      <c r="T3" s="516" t="s">
        <v>53</v>
      </c>
      <c r="U3" s="516"/>
      <c r="V3" s="529" t="s">
        <v>89</v>
      </c>
      <c r="W3" s="530"/>
      <c r="X3" s="525" t="s">
        <v>12</v>
      </c>
      <c r="Y3" s="525"/>
      <c r="Z3" s="519" t="s">
        <v>12</v>
      </c>
      <c r="AA3" s="520"/>
    </row>
    <row r="4" spans="1:34">
      <c r="A4" s="290"/>
      <c r="B4" s="291" t="s">
        <v>2</v>
      </c>
      <c r="C4" s="528" t="s">
        <v>81</v>
      </c>
      <c r="D4" s="528"/>
      <c r="E4" s="181" t="s">
        <v>97</v>
      </c>
      <c r="F4" s="292" t="s">
        <v>105</v>
      </c>
      <c r="G4" s="292" t="s">
        <v>85</v>
      </c>
      <c r="H4" s="292" t="s">
        <v>84</v>
      </c>
      <c r="I4" s="293" t="s">
        <v>8</v>
      </c>
      <c r="J4" s="293" t="s">
        <v>8</v>
      </c>
      <c r="K4" s="521" t="s">
        <v>50</v>
      </c>
      <c r="L4" s="522"/>
      <c r="M4" s="522" t="s">
        <v>51</v>
      </c>
      <c r="N4" s="522"/>
      <c r="O4" s="522" t="s">
        <v>82</v>
      </c>
      <c r="P4" s="523"/>
      <c r="Q4" s="521" t="s">
        <v>50</v>
      </c>
      <c r="R4" s="523"/>
      <c r="S4" s="294" t="s">
        <v>52</v>
      </c>
      <c r="T4" s="524" t="s">
        <v>54</v>
      </c>
      <c r="U4" s="524"/>
      <c r="V4" s="531" t="s">
        <v>119</v>
      </c>
      <c r="W4" s="532"/>
      <c r="X4" s="526" t="s">
        <v>93</v>
      </c>
      <c r="Y4" s="526"/>
      <c r="Z4" s="517" t="s">
        <v>10</v>
      </c>
      <c r="AA4" s="518"/>
    </row>
    <row r="5" spans="1:34">
      <c r="A5" s="295" t="s">
        <v>36</v>
      </c>
      <c r="B5" s="296"/>
      <c r="C5" s="297" t="s">
        <v>3</v>
      </c>
      <c r="D5" s="297" t="s">
        <v>4</v>
      </c>
      <c r="E5" s="297"/>
      <c r="F5" s="297" t="s">
        <v>5</v>
      </c>
      <c r="G5" s="297" t="s">
        <v>118</v>
      </c>
      <c r="H5" s="297" t="s">
        <v>117</v>
      </c>
      <c r="I5" s="297" t="s">
        <v>113</v>
      </c>
      <c r="J5" s="272" t="s">
        <v>49</v>
      </c>
      <c r="K5" s="271" t="s">
        <v>6</v>
      </c>
      <c r="L5" s="297" t="s">
        <v>7</v>
      </c>
      <c r="M5" s="297" t="s">
        <v>6</v>
      </c>
      <c r="N5" s="297" t="s">
        <v>7</v>
      </c>
      <c r="O5" s="297" t="s">
        <v>6</v>
      </c>
      <c r="P5" s="272" t="s">
        <v>7</v>
      </c>
      <c r="Q5" s="297" t="s">
        <v>3</v>
      </c>
      <c r="R5" s="297" t="s">
        <v>4</v>
      </c>
      <c r="S5" s="298"/>
      <c r="T5" s="299" t="s">
        <v>6</v>
      </c>
      <c r="U5" s="299" t="s">
        <v>7</v>
      </c>
      <c r="V5" s="300" t="s">
        <v>6</v>
      </c>
      <c r="W5" s="301" t="s">
        <v>7</v>
      </c>
      <c r="X5" s="302" t="s">
        <v>6</v>
      </c>
      <c r="Y5" s="302" t="s">
        <v>7</v>
      </c>
      <c r="Z5" s="303" t="s">
        <v>6</v>
      </c>
      <c r="AA5" s="304" t="s">
        <v>7</v>
      </c>
      <c r="AC5" s="261" t="s">
        <v>78</v>
      </c>
      <c r="AD5" s="261" t="s">
        <v>94</v>
      </c>
      <c r="AE5" s="261" t="s">
        <v>116</v>
      </c>
      <c r="AF5" s="261" t="s">
        <v>127</v>
      </c>
      <c r="AG5" s="261" t="s">
        <v>128</v>
      </c>
      <c r="AH5" s="261" t="s">
        <v>123</v>
      </c>
    </row>
    <row r="6" spans="1:34">
      <c r="A6" s="282">
        <f>'Exp Plan'!A10</f>
        <v>2022</v>
      </c>
      <c r="B6" s="305">
        <v>170</v>
      </c>
      <c r="C6" s="306">
        <v>16.100000000000001</v>
      </c>
      <c r="D6" s="306">
        <v>16.100000000000001</v>
      </c>
      <c r="E6" s="306">
        <v>5.2</v>
      </c>
      <c r="F6" s="307">
        <f t="shared" ref="F6:F20" si="0">116+225</f>
        <v>341</v>
      </c>
      <c r="G6" s="307">
        <v>300</v>
      </c>
      <c r="H6" s="307">
        <v>510</v>
      </c>
      <c r="I6" s="307">
        <v>268</v>
      </c>
      <c r="J6" s="307">
        <v>268</v>
      </c>
      <c r="K6" s="308">
        <f t="shared" ref="K6:K20" si="1">142*3</f>
        <v>426</v>
      </c>
      <c r="L6" s="309">
        <f t="shared" ref="L6:L20" si="2">104*3</f>
        <v>312</v>
      </c>
      <c r="M6" s="309">
        <f t="shared" ref="M6:M20" si="3">93+88*3</f>
        <v>357</v>
      </c>
      <c r="N6" s="309">
        <f t="shared" ref="N6:N20" si="4">73*4</f>
        <v>292</v>
      </c>
      <c r="O6" s="309">
        <f t="shared" ref="O6:O20" si="5">103*2</f>
        <v>206</v>
      </c>
      <c r="P6" s="309">
        <f t="shared" ref="P6:P20" si="6">75+74</f>
        <v>149</v>
      </c>
      <c r="Q6" s="309">
        <f>189*3</f>
        <v>567</v>
      </c>
      <c r="R6" s="309">
        <f>167*3</f>
        <v>501</v>
      </c>
      <c r="S6" s="310">
        <f t="shared" ref="S6:S20" si="7">SUM(F6:J6)</f>
        <v>1687</v>
      </c>
      <c r="T6" s="311">
        <f t="shared" ref="T6:T20" si="8">SUM(K6,M6,O6,Q6)</f>
        <v>1556</v>
      </c>
      <c r="U6" s="312">
        <f>SUM(L6,N6,P6,R6)</f>
        <v>1254</v>
      </c>
      <c r="V6" s="313">
        <f>S6+T6</f>
        <v>3243</v>
      </c>
      <c r="W6" s="314">
        <f>S6+U6</f>
        <v>2941</v>
      </c>
      <c r="X6" s="315">
        <f t="shared" ref="X6:X20" si="9">SUM(B6,C6,E6)</f>
        <v>191.29999999999998</v>
      </c>
      <c r="Y6" s="316">
        <f t="shared" ref="Y6:Y20" si="10">SUM(B6,D6,E6)</f>
        <v>191.29999999999998</v>
      </c>
      <c r="Z6" s="317">
        <f t="shared" ref="Z6:Z20" si="11">SUM(S6,T6,X6)</f>
        <v>3434.3</v>
      </c>
      <c r="AA6" s="317">
        <f>SUM(S6,U6,Y6)</f>
        <v>3132.3</v>
      </c>
      <c r="AC6" s="318">
        <f>S6/AA6</f>
        <v>0.53858187274526703</v>
      </c>
      <c r="AD6" s="318">
        <f>U6/AA6</f>
        <v>0.40034479455990801</v>
      </c>
      <c r="AE6" s="359">
        <f>E6/AA6</f>
        <v>1.6601219551128563E-3</v>
      </c>
      <c r="AF6" s="360">
        <f>B6/AA6</f>
        <v>5.4273217763304918E-2</v>
      </c>
      <c r="AG6" s="360">
        <f>D6/AA6</f>
        <v>5.1399929764071135E-3</v>
      </c>
      <c r="AH6" s="318">
        <f>Y6/AA6</f>
        <v>6.1073332694824879E-2</v>
      </c>
    </row>
    <row r="7" spans="1:34">
      <c r="A7" s="290">
        <f>A6+1</f>
        <v>2023</v>
      </c>
      <c r="B7" s="305">
        <v>170</v>
      </c>
      <c r="C7" s="306">
        <v>16.100000000000001</v>
      </c>
      <c r="D7" s="306">
        <v>16.100000000000001</v>
      </c>
      <c r="E7" s="306">
        <v>5.2</v>
      </c>
      <c r="F7" s="307">
        <f t="shared" si="0"/>
        <v>341</v>
      </c>
      <c r="G7" s="307">
        <v>300</v>
      </c>
      <c r="H7" s="307">
        <v>510</v>
      </c>
      <c r="I7" s="307">
        <v>268</v>
      </c>
      <c r="J7" s="307">
        <v>268</v>
      </c>
      <c r="K7" s="308">
        <f t="shared" si="1"/>
        <v>426</v>
      </c>
      <c r="L7" s="309">
        <f t="shared" si="2"/>
        <v>312</v>
      </c>
      <c r="M7" s="309">
        <f t="shared" si="3"/>
        <v>357</v>
      </c>
      <c r="N7" s="309">
        <f t="shared" si="4"/>
        <v>292</v>
      </c>
      <c r="O7" s="309">
        <f t="shared" si="5"/>
        <v>206</v>
      </c>
      <c r="P7" s="309">
        <f t="shared" si="6"/>
        <v>149</v>
      </c>
      <c r="Q7" s="309">
        <f>189*3</f>
        <v>567</v>
      </c>
      <c r="R7" s="309">
        <f>167*3</f>
        <v>501</v>
      </c>
      <c r="S7" s="310">
        <f t="shared" si="7"/>
        <v>1687</v>
      </c>
      <c r="T7" s="311">
        <f t="shared" si="8"/>
        <v>1556</v>
      </c>
      <c r="U7" s="312">
        <f t="shared" ref="U7:U20" si="12">SUM(L7,N7,P7,R7)</f>
        <v>1254</v>
      </c>
      <c r="V7" s="313">
        <f t="shared" ref="V7:V20" si="13">S7+T7</f>
        <v>3243</v>
      </c>
      <c r="W7" s="314">
        <f t="shared" ref="W7:W20" si="14">S7+U7</f>
        <v>2941</v>
      </c>
      <c r="X7" s="315">
        <f t="shared" si="9"/>
        <v>191.29999999999998</v>
      </c>
      <c r="Y7" s="316">
        <f t="shared" si="10"/>
        <v>191.29999999999998</v>
      </c>
      <c r="Z7" s="317">
        <f t="shared" si="11"/>
        <v>3434.3</v>
      </c>
      <c r="AA7" s="317">
        <f t="shared" ref="AA7:AA20" si="15">SUM(S7,U7,Y7)</f>
        <v>3132.3</v>
      </c>
      <c r="AC7" s="318">
        <f t="shared" ref="AC7:AC20" si="16">S7/Z7</f>
        <v>0.49122091838220305</v>
      </c>
      <c r="AD7" s="318">
        <f t="shared" ref="AD7:AD20" si="17">T7/Z7</f>
        <v>0.45307631831814343</v>
      </c>
      <c r="AE7" s="359">
        <f t="shared" ref="AE7:AE20" si="18">E7/AA7</f>
        <v>1.6601219551128563E-3</v>
      </c>
      <c r="AF7" s="360">
        <f t="shared" ref="AF7:AF20" si="19">B7/AA7</f>
        <v>5.4273217763304918E-2</v>
      </c>
      <c r="AG7" s="360">
        <f t="shared" ref="AG7:AG20" si="20">D7/AA7</f>
        <v>5.1399929764071135E-3</v>
      </c>
      <c r="AH7" s="318">
        <f t="shared" ref="AH7:AH20" si="21">X7/Z7</f>
        <v>5.5702763299653485E-2</v>
      </c>
    </row>
    <row r="8" spans="1:34">
      <c r="A8" s="290">
        <f t="shared" ref="A8:A20" si="22">A7+1</f>
        <v>2024</v>
      </c>
      <c r="B8" s="305">
        <v>170</v>
      </c>
      <c r="C8" s="306">
        <v>16.100000000000001</v>
      </c>
      <c r="D8" s="306">
        <v>16.100000000000001</v>
      </c>
      <c r="E8" s="306">
        <v>5.2</v>
      </c>
      <c r="F8" s="307">
        <f t="shared" si="0"/>
        <v>341</v>
      </c>
      <c r="G8" s="307">
        <v>300</v>
      </c>
      <c r="H8" s="307">
        <v>510</v>
      </c>
      <c r="I8" s="307">
        <v>268</v>
      </c>
      <c r="J8" s="307">
        <v>268</v>
      </c>
      <c r="K8" s="308">
        <f t="shared" si="1"/>
        <v>426</v>
      </c>
      <c r="L8" s="309">
        <f t="shared" si="2"/>
        <v>312</v>
      </c>
      <c r="M8" s="309">
        <f t="shared" si="3"/>
        <v>357</v>
      </c>
      <c r="N8" s="309">
        <f t="shared" si="4"/>
        <v>292</v>
      </c>
      <c r="O8" s="309">
        <f t="shared" si="5"/>
        <v>206</v>
      </c>
      <c r="P8" s="309">
        <f t="shared" si="6"/>
        <v>149</v>
      </c>
      <c r="Q8" s="309">
        <f>189*3</f>
        <v>567</v>
      </c>
      <c r="R8" s="309">
        <f t="shared" ref="R8:R20" si="23">167*3</f>
        <v>501</v>
      </c>
      <c r="S8" s="310">
        <f t="shared" si="7"/>
        <v>1687</v>
      </c>
      <c r="T8" s="311">
        <f t="shared" si="8"/>
        <v>1556</v>
      </c>
      <c r="U8" s="312">
        <f t="shared" si="12"/>
        <v>1254</v>
      </c>
      <c r="V8" s="313">
        <f t="shared" si="13"/>
        <v>3243</v>
      </c>
      <c r="W8" s="314">
        <f t="shared" si="14"/>
        <v>2941</v>
      </c>
      <c r="X8" s="315">
        <f t="shared" si="9"/>
        <v>191.29999999999998</v>
      </c>
      <c r="Y8" s="316">
        <f t="shared" si="10"/>
        <v>191.29999999999998</v>
      </c>
      <c r="Z8" s="317">
        <f t="shared" si="11"/>
        <v>3434.3</v>
      </c>
      <c r="AA8" s="317">
        <f t="shared" si="15"/>
        <v>3132.3</v>
      </c>
      <c r="AC8" s="318">
        <f t="shared" si="16"/>
        <v>0.49122091838220305</v>
      </c>
      <c r="AD8" s="318">
        <f t="shared" si="17"/>
        <v>0.45307631831814343</v>
      </c>
      <c r="AE8" s="359">
        <f t="shared" si="18"/>
        <v>1.6601219551128563E-3</v>
      </c>
      <c r="AF8" s="360">
        <f t="shared" si="19"/>
        <v>5.4273217763304918E-2</v>
      </c>
      <c r="AG8" s="360">
        <f t="shared" si="20"/>
        <v>5.1399929764071135E-3</v>
      </c>
      <c r="AH8" s="318">
        <f t="shared" si="21"/>
        <v>5.5702763299653485E-2</v>
      </c>
    </row>
    <row r="9" spans="1:34">
      <c r="A9" s="290">
        <f t="shared" si="22"/>
        <v>2025</v>
      </c>
      <c r="B9" s="305">
        <v>170</v>
      </c>
      <c r="C9" s="306">
        <v>16.100000000000001</v>
      </c>
      <c r="D9" s="306">
        <v>16.100000000000001</v>
      </c>
      <c r="E9" s="306">
        <v>5.2</v>
      </c>
      <c r="F9" s="307">
        <f t="shared" si="0"/>
        <v>341</v>
      </c>
      <c r="G9" s="307">
        <v>300</v>
      </c>
      <c r="H9" s="307">
        <v>510</v>
      </c>
      <c r="I9" s="307">
        <v>268</v>
      </c>
      <c r="J9" s="307">
        <v>268</v>
      </c>
      <c r="K9" s="308">
        <f t="shared" si="1"/>
        <v>426</v>
      </c>
      <c r="L9" s="309">
        <f t="shared" si="2"/>
        <v>312</v>
      </c>
      <c r="M9" s="309">
        <f t="shared" si="3"/>
        <v>357</v>
      </c>
      <c r="N9" s="309">
        <f t="shared" si="4"/>
        <v>292</v>
      </c>
      <c r="O9" s="309">
        <f t="shared" si="5"/>
        <v>206</v>
      </c>
      <c r="P9" s="309">
        <f t="shared" si="6"/>
        <v>149</v>
      </c>
      <c r="Q9" s="309">
        <f t="shared" ref="Q9:Q20" si="24">189*3</f>
        <v>567</v>
      </c>
      <c r="R9" s="309">
        <f t="shared" si="23"/>
        <v>501</v>
      </c>
      <c r="S9" s="310">
        <f t="shared" si="7"/>
        <v>1687</v>
      </c>
      <c r="T9" s="311">
        <f t="shared" si="8"/>
        <v>1556</v>
      </c>
      <c r="U9" s="312">
        <f t="shared" si="12"/>
        <v>1254</v>
      </c>
      <c r="V9" s="313">
        <f t="shared" si="13"/>
        <v>3243</v>
      </c>
      <c r="W9" s="314">
        <f t="shared" si="14"/>
        <v>2941</v>
      </c>
      <c r="X9" s="315">
        <f t="shared" si="9"/>
        <v>191.29999999999998</v>
      </c>
      <c r="Y9" s="316">
        <f t="shared" si="10"/>
        <v>191.29999999999998</v>
      </c>
      <c r="Z9" s="317">
        <f t="shared" si="11"/>
        <v>3434.3</v>
      </c>
      <c r="AA9" s="317">
        <f t="shared" si="15"/>
        <v>3132.3</v>
      </c>
      <c r="AC9" s="318">
        <f t="shared" si="16"/>
        <v>0.49122091838220305</v>
      </c>
      <c r="AD9" s="318">
        <f t="shared" si="17"/>
        <v>0.45307631831814343</v>
      </c>
      <c r="AE9" s="359">
        <f t="shared" si="18"/>
        <v>1.6601219551128563E-3</v>
      </c>
      <c r="AF9" s="360">
        <f t="shared" si="19"/>
        <v>5.4273217763304918E-2</v>
      </c>
      <c r="AG9" s="360">
        <f t="shared" si="20"/>
        <v>5.1399929764071135E-3</v>
      </c>
      <c r="AH9" s="318">
        <f t="shared" si="21"/>
        <v>5.5702763299653485E-2</v>
      </c>
    </row>
    <row r="10" spans="1:34">
      <c r="A10" s="290">
        <f t="shared" si="22"/>
        <v>2026</v>
      </c>
      <c r="B10" s="305">
        <v>170</v>
      </c>
      <c r="C10" s="306">
        <v>16.100000000000001</v>
      </c>
      <c r="D10" s="306">
        <v>16.100000000000001</v>
      </c>
      <c r="E10" s="306">
        <v>5.2</v>
      </c>
      <c r="F10" s="307">
        <f t="shared" si="0"/>
        <v>341</v>
      </c>
      <c r="G10" s="307">
        <v>300</v>
      </c>
      <c r="H10" s="307">
        <v>510</v>
      </c>
      <c r="I10" s="307">
        <v>268</v>
      </c>
      <c r="J10" s="307">
        <v>268</v>
      </c>
      <c r="K10" s="308">
        <f t="shared" si="1"/>
        <v>426</v>
      </c>
      <c r="L10" s="309">
        <f t="shared" si="2"/>
        <v>312</v>
      </c>
      <c r="M10" s="309">
        <f t="shared" si="3"/>
        <v>357</v>
      </c>
      <c r="N10" s="309">
        <f t="shared" si="4"/>
        <v>292</v>
      </c>
      <c r="O10" s="309">
        <f t="shared" si="5"/>
        <v>206</v>
      </c>
      <c r="P10" s="309">
        <f t="shared" si="6"/>
        <v>149</v>
      </c>
      <c r="Q10" s="309">
        <f t="shared" si="24"/>
        <v>567</v>
      </c>
      <c r="R10" s="309">
        <f t="shared" si="23"/>
        <v>501</v>
      </c>
      <c r="S10" s="310">
        <f t="shared" si="7"/>
        <v>1687</v>
      </c>
      <c r="T10" s="311">
        <f t="shared" si="8"/>
        <v>1556</v>
      </c>
      <c r="U10" s="312">
        <f t="shared" si="12"/>
        <v>1254</v>
      </c>
      <c r="V10" s="313">
        <f t="shared" si="13"/>
        <v>3243</v>
      </c>
      <c r="W10" s="314">
        <f t="shared" si="14"/>
        <v>2941</v>
      </c>
      <c r="X10" s="315">
        <f t="shared" si="9"/>
        <v>191.29999999999998</v>
      </c>
      <c r="Y10" s="316">
        <f t="shared" si="10"/>
        <v>191.29999999999998</v>
      </c>
      <c r="Z10" s="317">
        <f t="shared" si="11"/>
        <v>3434.3</v>
      </c>
      <c r="AA10" s="317">
        <f t="shared" si="15"/>
        <v>3132.3</v>
      </c>
      <c r="AC10" s="318">
        <f t="shared" si="16"/>
        <v>0.49122091838220305</v>
      </c>
      <c r="AD10" s="318">
        <f t="shared" si="17"/>
        <v>0.45307631831814343</v>
      </c>
      <c r="AE10" s="359">
        <f t="shared" si="18"/>
        <v>1.6601219551128563E-3</v>
      </c>
      <c r="AF10" s="360">
        <f t="shared" si="19"/>
        <v>5.4273217763304918E-2</v>
      </c>
      <c r="AG10" s="360">
        <f t="shared" si="20"/>
        <v>5.1399929764071135E-3</v>
      </c>
      <c r="AH10" s="318">
        <f t="shared" si="21"/>
        <v>5.5702763299653485E-2</v>
      </c>
    </row>
    <row r="11" spans="1:34">
      <c r="A11" s="290">
        <f t="shared" si="22"/>
        <v>2027</v>
      </c>
      <c r="B11" s="305">
        <v>170</v>
      </c>
      <c r="C11" s="306">
        <v>16.100000000000001</v>
      </c>
      <c r="D11" s="306">
        <v>16.100000000000001</v>
      </c>
      <c r="E11" s="306">
        <v>5.2</v>
      </c>
      <c r="F11" s="307">
        <f t="shared" si="0"/>
        <v>341</v>
      </c>
      <c r="G11" s="307">
        <v>300</v>
      </c>
      <c r="H11" s="307">
        <v>510</v>
      </c>
      <c r="I11" s="307">
        <v>268</v>
      </c>
      <c r="J11" s="307">
        <v>268</v>
      </c>
      <c r="K11" s="308">
        <f t="shared" si="1"/>
        <v>426</v>
      </c>
      <c r="L11" s="309">
        <f t="shared" si="2"/>
        <v>312</v>
      </c>
      <c r="M11" s="309">
        <f t="shared" si="3"/>
        <v>357</v>
      </c>
      <c r="N11" s="309">
        <f t="shared" si="4"/>
        <v>292</v>
      </c>
      <c r="O11" s="309">
        <f t="shared" si="5"/>
        <v>206</v>
      </c>
      <c r="P11" s="309">
        <f t="shared" si="6"/>
        <v>149</v>
      </c>
      <c r="Q11" s="309">
        <f t="shared" si="24"/>
        <v>567</v>
      </c>
      <c r="R11" s="309">
        <f t="shared" si="23"/>
        <v>501</v>
      </c>
      <c r="S11" s="310">
        <f t="shared" si="7"/>
        <v>1687</v>
      </c>
      <c r="T11" s="311">
        <f t="shared" si="8"/>
        <v>1556</v>
      </c>
      <c r="U11" s="312">
        <f t="shared" si="12"/>
        <v>1254</v>
      </c>
      <c r="V11" s="313">
        <f t="shared" si="13"/>
        <v>3243</v>
      </c>
      <c r="W11" s="314">
        <f t="shared" si="14"/>
        <v>2941</v>
      </c>
      <c r="X11" s="315">
        <f t="shared" si="9"/>
        <v>191.29999999999998</v>
      </c>
      <c r="Y11" s="316">
        <f t="shared" si="10"/>
        <v>191.29999999999998</v>
      </c>
      <c r="Z11" s="317">
        <f t="shared" si="11"/>
        <v>3434.3</v>
      </c>
      <c r="AA11" s="317">
        <f t="shared" si="15"/>
        <v>3132.3</v>
      </c>
      <c r="AC11" s="318">
        <f t="shared" si="16"/>
        <v>0.49122091838220305</v>
      </c>
      <c r="AD11" s="318">
        <f t="shared" si="17"/>
        <v>0.45307631831814343</v>
      </c>
      <c r="AE11" s="359">
        <f t="shared" si="18"/>
        <v>1.6601219551128563E-3</v>
      </c>
      <c r="AF11" s="360">
        <f t="shared" si="19"/>
        <v>5.4273217763304918E-2</v>
      </c>
      <c r="AG11" s="360">
        <f t="shared" si="20"/>
        <v>5.1399929764071135E-3</v>
      </c>
      <c r="AH11" s="318">
        <f t="shared" si="21"/>
        <v>5.5702763299653485E-2</v>
      </c>
    </row>
    <row r="12" spans="1:34">
      <c r="A12" s="290">
        <f t="shared" si="22"/>
        <v>2028</v>
      </c>
      <c r="B12" s="305">
        <v>170</v>
      </c>
      <c r="C12" s="306">
        <v>16.100000000000001</v>
      </c>
      <c r="D12" s="306">
        <v>16.100000000000001</v>
      </c>
      <c r="E12" s="306">
        <v>5.2</v>
      </c>
      <c r="F12" s="307">
        <f t="shared" si="0"/>
        <v>341</v>
      </c>
      <c r="G12" s="307">
        <v>300</v>
      </c>
      <c r="H12" s="307">
        <v>510</v>
      </c>
      <c r="I12" s="307">
        <v>268</v>
      </c>
      <c r="J12" s="307">
        <v>268</v>
      </c>
      <c r="K12" s="308">
        <f t="shared" si="1"/>
        <v>426</v>
      </c>
      <c r="L12" s="309">
        <f t="shared" si="2"/>
        <v>312</v>
      </c>
      <c r="M12" s="309">
        <f t="shared" si="3"/>
        <v>357</v>
      </c>
      <c r="N12" s="309">
        <f t="shared" si="4"/>
        <v>292</v>
      </c>
      <c r="O12" s="309">
        <f t="shared" si="5"/>
        <v>206</v>
      </c>
      <c r="P12" s="309">
        <f t="shared" si="6"/>
        <v>149</v>
      </c>
      <c r="Q12" s="309">
        <f t="shared" si="24"/>
        <v>567</v>
      </c>
      <c r="R12" s="309">
        <f t="shared" si="23"/>
        <v>501</v>
      </c>
      <c r="S12" s="310">
        <f t="shared" si="7"/>
        <v>1687</v>
      </c>
      <c r="T12" s="311">
        <f t="shared" si="8"/>
        <v>1556</v>
      </c>
      <c r="U12" s="312">
        <f t="shared" si="12"/>
        <v>1254</v>
      </c>
      <c r="V12" s="313">
        <f t="shared" si="13"/>
        <v>3243</v>
      </c>
      <c r="W12" s="314">
        <f t="shared" si="14"/>
        <v>2941</v>
      </c>
      <c r="X12" s="315">
        <f t="shared" si="9"/>
        <v>191.29999999999998</v>
      </c>
      <c r="Y12" s="316">
        <f t="shared" si="10"/>
        <v>191.29999999999998</v>
      </c>
      <c r="Z12" s="317">
        <f t="shared" si="11"/>
        <v>3434.3</v>
      </c>
      <c r="AA12" s="317">
        <f t="shared" si="15"/>
        <v>3132.3</v>
      </c>
      <c r="AC12" s="318">
        <f t="shared" si="16"/>
        <v>0.49122091838220305</v>
      </c>
      <c r="AD12" s="318">
        <f t="shared" si="17"/>
        <v>0.45307631831814343</v>
      </c>
      <c r="AE12" s="359">
        <f t="shared" si="18"/>
        <v>1.6601219551128563E-3</v>
      </c>
      <c r="AF12" s="360">
        <f t="shared" si="19"/>
        <v>5.4273217763304918E-2</v>
      </c>
      <c r="AG12" s="360">
        <f t="shared" si="20"/>
        <v>5.1399929764071135E-3</v>
      </c>
      <c r="AH12" s="318">
        <f t="shared" si="21"/>
        <v>5.5702763299653485E-2</v>
      </c>
    </row>
    <row r="13" spans="1:34">
      <c r="A13" s="290">
        <f t="shared" si="22"/>
        <v>2029</v>
      </c>
      <c r="B13" s="305">
        <v>170</v>
      </c>
      <c r="C13" s="306">
        <v>16.100000000000001</v>
      </c>
      <c r="D13" s="306">
        <v>16.100000000000001</v>
      </c>
      <c r="E13" s="306">
        <v>5.2</v>
      </c>
      <c r="F13" s="307">
        <f t="shared" si="0"/>
        <v>341</v>
      </c>
      <c r="G13" s="307">
        <v>300</v>
      </c>
      <c r="H13" s="307">
        <v>510</v>
      </c>
      <c r="I13" s="307">
        <v>268</v>
      </c>
      <c r="J13" s="307">
        <v>268</v>
      </c>
      <c r="K13" s="308">
        <f t="shared" si="1"/>
        <v>426</v>
      </c>
      <c r="L13" s="309">
        <f t="shared" si="2"/>
        <v>312</v>
      </c>
      <c r="M13" s="309">
        <f t="shared" si="3"/>
        <v>357</v>
      </c>
      <c r="N13" s="309">
        <f t="shared" si="4"/>
        <v>292</v>
      </c>
      <c r="O13" s="309">
        <f t="shared" si="5"/>
        <v>206</v>
      </c>
      <c r="P13" s="309">
        <f t="shared" si="6"/>
        <v>149</v>
      </c>
      <c r="Q13" s="309">
        <f t="shared" si="24"/>
        <v>567</v>
      </c>
      <c r="R13" s="309">
        <f t="shared" si="23"/>
        <v>501</v>
      </c>
      <c r="S13" s="310">
        <f t="shared" si="7"/>
        <v>1687</v>
      </c>
      <c r="T13" s="311">
        <f t="shared" si="8"/>
        <v>1556</v>
      </c>
      <c r="U13" s="312">
        <f t="shared" si="12"/>
        <v>1254</v>
      </c>
      <c r="V13" s="313">
        <f t="shared" si="13"/>
        <v>3243</v>
      </c>
      <c r="W13" s="314">
        <f t="shared" si="14"/>
        <v>2941</v>
      </c>
      <c r="X13" s="315">
        <f t="shared" si="9"/>
        <v>191.29999999999998</v>
      </c>
      <c r="Y13" s="316">
        <f t="shared" si="10"/>
        <v>191.29999999999998</v>
      </c>
      <c r="Z13" s="317">
        <f t="shared" si="11"/>
        <v>3434.3</v>
      </c>
      <c r="AA13" s="317">
        <f t="shared" si="15"/>
        <v>3132.3</v>
      </c>
      <c r="AC13" s="318">
        <f t="shared" si="16"/>
        <v>0.49122091838220305</v>
      </c>
      <c r="AD13" s="318">
        <f t="shared" si="17"/>
        <v>0.45307631831814343</v>
      </c>
      <c r="AE13" s="359">
        <f t="shared" si="18"/>
        <v>1.6601219551128563E-3</v>
      </c>
      <c r="AF13" s="360">
        <f t="shared" si="19"/>
        <v>5.4273217763304918E-2</v>
      </c>
      <c r="AG13" s="360">
        <f t="shared" si="20"/>
        <v>5.1399929764071135E-3</v>
      </c>
      <c r="AH13" s="318">
        <f t="shared" si="21"/>
        <v>5.5702763299653485E-2</v>
      </c>
    </row>
    <row r="14" spans="1:34">
      <c r="A14" s="290">
        <f t="shared" si="22"/>
        <v>2030</v>
      </c>
      <c r="B14" s="305">
        <v>170</v>
      </c>
      <c r="C14" s="306">
        <v>16.100000000000001</v>
      </c>
      <c r="D14" s="306">
        <v>16.100000000000001</v>
      </c>
      <c r="E14" s="306">
        <v>5.2</v>
      </c>
      <c r="F14" s="307">
        <f t="shared" si="0"/>
        <v>341</v>
      </c>
      <c r="G14" s="307">
        <v>300</v>
      </c>
      <c r="H14" s="307">
        <v>510</v>
      </c>
      <c r="I14" s="307">
        <v>268</v>
      </c>
      <c r="J14" s="307">
        <v>268</v>
      </c>
      <c r="K14" s="308">
        <f t="shared" si="1"/>
        <v>426</v>
      </c>
      <c r="L14" s="309">
        <f t="shared" si="2"/>
        <v>312</v>
      </c>
      <c r="M14" s="309">
        <f t="shared" si="3"/>
        <v>357</v>
      </c>
      <c r="N14" s="309">
        <f t="shared" si="4"/>
        <v>292</v>
      </c>
      <c r="O14" s="309">
        <f t="shared" si="5"/>
        <v>206</v>
      </c>
      <c r="P14" s="309">
        <f t="shared" si="6"/>
        <v>149</v>
      </c>
      <c r="Q14" s="309">
        <f t="shared" si="24"/>
        <v>567</v>
      </c>
      <c r="R14" s="309">
        <f t="shared" si="23"/>
        <v>501</v>
      </c>
      <c r="S14" s="310">
        <f t="shared" si="7"/>
        <v>1687</v>
      </c>
      <c r="T14" s="311">
        <f t="shared" si="8"/>
        <v>1556</v>
      </c>
      <c r="U14" s="312">
        <f t="shared" si="12"/>
        <v>1254</v>
      </c>
      <c r="V14" s="313">
        <f t="shared" si="13"/>
        <v>3243</v>
      </c>
      <c r="W14" s="314">
        <f t="shared" si="14"/>
        <v>2941</v>
      </c>
      <c r="X14" s="315">
        <f t="shared" si="9"/>
        <v>191.29999999999998</v>
      </c>
      <c r="Y14" s="316">
        <f t="shared" si="10"/>
        <v>191.29999999999998</v>
      </c>
      <c r="Z14" s="317">
        <f t="shared" si="11"/>
        <v>3434.3</v>
      </c>
      <c r="AA14" s="317">
        <f t="shared" si="15"/>
        <v>3132.3</v>
      </c>
      <c r="AB14" s="160"/>
      <c r="AC14" s="318">
        <f t="shared" si="16"/>
        <v>0.49122091838220305</v>
      </c>
      <c r="AD14" s="318">
        <f t="shared" si="17"/>
        <v>0.45307631831814343</v>
      </c>
      <c r="AE14" s="359">
        <f t="shared" si="18"/>
        <v>1.6601219551128563E-3</v>
      </c>
      <c r="AF14" s="360">
        <f t="shared" si="19"/>
        <v>5.4273217763304918E-2</v>
      </c>
      <c r="AG14" s="360">
        <f t="shared" si="20"/>
        <v>5.1399929764071135E-3</v>
      </c>
      <c r="AH14" s="318">
        <f t="shared" si="21"/>
        <v>5.5702763299653485E-2</v>
      </c>
    </row>
    <row r="15" spans="1:34">
      <c r="A15" s="290">
        <f t="shared" si="22"/>
        <v>2031</v>
      </c>
      <c r="B15" s="305">
        <v>170</v>
      </c>
      <c r="C15" s="306">
        <v>16.100000000000001</v>
      </c>
      <c r="D15" s="306">
        <v>16.100000000000001</v>
      </c>
      <c r="E15" s="306">
        <v>5.2</v>
      </c>
      <c r="F15" s="307">
        <f t="shared" si="0"/>
        <v>341</v>
      </c>
      <c r="G15" s="307">
        <v>300</v>
      </c>
      <c r="H15" s="307">
        <v>510</v>
      </c>
      <c r="I15" s="307">
        <v>268</v>
      </c>
      <c r="J15" s="307">
        <v>268</v>
      </c>
      <c r="K15" s="308">
        <f t="shared" si="1"/>
        <v>426</v>
      </c>
      <c r="L15" s="309">
        <f t="shared" si="2"/>
        <v>312</v>
      </c>
      <c r="M15" s="309">
        <f t="shared" si="3"/>
        <v>357</v>
      </c>
      <c r="N15" s="309">
        <f t="shared" si="4"/>
        <v>292</v>
      </c>
      <c r="O15" s="309">
        <f t="shared" si="5"/>
        <v>206</v>
      </c>
      <c r="P15" s="309">
        <f t="shared" si="6"/>
        <v>149</v>
      </c>
      <c r="Q15" s="309">
        <f t="shared" si="24"/>
        <v>567</v>
      </c>
      <c r="R15" s="309">
        <f t="shared" si="23"/>
        <v>501</v>
      </c>
      <c r="S15" s="310">
        <f t="shared" si="7"/>
        <v>1687</v>
      </c>
      <c r="T15" s="311">
        <f t="shared" si="8"/>
        <v>1556</v>
      </c>
      <c r="U15" s="312">
        <f t="shared" si="12"/>
        <v>1254</v>
      </c>
      <c r="V15" s="313">
        <f t="shared" si="13"/>
        <v>3243</v>
      </c>
      <c r="W15" s="314">
        <f t="shared" si="14"/>
        <v>2941</v>
      </c>
      <c r="X15" s="315">
        <f t="shared" si="9"/>
        <v>191.29999999999998</v>
      </c>
      <c r="Y15" s="316">
        <f t="shared" si="10"/>
        <v>191.29999999999998</v>
      </c>
      <c r="Z15" s="317">
        <f t="shared" si="11"/>
        <v>3434.3</v>
      </c>
      <c r="AA15" s="317">
        <f t="shared" si="15"/>
        <v>3132.3</v>
      </c>
      <c r="AB15" s="160"/>
      <c r="AC15" s="318">
        <f t="shared" si="16"/>
        <v>0.49122091838220305</v>
      </c>
      <c r="AD15" s="318">
        <f t="shared" si="17"/>
        <v>0.45307631831814343</v>
      </c>
      <c r="AE15" s="359">
        <f t="shared" si="18"/>
        <v>1.6601219551128563E-3</v>
      </c>
      <c r="AF15" s="360">
        <f t="shared" si="19"/>
        <v>5.4273217763304918E-2</v>
      </c>
      <c r="AG15" s="360">
        <f t="shared" si="20"/>
        <v>5.1399929764071135E-3</v>
      </c>
      <c r="AH15" s="318">
        <f t="shared" si="21"/>
        <v>5.5702763299653485E-2</v>
      </c>
    </row>
    <row r="16" spans="1:34">
      <c r="A16" s="290">
        <f t="shared" si="22"/>
        <v>2032</v>
      </c>
      <c r="B16" s="305">
        <v>170</v>
      </c>
      <c r="C16" s="306">
        <v>16.100000000000001</v>
      </c>
      <c r="D16" s="306">
        <v>16.100000000000001</v>
      </c>
      <c r="E16" s="306">
        <v>5.2</v>
      </c>
      <c r="F16" s="307">
        <f t="shared" si="0"/>
        <v>341</v>
      </c>
      <c r="G16" s="307">
        <v>300</v>
      </c>
      <c r="H16" s="307">
        <v>510</v>
      </c>
      <c r="I16" s="307">
        <v>268</v>
      </c>
      <c r="J16" s="307">
        <v>268</v>
      </c>
      <c r="K16" s="308">
        <f t="shared" si="1"/>
        <v>426</v>
      </c>
      <c r="L16" s="309">
        <f t="shared" si="2"/>
        <v>312</v>
      </c>
      <c r="M16" s="309">
        <f t="shared" si="3"/>
        <v>357</v>
      </c>
      <c r="N16" s="309">
        <f t="shared" si="4"/>
        <v>292</v>
      </c>
      <c r="O16" s="309">
        <f t="shared" si="5"/>
        <v>206</v>
      </c>
      <c r="P16" s="309">
        <f t="shared" si="6"/>
        <v>149</v>
      </c>
      <c r="Q16" s="309">
        <f t="shared" si="24"/>
        <v>567</v>
      </c>
      <c r="R16" s="309">
        <f t="shared" si="23"/>
        <v>501</v>
      </c>
      <c r="S16" s="310">
        <f t="shared" si="7"/>
        <v>1687</v>
      </c>
      <c r="T16" s="311">
        <f t="shared" si="8"/>
        <v>1556</v>
      </c>
      <c r="U16" s="312">
        <f t="shared" si="12"/>
        <v>1254</v>
      </c>
      <c r="V16" s="313">
        <f t="shared" si="13"/>
        <v>3243</v>
      </c>
      <c r="W16" s="314">
        <f t="shared" si="14"/>
        <v>2941</v>
      </c>
      <c r="X16" s="315">
        <f t="shared" si="9"/>
        <v>191.29999999999998</v>
      </c>
      <c r="Y16" s="316">
        <f t="shared" si="10"/>
        <v>191.29999999999998</v>
      </c>
      <c r="Z16" s="317">
        <f t="shared" si="11"/>
        <v>3434.3</v>
      </c>
      <c r="AA16" s="317">
        <f t="shared" si="15"/>
        <v>3132.3</v>
      </c>
      <c r="AB16" s="160"/>
      <c r="AC16" s="318">
        <f t="shared" si="16"/>
        <v>0.49122091838220305</v>
      </c>
      <c r="AD16" s="318">
        <f t="shared" si="17"/>
        <v>0.45307631831814343</v>
      </c>
      <c r="AE16" s="359">
        <f t="shared" si="18"/>
        <v>1.6601219551128563E-3</v>
      </c>
      <c r="AF16" s="360">
        <f t="shared" si="19"/>
        <v>5.4273217763304918E-2</v>
      </c>
      <c r="AG16" s="360">
        <f t="shared" si="20"/>
        <v>5.1399929764071135E-3</v>
      </c>
      <c r="AH16" s="318">
        <f t="shared" si="21"/>
        <v>5.5702763299653485E-2</v>
      </c>
    </row>
    <row r="17" spans="1:34">
      <c r="A17" s="290">
        <f t="shared" si="22"/>
        <v>2033</v>
      </c>
      <c r="B17" s="305">
        <v>170</v>
      </c>
      <c r="C17" s="306">
        <v>16.100000000000001</v>
      </c>
      <c r="D17" s="306">
        <v>16.100000000000001</v>
      </c>
      <c r="E17" s="306">
        <v>5.2</v>
      </c>
      <c r="F17" s="307">
        <f t="shared" si="0"/>
        <v>341</v>
      </c>
      <c r="G17" s="307">
        <v>300</v>
      </c>
      <c r="H17" s="307">
        <v>510</v>
      </c>
      <c r="I17" s="307">
        <v>268</v>
      </c>
      <c r="J17" s="307">
        <v>268</v>
      </c>
      <c r="K17" s="308">
        <f t="shared" si="1"/>
        <v>426</v>
      </c>
      <c r="L17" s="309">
        <f t="shared" si="2"/>
        <v>312</v>
      </c>
      <c r="M17" s="309">
        <f t="shared" si="3"/>
        <v>357</v>
      </c>
      <c r="N17" s="309">
        <f t="shared" si="4"/>
        <v>292</v>
      </c>
      <c r="O17" s="309">
        <f t="shared" si="5"/>
        <v>206</v>
      </c>
      <c r="P17" s="309">
        <f t="shared" si="6"/>
        <v>149</v>
      </c>
      <c r="Q17" s="309">
        <f t="shared" si="24"/>
        <v>567</v>
      </c>
      <c r="R17" s="309">
        <f t="shared" si="23"/>
        <v>501</v>
      </c>
      <c r="S17" s="310">
        <f t="shared" si="7"/>
        <v>1687</v>
      </c>
      <c r="T17" s="311">
        <f t="shared" si="8"/>
        <v>1556</v>
      </c>
      <c r="U17" s="312">
        <f t="shared" si="12"/>
        <v>1254</v>
      </c>
      <c r="V17" s="313">
        <f t="shared" si="13"/>
        <v>3243</v>
      </c>
      <c r="W17" s="314">
        <f t="shared" si="14"/>
        <v>2941</v>
      </c>
      <c r="X17" s="315">
        <f t="shared" si="9"/>
        <v>191.29999999999998</v>
      </c>
      <c r="Y17" s="316">
        <f t="shared" si="10"/>
        <v>191.29999999999998</v>
      </c>
      <c r="Z17" s="317">
        <f t="shared" si="11"/>
        <v>3434.3</v>
      </c>
      <c r="AA17" s="317">
        <f t="shared" si="15"/>
        <v>3132.3</v>
      </c>
      <c r="AB17" s="160"/>
      <c r="AC17" s="318">
        <f t="shared" si="16"/>
        <v>0.49122091838220305</v>
      </c>
      <c r="AD17" s="318">
        <f t="shared" si="17"/>
        <v>0.45307631831814343</v>
      </c>
      <c r="AE17" s="359">
        <f t="shared" si="18"/>
        <v>1.6601219551128563E-3</v>
      </c>
      <c r="AF17" s="360">
        <f t="shared" si="19"/>
        <v>5.4273217763304918E-2</v>
      </c>
      <c r="AG17" s="360">
        <f t="shared" si="20"/>
        <v>5.1399929764071135E-3</v>
      </c>
      <c r="AH17" s="318">
        <f t="shared" si="21"/>
        <v>5.5702763299653485E-2</v>
      </c>
    </row>
    <row r="18" spans="1:34">
      <c r="A18" s="290">
        <f t="shared" si="22"/>
        <v>2034</v>
      </c>
      <c r="B18" s="305">
        <v>170</v>
      </c>
      <c r="C18" s="306">
        <v>16.100000000000001</v>
      </c>
      <c r="D18" s="306">
        <v>16.100000000000001</v>
      </c>
      <c r="E18" s="306">
        <v>5.2</v>
      </c>
      <c r="F18" s="307">
        <f t="shared" si="0"/>
        <v>341</v>
      </c>
      <c r="G18" s="307">
        <v>300</v>
      </c>
      <c r="H18" s="307">
        <v>510</v>
      </c>
      <c r="I18" s="307">
        <v>268</v>
      </c>
      <c r="J18" s="307">
        <v>268</v>
      </c>
      <c r="K18" s="308">
        <f t="shared" si="1"/>
        <v>426</v>
      </c>
      <c r="L18" s="309">
        <f t="shared" si="2"/>
        <v>312</v>
      </c>
      <c r="M18" s="309">
        <f t="shared" si="3"/>
        <v>357</v>
      </c>
      <c r="N18" s="309">
        <f t="shared" si="4"/>
        <v>292</v>
      </c>
      <c r="O18" s="309">
        <f t="shared" si="5"/>
        <v>206</v>
      </c>
      <c r="P18" s="309">
        <f t="shared" si="6"/>
        <v>149</v>
      </c>
      <c r="Q18" s="309">
        <f t="shared" si="24"/>
        <v>567</v>
      </c>
      <c r="R18" s="309">
        <f t="shared" si="23"/>
        <v>501</v>
      </c>
      <c r="S18" s="310">
        <f t="shared" si="7"/>
        <v>1687</v>
      </c>
      <c r="T18" s="311">
        <f t="shared" si="8"/>
        <v>1556</v>
      </c>
      <c r="U18" s="312">
        <f t="shared" si="12"/>
        <v>1254</v>
      </c>
      <c r="V18" s="313">
        <f t="shared" si="13"/>
        <v>3243</v>
      </c>
      <c r="W18" s="314">
        <f t="shared" si="14"/>
        <v>2941</v>
      </c>
      <c r="X18" s="315">
        <f t="shared" si="9"/>
        <v>191.29999999999998</v>
      </c>
      <c r="Y18" s="316">
        <f t="shared" si="10"/>
        <v>191.29999999999998</v>
      </c>
      <c r="Z18" s="317">
        <f t="shared" si="11"/>
        <v>3434.3</v>
      </c>
      <c r="AA18" s="317">
        <f t="shared" si="15"/>
        <v>3132.3</v>
      </c>
      <c r="AB18" s="160"/>
      <c r="AC18" s="318">
        <f t="shared" si="16"/>
        <v>0.49122091838220305</v>
      </c>
      <c r="AD18" s="318">
        <f t="shared" si="17"/>
        <v>0.45307631831814343</v>
      </c>
      <c r="AE18" s="359">
        <f t="shared" si="18"/>
        <v>1.6601219551128563E-3</v>
      </c>
      <c r="AF18" s="360">
        <f t="shared" si="19"/>
        <v>5.4273217763304918E-2</v>
      </c>
      <c r="AG18" s="360">
        <f t="shared" si="20"/>
        <v>5.1399929764071135E-3</v>
      </c>
      <c r="AH18" s="318">
        <f t="shared" si="21"/>
        <v>5.5702763299653485E-2</v>
      </c>
    </row>
    <row r="19" spans="1:34">
      <c r="A19" s="290">
        <f t="shared" si="22"/>
        <v>2035</v>
      </c>
      <c r="B19" s="305">
        <v>170</v>
      </c>
      <c r="C19" s="306">
        <v>16.100000000000001</v>
      </c>
      <c r="D19" s="306">
        <v>16.100000000000001</v>
      </c>
      <c r="E19" s="306">
        <v>5.2</v>
      </c>
      <c r="F19" s="307">
        <f t="shared" si="0"/>
        <v>341</v>
      </c>
      <c r="G19" s="307">
        <v>300</v>
      </c>
      <c r="H19" s="307">
        <v>510</v>
      </c>
      <c r="I19" s="307">
        <v>268</v>
      </c>
      <c r="J19" s="307">
        <v>268</v>
      </c>
      <c r="K19" s="308">
        <f t="shared" si="1"/>
        <v>426</v>
      </c>
      <c r="L19" s="309">
        <f t="shared" si="2"/>
        <v>312</v>
      </c>
      <c r="M19" s="309">
        <f t="shared" si="3"/>
        <v>357</v>
      </c>
      <c r="N19" s="309">
        <f t="shared" si="4"/>
        <v>292</v>
      </c>
      <c r="O19" s="309">
        <f t="shared" si="5"/>
        <v>206</v>
      </c>
      <c r="P19" s="309">
        <f t="shared" si="6"/>
        <v>149</v>
      </c>
      <c r="Q19" s="309">
        <f t="shared" si="24"/>
        <v>567</v>
      </c>
      <c r="R19" s="309">
        <f t="shared" si="23"/>
        <v>501</v>
      </c>
      <c r="S19" s="310">
        <f t="shared" si="7"/>
        <v>1687</v>
      </c>
      <c r="T19" s="311">
        <f t="shared" si="8"/>
        <v>1556</v>
      </c>
      <c r="U19" s="312">
        <f t="shared" si="12"/>
        <v>1254</v>
      </c>
      <c r="V19" s="313">
        <f t="shared" si="13"/>
        <v>3243</v>
      </c>
      <c r="W19" s="314">
        <f t="shared" si="14"/>
        <v>2941</v>
      </c>
      <c r="X19" s="315">
        <f t="shared" si="9"/>
        <v>191.29999999999998</v>
      </c>
      <c r="Y19" s="316">
        <f t="shared" si="10"/>
        <v>191.29999999999998</v>
      </c>
      <c r="Z19" s="317">
        <f t="shared" si="11"/>
        <v>3434.3</v>
      </c>
      <c r="AA19" s="317">
        <f t="shared" si="15"/>
        <v>3132.3</v>
      </c>
      <c r="AB19" s="160"/>
      <c r="AC19" s="318">
        <f t="shared" si="16"/>
        <v>0.49122091838220305</v>
      </c>
      <c r="AD19" s="318">
        <f t="shared" si="17"/>
        <v>0.45307631831814343</v>
      </c>
      <c r="AE19" s="359">
        <f t="shared" si="18"/>
        <v>1.6601219551128563E-3</v>
      </c>
      <c r="AF19" s="360">
        <f t="shared" si="19"/>
        <v>5.4273217763304918E-2</v>
      </c>
      <c r="AG19" s="360">
        <f t="shared" si="20"/>
        <v>5.1399929764071135E-3</v>
      </c>
      <c r="AH19" s="318">
        <f t="shared" si="21"/>
        <v>5.5702763299653485E-2</v>
      </c>
    </row>
    <row r="20" spans="1:34">
      <c r="A20" s="290">
        <f t="shared" si="22"/>
        <v>2036</v>
      </c>
      <c r="B20" s="305">
        <v>170</v>
      </c>
      <c r="C20" s="306">
        <v>16.100000000000001</v>
      </c>
      <c r="D20" s="306">
        <v>16.100000000000001</v>
      </c>
      <c r="E20" s="306">
        <v>5.2</v>
      </c>
      <c r="F20" s="307">
        <f t="shared" si="0"/>
        <v>341</v>
      </c>
      <c r="G20" s="307">
        <v>300</v>
      </c>
      <c r="H20" s="307">
        <v>510</v>
      </c>
      <c r="I20" s="307">
        <v>268</v>
      </c>
      <c r="J20" s="307">
        <v>268</v>
      </c>
      <c r="K20" s="308">
        <f t="shared" si="1"/>
        <v>426</v>
      </c>
      <c r="L20" s="309">
        <f t="shared" si="2"/>
        <v>312</v>
      </c>
      <c r="M20" s="309">
        <f t="shared" si="3"/>
        <v>357</v>
      </c>
      <c r="N20" s="309">
        <f t="shared" si="4"/>
        <v>292</v>
      </c>
      <c r="O20" s="309">
        <f t="shared" si="5"/>
        <v>206</v>
      </c>
      <c r="P20" s="309">
        <f t="shared" si="6"/>
        <v>149</v>
      </c>
      <c r="Q20" s="309">
        <f t="shared" si="24"/>
        <v>567</v>
      </c>
      <c r="R20" s="309">
        <f t="shared" si="23"/>
        <v>501</v>
      </c>
      <c r="S20" s="310">
        <f t="shared" si="7"/>
        <v>1687</v>
      </c>
      <c r="T20" s="311">
        <f t="shared" si="8"/>
        <v>1556</v>
      </c>
      <c r="U20" s="312">
        <f t="shared" si="12"/>
        <v>1254</v>
      </c>
      <c r="V20" s="313">
        <f t="shared" si="13"/>
        <v>3243</v>
      </c>
      <c r="W20" s="314">
        <f t="shared" si="14"/>
        <v>2941</v>
      </c>
      <c r="X20" s="315">
        <f t="shared" si="9"/>
        <v>191.29999999999998</v>
      </c>
      <c r="Y20" s="316">
        <f t="shared" si="10"/>
        <v>191.29999999999998</v>
      </c>
      <c r="Z20" s="317">
        <f t="shared" si="11"/>
        <v>3434.3</v>
      </c>
      <c r="AA20" s="317">
        <f t="shared" si="15"/>
        <v>3132.3</v>
      </c>
      <c r="AB20" s="160"/>
      <c r="AC20" s="318">
        <f t="shared" si="16"/>
        <v>0.49122091838220305</v>
      </c>
      <c r="AD20" s="318">
        <f t="shared" si="17"/>
        <v>0.45307631831814343</v>
      </c>
      <c r="AE20" s="359">
        <f t="shared" si="18"/>
        <v>1.6601219551128563E-3</v>
      </c>
      <c r="AF20" s="360">
        <f t="shared" si="19"/>
        <v>5.4273217763304918E-2</v>
      </c>
      <c r="AG20" s="360">
        <f t="shared" si="20"/>
        <v>5.1399929764071135E-3</v>
      </c>
      <c r="AH20" s="318">
        <f t="shared" si="21"/>
        <v>5.5702763299653485E-2</v>
      </c>
    </row>
    <row r="22" spans="1:34">
      <c r="F22" s="190"/>
      <c r="G22" s="190"/>
      <c r="H22" s="190"/>
      <c r="I22" s="190"/>
    </row>
    <row r="24" spans="1:34">
      <c r="AC24" s="318"/>
      <c r="AD24" s="318"/>
      <c r="AE24" s="318"/>
      <c r="AF24" s="318"/>
      <c r="AG24" s="318"/>
    </row>
  </sheetData>
  <mergeCells count="16">
    <mergeCell ref="A1:AA1"/>
    <mergeCell ref="T3:U3"/>
    <mergeCell ref="Z4:AA4"/>
    <mergeCell ref="Z3:AA3"/>
    <mergeCell ref="K4:L4"/>
    <mergeCell ref="M4:N4"/>
    <mergeCell ref="O4:P4"/>
    <mergeCell ref="T4:U4"/>
    <mergeCell ref="X3:Y3"/>
    <mergeCell ref="X4:Y4"/>
    <mergeCell ref="K3:P3"/>
    <mergeCell ref="C4:D4"/>
    <mergeCell ref="Q3:R3"/>
    <mergeCell ref="Q4:R4"/>
    <mergeCell ref="V3:W3"/>
    <mergeCell ref="V4:W4"/>
  </mergeCells>
  <phoneticPr fontId="0" type="noConversion"/>
  <pageMargins left="0.25" right="0.25" top="0.75" bottom="0.75" header="0.3" footer="0.3"/>
  <pageSetup scale="92" orientation="landscape" r:id="rId1"/>
  <headerFooter alignWithMargins="0">
    <oddFooter>&amp;L&amp;10&amp;F &amp;A&amp;R&amp;10Resource Planning
&amp;D</oddFooter>
  </headerFooter>
  <ignoredErrors>
    <ignoredError sqref="K6:K20 F6:F14 F15:F20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B1:P42"/>
  <sheetViews>
    <sheetView workbookViewId="0">
      <selection activeCell="A25" sqref="A25"/>
    </sheetView>
  </sheetViews>
  <sheetFormatPr defaultColWidth="8.90625" defaultRowHeight="15"/>
  <cols>
    <col min="1" max="1" width="2.1796875" style="148" customWidth="1"/>
    <col min="2" max="2" width="4.36328125" style="148" bestFit="1" customWidth="1"/>
    <col min="3" max="5" width="3.90625" style="148" bestFit="1" customWidth="1"/>
    <col min="6" max="6" width="4.36328125" style="148" bestFit="1" customWidth="1"/>
    <col min="7" max="7" width="3.90625" style="148" bestFit="1" customWidth="1"/>
    <col min="8" max="8" width="4.36328125" style="148" bestFit="1" customWidth="1"/>
    <col min="9" max="14" width="3.90625" style="148" bestFit="1" customWidth="1"/>
    <col min="15" max="15" width="5.453125" style="148" customWidth="1"/>
    <col min="16" max="16" width="12.54296875" style="148" bestFit="1" customWidth="1"/>
    <col min="17" max="16384" width="8.90625" style="148"/>
  </cols>
  <sheetData>
    <row r="1" spans="2:16" s="260" customFormat="1" ht="13.2">
      <c r="C1" s="528" t="s">
        <v>90</v>
      </c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</row>
    <row r="2" spans="2:16" ht="40.5" customHeight="1">
      <c r="B2" s="319"/>
      <c r="C2" s="537" t="s">
        <v>42</v>
      </c>
      <c r="D2" s="538"/>
      <c r="E2" s="535" t="s">
        <v>124</v>
      </c>
      <c r="F2" s="536"/>
      <c r="G2" s="535" t="s">
        <v>125</v>
      </c>
      <c r="H2" s="536"/>
      <c r="I2" s="535" t="s">
        <v>77</v>
      </c>
      <c r="J2" s="536"/>
      <c r="K2" s="535" t="s">
        <v>77</v>
      </c>
      <c r="L2" s="536"/>
      <c r="M2" s="533" t="s">
        <v>12</v>
      </c>
      <c r="N2" s="534"/>
      <c r="O2" s="320"/>
    </row>
    <row r="3" spans="2:16" ht="13.5" customHeight="1">
      <c r="B3" s="322" t="s">
        <v>36</v>
      </c>
      <c r="C3" s="323" t="s">
        <v>6</v>
      </c>
      <c r="D3" s="324" t="s">
        <v>7</v>
      </c>
      <c r="E3" s="325" t="s">
        <v>6</v>
      </c>
      <c r="F3" s="326" t="s">
        <v>7</v>
      </c>
      <c r="G3" s="325" t="s">
        <v>6</v>
      </c>
      <c r="H3" s="326" t="s">
        <v>7</v>
      </c>
      <c r="I3" s="325" t="s">
        <v>6</v>
      </c>
      <c r="J3" s="326" t="s">
        <v>7</v>
      </c>
      <c r="K3" s="325" t="s">
        <v>6</v>
      </c>
      <c r="L3" s="326" t="s">
        <v>7</v>
      </c>
      <c r="M3" s="327" t="s">
        <v>6</v>
      </c>
      <c r="N3" s="328" t="s">
        <v>7</v>
      </c>
      <c r="O3" s="329"/>
    </row>
    <row r="4" spans="2:16" ht="13.5" customHeight="1">
      <c r="B4" s="330">
        <f>'Exp Plan'!A10</f>
        <v>2022</v>
      </c>
      <c r="C4" s="331"/>
      <c r="D4" s="332"/>
      <c r="E4" s="333"/>
      <c r="F4" s="334"/>
      <c r="G4" s="333"/>
      <c r="H4" s="334"/>
      <c r="I4" s="335"/>
      <c r="J4" s="336"/>
      <c r="K4" s="337"/>
      <c r="L4" s="338"/>
      <c r="M4" s="339">
        <f t="shared" ref="M4:M23" si="0">C4+E4+G4+I4+K4</f>
        <v>0</v>
      </c>
      <c r="N4" s="340">
        <f t="shared" ref="N4:N23" si="1">D4+F4+H4+J4+L4</f>
        <v>0</v>
      </c>
      <c r="O4" s="341"/>
      <c r="P4" s="358"/>
    </row>
    <row r="5" spans="2:16" ht="13.5" customHeight="1">
      <c r="B5" s="330">
        <f>B4+1</f>
        <v>2023</v>
      </c>
      <c r="C5" s="331"/>
      <c r="D5" s="332"/>
      <c r="E5" s="337"/>
      <c r="F5" s="336"/>
      <c r="G5" s="342"/>
      <c r="H5" s="336"/>
      <c r="I5" s="335"/>
      <c r="J5" s="336"/>
      <c r="K5" s="337"/>
      <c r="L5" s="338"/>
      <c r="M5" s="339">
        <f t="shared" si="0"/>
        <v>0</v>
      </c>
      <c r="N5" s="340">
        <f t="shared" si="1"/>
        <v>0</v>
      </c>
      <c r="O5" s="341"/>
      <c r="P5" s="358"/>
    </row>
    <row r="6" spans="2:16" ht="13.5" customHeight="1">
      <c r="B6" s="330">
        <f t="shared" ref="B6:B23" si="2">B5+1</f>
        <v>2024</v>
      </c>
      <c r="C6" s="331"/>
      <c r="D6" s="332"/>
      <c r="E6" s="337"/>
      <c r="F6" s="336"/>
      <c r="G6" s="342"/>
      <c r="H6" s="336"/>
      <c r="I6" s="335"/>
      <c r="J6" s="336"/>
      <c r="K6" s="337"/>
      <c r="L6" s="338"/>
      <c r="M6" s="339">
        <f t="shared" si="0"/>
        <v>0</v>
      </c>
      <c r="N6" s="340">
        <f t="shared" si="1"/>
        <v>0</v>
      </c>
      <c r="O6" s="341"/>
      <c r="P6" s="358"/>
    </row>
    <row r="7" spans="2:16" ht="13.5" customHeight="1">
      <c r="B7" s="330">
        <f t="shared" si="2"/>
        <v>2025</v>
      </c>
      <c r="C7" s="331"/>
      <c r="D7" s="332"/>
      <c r="E7" s="337"/>
      <c r="F7" s="336"/>
      <c r="G7" s="342"/>
      <c r="H7" s="336"/>
      <c r="I7" s="335"/>
      <c r="J7" s="336"/>
      <c r="K7" s="337"/>
      <c r="L7" s="338"/>
      <c r="M7" s="339">
        <f t="shared" si="0"/>
        <v>0</v>
      </c>
      <c r="N7" s="340">
        <f t="shared" si="1"/>
        <v>0</v>
      </c>
      <c r="O7" s="341"/>
      <c r="P7" s="358"/>
    </row>
    <row r="8" spans="2:16" ht="13.5" customHeight="1">
      <c r="B8" s="330">
        <f t="shared" si="2"/>
        <v>2026</v>
      </c>
      <c r="C8" s="331"/>
      <c r="D8" s="332"/>
      <c r="E8" s="337"/>
      <c r="F8" s="336"/>
      <c r="G8" s="342"/>
      <c r="H8" s="336"/>
      <c r="I8" s="335"/>
      <c r="J8" s="336"/>
      <c r="K8" s="337"/>
      <c r="L8" s="338"/>
      <c r="M8" s="339">
        <f t="shared" si="0"/>
        <v>0</v>
      </c>
      <c r="N8" s="340">
        <f t="shared" si="1"/>
        <v>0</v>
      </c>
      <c r="O8" s="341"/>
      <c r="P8" s="358"/>
    </row>
    <row r="9" spans="2:16" ht="13.5" customHeight="1">
      <c r="B9" s="330">
        <f t="shared" si="2"/>
        <v>2027</v>
      </c>
      <c r="C9" s="331"/>
      <c r="D9" s="332"/>
      <c r="E9" s="337"/>
      <c r="F9" s="336"/>
      <c r="G9" s="342"/>
      <c r="H9" s="336"/>
      <c r="I9" s="335"/>
      <c r="J9" s="336"/>
      <c r="K9" s="337"/>
      <c r="L9" s="338"/>
      <c r="M9" s="339">
        <f t="shared" si="0"/>
        <v>0</v>
      </c>
      <c r="N9" s="340">
        <f t="shared" si="1"/>
        <v>0</v>
      </c>
      <c r="O9" s="341"/>
      <c r="P9" s="358"/>
    </row>
    <row r="10" spans="2:16" ht="13.5" customHeight="1">
      <c r="B10" s="330">
        <f t="shared" si="2"/>
        <v>2028</v>
      </c>
      <c r="C10" s="331"/>
      <c r="D10" s="332"/>
      <c r="E10" s="337"/>
      <c r="F10" s="336"/>
      <c r="G10" s="342"/>
      <c r="H10" s="336"/>
      <c r="I10" s="335"/>
      <c r="J10" s="336"/>
      <c r="K10" s="337"/>
      <c r="L10" s="338"/>
      <c r="M10" s="339">
        <f t="shared" si="0"/>
        <v>0</v>
      </c>
      <c r="N10" s="340">
        <f t="shared" si="1"/>
        <v>0</v>
      </c>
      <c r="O10" s="341"/>
      <c r="P10" s="358"/>
    </row>
    <row r="11" spans="2:16" ht="13.5" customHeight="1">
      <c r="B11" s="330">
        <f t="shared" si="2"/>
        <v>2029</v>
      </c>
      <c r="C11" s="331"/>
      <c r="D11" s="332"/>
      <c r="E11" s="337"/>
      <c r="F11" s="336"/>
      <c r="G11" s="342"/>
      <c r="H11" s="336"/>
      <c r="I11" s="335"/>
      <c r="J11" s="336"/>
      <c r="K11" s="337"/>
      <c r="L11" s="338"/>
      <c r="M11" s="339">
        <f t="shared" si="0"/>
        <v>0</v>
      </c>
      <c r="N11" s="340">
        <f t="shared" si="1"/>
        <v>0</v>
      </c>
      <c r="O11" s="341"/>
      <c r="P11" s="358"/>
    </row>
    <row r="12" spans="2:16" ht="13.5" customHeight="1">
      <c r="B12" s="330">
        <f t="shared" si="2"/>
        <v>2030</v>
      </c>
      <c r="C12" s="331"/>
      <c r="D12" s="332"/>
      <c r="E12" s="337"/>
      <c r="F12" s="336"/>
      <c r="G12" s="342"/>
      <c r="H12" s="336"/>
      <c r="I12" s="335"/>
      <c r="J12" s="336"/>
      <c r="K12" s="337"/>
      <c r="L12" s="338"/>
      <c r="M12" s="339">
        <f t="shared" si="0"/>
        <v>0</v>
      </c>
      <c r="N12" s="340">
        <f t="shared" si="1"/>
        <v>0</v>
      </c>
      <c r="O12" s="341"/>
      <c r="P12" s="358"/>
    </row>
    <row r="13" spans="2:16" ht="13.5" customHeight="1">
      <c r="B13" s="330">
        <f t="shared" si="2"/>
        <v>2031</v>
      </c>
      <c r="C13" s="331"/>
      <c r="D13" s="332"/>
      <c r="E13" s="337"/>
      <c r="F13" s="336"/>
      <c r="G13" s="342"/>
      <c r="H13" s="336"/>
      <c r="I13" s="335"/>
      <c r="J13" s="336"/>
      <c r="K13" s="337"/>
      <c r="L13" s="338"/>
      <c r="M13" s="339">
        <f t="shared" si="0"/>
        <v>0</v>
      </c>
      <c r="N13" s="340">
        <f t="shared" si="1"/>
        <v>0</v>
      </c>
      <c r="O13" s="341"/>
      <c r="P13" s="358"/>
    </row>
    <row r="14" spans="2:16" ht="13.5" customHeight="1">
      <c r="B14" s="330">
        <f t="shared" si="2"/>
        <v>2032</v>
      </c>
      <c r="C14" s="331"/>
      <c r="D14" s="332"/>
      <c r="E14" s="337"/>
      <c r="F14" s="336"/>
      <c r="G14" s="342"/>
      <c r="H14" s="336"/>
      <c r="I14" s="335"/>
      <c r="J14" s="336"/>
      <c r="K14" s="337"/>
      <c r="L14" s="338"/>
      <c r="M14" s="339">
        <f t="shared" si="0"/>
        <v>0</v>
      </c>
      <c r="N14" s="340">
        <f t="shared" si="1"/>
        <v>0</v>
      </c>
      <c r="O14" s="341"/>
      <c r="P14" s="358"/>
    </row>
    <row r="15" spans="2:16" ht="13.5" customHeight="1">
      <c r="B15" s="330">
        <f t="shared" si="2"/>
        <v>2033</v>
      </c>
      <c r="C15" s="331"/>
      <c r="D15" s="332"/>
      <c r="E15" s="337"/>
      <c r="F15" s="336"/>
      <c r="G15" s="342"/>
      <c r="H15" s="336"/>
      <c r="I15" s="335"/>
      <c r="J15" s="336"/>
      <c r="K15" s="337"/>
      <c r="L15" s="338"/>
      <c r="M15" s="339">
        <f t="shared" si="0"/>
        <v>0</v>
      </c>
      <c r="N15" s="340">
        <f t="shared" si="1"/>
        <v>0</v>
      </c>
      <c r="O15" s="341"/>
      <c r="P15" s="358"/>
    </row>
    <row r="16" spans="2:16" ht="13.5" customHeight="1">
      <c r="B16" s="330">
        <f t="shared" si="2"/>
        <v>2034</v>
      </c>
      <c r="C16" s="331"/>
      <c r="D16" s="332"/>
      <c r="E16" s="337"/>
      <c r="F16" s="336"/>
      <c r="G16" s="342"/>
      <c r="H16" s="336"/>
      <c r="I16" s="335"/>
      <c r="J16" s="336"/>
      <c r="K16" s="337"/>
      <c r="L16" s="338"/>
      <c r="M16" s="339">
        <f t="shared" si="0"/>
        <v>0</v>
      </c>
      <c r="N16" s="340">
        <f t="shared" si="1"/>
        <v>0</v>
      </c>
      <c r="O16" s="341"/>
      <c r="P16" s="358"/>
    </row>
    <row r="17" spans="2:16" ht="13.5" customHeight="1">
      <c r="B17" s="330">
        <f t="shared" si="2"/>
        <v>2035</v>
      </c>
      <c r="C17" s="331"/>
      <c r="D17" s="332"/>
      <c r="E17" s="337"/>
      <c r="F17" s="336"/>
      <c r="G17" s="342"/>
      <c r="H17" s="336"/>
      <c r="I17" s="335"/>
      <c r="J17" s="336"/>
      <c r="K17" s="335"/>
      <c r="L17" s="338"/>
      <c r="M17" s="339">
        <f t="shared" si="0"/>
        <v>0</v>
      </c>
      <c r="N17" s="340">
        <f t="shared" si="1"/>
        <v>0</v>
      </c>
      <c r="O17" s="341"/>
      <c r="P17" s="358"/>
    </row>
    <row r="18" spans="2:16" ht="13.5" customHeight="1">
      <c r="B18" s="330">
        <f t="shared" si="2"/>
        <v>2036</v>
      </c>
      <c r="C18" s="331"/>
      <c r="D18" s="332"/>
      <c r="E18" s="337"/>
      <c r="F18" s="336"/>
      <c r="G18" s="342"/>
      <c r="H18" s="336"/>
      <c r="I18" s="335"/>
      <c r="J18" s="336"/>
      <c r="K18" s="337"/>
      <c r="L18" s="338"/>
      <c r="M18" s="339">
        <f t="shared" si="0"/>
        <v>0</v>
      </c>
      <c r="N18" s="340">
        <f t="shared" si="1"/>
        <v>0</v>
      </c>
      <c r="O18" s="341"/>
      <c r="P18" s="358"/>
    </row>
    <row r="19" spans="2:16" ht="13.5" customHeight="1">
      <c r="B19" s="330">
        <f t="shared" si="2"/>
        <v>2037</v>
      </c>
      <c r="C19" s="331"/>
      <c r="D19" s="332"/>
      <c r="E19" s="337"/>
      <c r="F19" s="336"/>
      <c r="G19" s="342"/>
      <c r="H19" s="336"/>
      <c r="I19" s="343"/>
      <c r="J19" s="344"/>
      <c r="K19" s="345"/>
      <c r="L19" s="344"/>
      <c r="M19" s="339">
        <f t="shared" si="0"/>
        <v>0</v>
      </c>
      <c r="N19" s="340">
        <f t="shared" si="1"/>
        <v>0</v>
      </c>
      <c r="O19" s="346"/>
      <c r="P19" s="358"/>
    </row>
    <row r="20" spans="2:16" ht="13.5" customHeight="1">
      <c r="B20" s="330">
        <f t="shared" si="2"/>
        <v>2038</v>
      </c>
      <c r="C20" s="331"/>
      <c r="D20" s="332"/>
      <c r="E20" s="337"/>
      <c r="F20" s="336"/>
      <c r="G20" s="342"/>
      <c r="H20" s="336"/>
      <c r="I20" s="343"/>
      <c r="J20" s="344"/>
      <c r="K20" s="345"/>
      <c r="L20" s="344"/>
      <c r="M20" s="339">
        <f t="shared" si="0"/>
        <v>0</v>
      </c>
      <c r="N20" s="340">
        <f t="shared" si="1"/>
        <v>0</v>
      </c>
      <c r="O20" s="346"/>
      <c r="P20" s="358"/>
    </row>
    <row r="21" spans="2:16" ht="13.5" customHeight="1">
      <c r="B21" s="330">
        <f t="shared" si="2"/>
        <v>2039</v>
      </c>
      <c r="C21" s="331"/>
      <c r="D21" s="332"/>
      <c r="E21" s="337"/>
      <c r="F21" s="336"/>
      <c r="G21" s="342"/>
      <c r="H21" s="336"/>
      <c r="I21" s="343"/>
      <c r="J21" s="344"/>
      <c r="K21" s="345"/>
      <c r="L21" s="344"/>
      <c r="M21" s="339">
        <f t="shared" si="0"/>
        <v>0</v>
      </c>
      <c r="N21" s="340">
        <f t="shared" si="1"/>
        <v>0</v>
      </c>
      <c r="O21" s="346"/>
      <c r="P21" s="358"/>
    </row>
    <row r="22" spans="2:16" ht="13.5" customHeight="1">
      <c r="B22" s="330">
        <f t="shared" si="2"/>
        <v>2040</v>
      </c>
      <c r="C22" s="331"/>
      <c r="D22" s="332"/>
      <c r="E22" s="337"/>
      <c r="F22" s="336"/>
      <c r="G22" s="342"/>
      <c r="H22" s="336"/>
      <c r="I22" s="343"/>
      <c r="J22" s="344"/>
      <c r="K22" s="345"/>
      <c r="L22" s="344"/>
      <c r="M22" s="339">
        <f t="shared" si="0"/>
        <v>0</v>
      </c>
      <c r="N22" s="340">
        <f t="shared" si="1"/>
        <v>0</v>
      </c>
      <c r="O22" s="346"/>
      <c r="P22" s="358"/>
    </row>
    <row r="23" spans="2:16" ht="13.5" customHeight="1">
      <c r="B23" s="330">
        <f t="shared" si="2"/>
        <v>2041</v>
      </c>
      <c r="C23" s="347"/>
      <c r="D23" s="348"/>
      <c r="E23" s="337"/>
      <c r="F23" s="336"/>
      <c r="G23" s="349"/>
      <c r="H23" s="350"/>
      <c r="I23" s="351"/>
      <c r="J23" s="352"/>
      <c r="K23" s="353"/>
      <c r="L23" s="352"/>
      <c r="M23" s="354">
        <f t="shared" si="0"/>
        <v>0</v>
      </c>
      <c r="N23" s="355">
        <f t="shared" si="1"/>
        <v>0</v>
      </c>
      <c r="O23" s="321"/>
      <c r="P23" s="358"/>
    </row>
    <row r="24" spans="2:16">
      <c r="B24" s="356"/>
      <c r="C24" s="329"/>
      <c r="D24" s="357"/>
      <c r="E24" s="321"/>
      <c r="F24" s="321"/>
      <c r="G24" s="321"/>
      <c r="H24" s="321"/>
      <c r="I24" s="321"/>
      <c r="J24" s="321"/>
      <c r="K24" s="321"/>
      <c r="L24" s="321"/>
      <c r="N24" s="321"/>
      <c r="O24" s="321"/>
    </row>
    <row r="25" spans="2:16">
      <c r="B25" s="152"/>
      <c r="C25" s="321"/>
      <c r="D25" s="321"/>
      <c r="E25" s="321"/>
      <c r="F25" s="321"/>
      <c r="G25" s="321"/>
      <c r="H25" s="321"/>
      <c r="I25" s="321"/>
      <c r="J25" s="321"/>
      <c r="K25" s="321"/>
      <c r="L25" s="321"/>
    </row>
    <row r="26" spans="2:16">
      <c r="C26" s="321"/>
      <c r="D26" s="321"/>
      <c r="E26" s="321"/>
      <c r="F26" s="321"/>
      <c r="G26" s="321"/>
      <c r="H26" s="321"/>
      <c r="I26" s="321"/>
      <c r="J26" s="321"/>
      <c r="K26" s="321"/>
      <c r="L26" s="321"/>
    </row>
    <row r="27" spans="2:16">
      <c r="C27" s="321"/>
      <c r="D27" s="321"/>
      <c r="E27" s="321"/>
      <c r="F27" s="321"/>
      <c r="G27" s="321"/>
      <c r="H27" s="321"/>
      <c r="I27" s="321"/>
      <c r="J27" s="321"/>
      <c r="K27" s="321"/>
      <c r="L27" s="321"/>
    </row>
    <row r="28" spans="2:16">
      <c r="C28" s="321"/>
      <c r="D28" s="321"/>
      <c r="E28" s="321"/>
      <c r="F28" s="321"/>
      <c r="G28" s="321"/>
      <c r="H28" s="321"/>
      <c r="I28" s="321"/>
      <c r="J28" s="321"/>
      <c r="K28" s="321"/>
      <c r="L28" s="321"/>
    </row>
    <row r="29" spans="2:16">
      <c r="C29" s="321"/>
      <c r="D29" s="321"/>
      <c r="E29" s="321"/>
      <c r="F29" s="321"/>
      <c r="G29" s="321"/>
      <c r="H29" s="321"/>
      <c r="I29" s="321"/>
      <c r="J29" s="321"/>
      <c r="K29" s="321"/>
      <c r="L29" s="321"/>
    </row>
    <row r="30" spans="2:16">
      <c r="C30" s="321"/>
      <c r="D30" s="321"/>
      <c r="E30" s="321"/>
      <c r="F30" s="321"/>
      <c r="G30" s="321"/>
      <c r="H30" s="321"/>
      <c r="I30" s="321"/>
      <c r="J30" s="321"/>
      <c r="K30" s="321"/>
      <c r="L30" s="321"/>
    </row>
    <row r="31" spans="2:16">
      <c r="C31" s="321"/>
      <c r="D31" s="321"/>
      <c r="E31" s="321"/>
      <c r="F31" s="321"/>
      <c r="G31" s="321"/>
      <c r="H31" s="321"/>
      <c r="I31" s="321"/>
      <c r="J31" s="321"/>
      <c r="K31" s="321"/>
      <c r="L31" s="321"/>
    </row>
    <row r="32" spans="2:16">
      <c r="C32" s="321"/>
      <c r="D32" s="321"/>
      <c r="E32" s="321"/>
      <c r="F32" s="321"/>
      <c r="G32" s="321"/>
      <c r="H32" s="321"/>
      <c r="I32" s="321"/>
      <c r="J32" s="321"/>
      <c r="K32" s="321"/>
      <c r="L32" s="321"/>
    </row>
    <row r="33" spans="3:12">
      <c r="C33" s="321"/>
      <c r="D33" s="321"/>
      <c r="E33" s="321"/>
      <c r="F33" s="321"/>
      <c r="G33" s="321"/>
      <c r="H33" s="321"/>
      <c r="I33" s="321"/>
      <c r="J33" s="321"/>
      <c r="K33" s="321"/>
      <c r="L33" s="321"/>
    </row>
    <row r="34" spans="3:12">
      <c r="C34" s="321"/>
      <c r="D34" s="321"/>
      <c r="E34" s="321"/>
      <c r="F34" s="321"/>
      <c r="G34" s="321"/>
      <c r="H34" s="321"/>
      <c r="I34" s="321"/>
      <c r="J34" s="321"/>
      <c r="K34" s="321"/>
      <c r="L34" s="321"/>
    </row>
    <row r="35" spans="3:12">
      <c r="C35" s="321"/>
      <c r="D35" s="321"/>
      <c r="E35" s="321"/>
      <c r="F35" s="321"/>
      <c r="G35" s="321"/>
      <c r="H35" s="321"/>
      <c r="I35" s="321"/>
      <c r="J35" s="321"/>
      <c r="K35" s="321"/>
      <c r="L35" s="321"/>
    </row>
    <row r="36" spans="3:12">
      <c r="C36" s="321"/>
      <c r="D36" s="321"/>
      <c r="E36" s="321"/>
      <c r="F36" s="321"/>
      <c r="G36" s="321"/>
      <c r="H36" s="321"/>
      <c r="I36" s="321"/>
      <c r="J36" s="321"/>
      <c r="K36" s="321"/>
      <c r="L36" s="321"/>
    </row>
    <row r="37" spans="3:12">
      <c r="C37" s="321"/>
      <c r="D37" s="321"/>
      <c r="E37" s="321"/>
      <c r="F37" s="321"/>
      <c r="G37" s="321"/>
      <c r="H37" s="321"/>
      <c r="I37" s="321"/>
      <c r="J37" s="321"/>
      <c r="K37" s="321"/>
      <c r="L37" s="321"/>
    </row>
    <row r="38" spans="3:12">
      <c r="C38" s="321"/>
      <c r="D38" s="321"/>
      <c r="E38" s="321"/>
      <c r="F38" s="321"/>
      <c r="G38" s="321"/>
      <c r="H38" s="321"/>
      <c r="I38" s="321"/>
      <c r="J38" s="321"/>
      <c r="K38" s="321"/>
      <c r="L38" s="321"/>
    </row>
    <row r="39" spans="3:12">
      <c r="C39" s="321"/>
      <c r="D39" s="321"/>
      <c r="E39" s="321"/>
      <c r="F39" s="321"/>
      <c r="G39" s="321"/>
      <c r="H39" s="321"/>
      <c r="I39" s="321"/>
      <c r="J39" s="321"/>
      <c r="K39" s="321"/>
      <c r="L39" s="321"/>
    </row>
    <row r="40" spans="3:12">
      <c r="C40" s="321"/>
      <c r="D40" s="321"/>
      <c r="E40" s="321"/>
      <c r="F40" s="321"/>
      <c r="G40" s="321"/>
      <c r="H40" s="321"/>
      <c r="I40" s="321"/>
      <c r="J40" s="321"/>
      <c r="K40" s="321"/>
      <c r="L40" s="321"/>
    </row>
    <row r="41" spans="3:12">
      <c r="C41" s="321"/>
      <c r="D41" s="321"/>
      <c r="E41" s="321"/>
      <c r="F41" s="321"/>
      <c r="G41" s="321"/>
      <c r="H41" s="321"/>
      <c r="I41" s="321"/>
      <c r="J41" s="321"/>
      <c r="K41" s="321"/>
      <c r="L41" s="321"/>
    </row>
    <row r="42" spans="3:12">
      <c r="C42" s="321"/>
      <c r="D42" s="321"/>
      <c r="E42" s="321"/>
      <c r="F42" s="321"/>
      <c r="G42" s="321"/>
      <c r="H42" s="321"/>
      <c r="I42" s="321"/>
      <c r="J42" s="321"/>
      <c r="K42" s="321"/>
      <c r="L42" s="321"/>
    </row>
  </sheetData>
  <mergeCells count="7">
    <mergeCell ref="M2:N2"/>
    <mergeCell ref="C1:N1"/>
    <mergeCell ref="I2:J2"/>
    <mergeCell ref="K2:L2"/>
    <mergeCell ref="C2:D2"/>
    <mergeCell ref="E2:F2"/>
    <mergeCell ref="G2:H2"/>
  </mergeCells>
  <phoneticPr fontId="0" type="noConversion"/>
  <pageMargins left="0.5" right="0.5" top="1" bottom="1" header="0.5" footer="0.5"/>
  <pageSetup orientation="landscape" horizontalDpi="4294967293" r:id="rId1"/>
  <headerFooter alignWithMargins="0">
    <oddFooter>&amp;L&amp;10&amp;F &amp;A&amp;R&amp;10Resource Planning
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AI43"/>
  <sheetViews>
    <sheetView zoomScale="75" workbookViewId="0">
      <selection activeCell="G47" sqref="G47"/>
    </sheetView>
  </sheetViews>
  <sheetFormatPr defaultColWidth="7.08984375" defaultRowHeight="13.2"/>
  <cols>
    <col min="1" max="1" width="11.54296875" style="18" bestFit="1" customWidth="1"/>
    <col min="2" max="2" width="9.6328125" style="18" customWidth="1"/>
    <col min="3" max="3" width="4.81640625" style="18" customWidth="1"/>
    <col min="4" max="18" width="4.1796875" style="18" customWidth="1"/>
    <col min="19" max="19" width="1.81640625" style="18" customWidth="1"/>
    <col min="20" max="20" width="7.08984375" style="109"/>
    <col min="21" max="16384" width="7.08984375" style="18"/>
  </cols>
  <sheetData>
    <row r="1" spans="1:20" ht="13.8" thickBot="1">
      <c r="A1" s="72" t="s">
        <v>68</v>
      </c>
      <c r="B1" s="73" t="s">
        <v>39</v>
      </c>
      <c r="C1" s="73" t="s">
        <v>74</v>
      </c>
      <c r="D1" s="81">
        <f>'Exp Plan'!A10</f>
        <v>2022</v>
      </c>
      <c r="E1" s="82">
        <f>D1+1</f>
        <v>2023</v>
      </c>
      <c r="F1" s="82">
        <f t="shared" ref="F1:R1" si="0">E1+1</f>
        <v>2024</v>
      </c>
      <c r="G1" s="82">
        <f t="shared" si="0"/>
        <v>2025</v>
      </c>
      <c r="H1" s="82">
        <f t="shared" si="0"/>
        <v>2026</v>
      </c>
      <c r="I1" s="82">
        <f t="shared" si="0"/>
        <v>2027</v>
      </c>
      <c r="J1" s="81">
        <f t="shared" si="0"/>
        <v>2028</v>
      </c>
      <c r="K1" s="82">
        <f t="shared" si="0"/>
        <v>2029</v>
      </c>
      <c r="L1" s="82">
        <f t="shared" si="0"/>
        <v>2030</v>
      </c>
      <c r="M1" s="82">
        <f t="shared" si="0"/>
        <v>2031</v>
      </c>
      <c r="N1" s="82">
        <f t="shared" si="0"/>
        <v>2032</v>
      </c>
      <c r="O1" s="82">
        <f t="shared" si="0"/>
        <v>2033</v>
      </c>
      <c r="P1" s="82">
        <f t="shared" si="0"/>
        <v>2034</v>
      </c>
      <c r="Q1" s="82">
        <f t="shared" si="0"/>
        <v>2035</v>
      </c>
      <c r="R1" s="82">
        <f t="shared" si="0"/>
        <v>2036</v>
      </c>
      <c r="T1" s="108"/>
    </row>
    <row r="2" spans="1:20">
      <c r="A2" s="66"/>
      <c r="B2" s="85"/>
      <c r="C2" s="78"/>
      <c r="D2" s="419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1"/>
    </row>
    <row r="3" spans="1:20">
      <c r="A3" s="84"/>
      <c r="B3" s="85"/>
      <c r="C3" s="78"/>
      <c r="D3" s="422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423"/>
    </row>
    <row r="4" spans="1:20">
      <c r="A4" s="66"/>
      <c r="B4" s="85"/>
      <c r="C4" s="78"/>
      <c r="D4" s="422"/>
      <c r="E4" s="101"/>
      <c r="F4" s="101"/>
      <c r="G4" s="100"/>
      <c r="H4" s="100"/>
      <c r="I4" s="100"/>
      <c r="J4" s="101"/>
      <c r="K4" s="101"/>
      <c r="L4" s="101"/>
      <c r="M4" s="101"/>
      <c r="N4" s="100"/>
      <c r="O4" s="100"/>
      <c r="P4" s="100"/>
      <c r="Q4" s="100"/>
      <c r="R4" s="423"/>
    </row>
    <row r="5" spans="1:20">
      <c r="A5" s="66"/>
      <c r="B5" s="85"/>
      <c r="C5" s="78"/>
      <c r="D5" s="422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0"/>
      <c r="R5" s="424"/>
    </row>
    <row r="6" spans="1:20">
      <c r="A6" s="66"/>
      <c r="B6" s="85"/>
      <c r="C6" s="78"/>
      <c r="D6" s="422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0"/>
      <c r="R6" s="424"/>
    </row>
    <row r="7" spans="1:20">
      <c r="A7" s="110"/>
      <c r="B7" s="111"/>
      <c r="C7" s="112"/>
      <c r="D7" s="425"/>
      <c r="E7" s="113"/>
      <c r="F7" s="113"/>
      <c r="G7" s="113"/>
      <c r="H7" s="113"/>
      <c r="I7" s="101"/>
      <c r="J7" s="101"/>
      <c r="K7" s="101"/>
      <c r="L7" s="101"/>
      <c r="M7" s="101"/>
      <c r="N7" s="101"/>
      <c r="O7" s="101"/>
      <c r="P7" s="101"/>
      <c r="Q7" s="100"/>
      <c r="R7" s="424"/>
    </row>
    <row r="8" spans="1:20">
      <c r="A8" s="110"/>
      <c r="B8" s="111"/>
      <c r="C8" s="112"/>
      <c r="D8" s="425"/>
      <c r="E8" s="113"/>
      <c r="F8" s="113"/>
      <c r="G8" s="113"/>
      <c r="H8" s="113"/>
      <c r="I8" s="101"/>
      <c r="J8" s="101"/>
      <c r="K8" s="101"/>
      <c r="L8" s="101"/>
      <c r="M8" s="101"/>
      <c r="N8" s="101"/>
      <c r="O8" s="101"/>
      <c r="P8" s="101"/>
      <c r="Q8" s="100"/>
      <c r="R8" s="424"/>
    </row>
    <row r="9" spans="1:20">
      <c r="A9" s="67"/>
      <c r="B9" s="106"/>
      <c r="C9" s="79"/>
      <c r="D9" s="426"/>
      <c r="E9" s="99"/>
      <c r="F9" s="99"/>
      <c r="G9" s="99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427"/>
    </row>
    <row r="10" spans="1:20">
      <c r="A10" s="67"/>
      <c r="B10" s="106"/>
      <c r="C10" s="79"/>
      <c r="D10" s="426"/>
      <c r="E10" s="99"/>
      <c r="F10" s="99"/>
      <c r="G10" s="99"/>
      <c r="H10" s="99"/>
      <c r="I10" s="102"/>
      <c r="J10" s="102"/>
      <c r="K10" s="102"/>
      <c r="L10" s="102"/>
      <c r="M10" s="102"/>
      <c r="N10" s="102"/>
      <c r="O10" s="102"/>
      <c r="P10" s="102"/>
      <c r="Q10" s="102"/>
      <c r="R10" s="427"/>
    </row>
    <row r="11" spans="1:20">
      <c r="A11" s="67" t="s">
        <v>76</v>
      </c>
      <c r="B11" s="107" t="s">
        <v>98</v>
      </c>
      <c r="C11" s="410">
        <v>100</v>
      </c>
      <c r="D11" s="430"/>
      <c r="E11" s="103"/>
      <c r="F11" s="103"/>
      <c r="G11" s="103"/>
      <c r="H11" s="103">
        <v>100</v>
      </c>
      <c r="I11" s="103">
        <v>100</v>
      </c>
      <c r="J11" s="103">
        <v>100</v>
      </c>
      <c r="K11" s="103"/>
      <c r="L11" s="103"/>
      <c r="M11" s="103"/>
      <c r="N11" s="103"/>
      <c r="O11" s="103"/>
      <c r="P11" s="103"/>
      <c r="Q11" s="103"/>
      <c r="R11" s="431"/>
    </row>
    <row r="12" spans="1:20">
      <c r="A12" s="67" t="s">
        <v>76</v>
      </c>
      <c r="B12" s="107" t="s">
        <v>99</v>
      </c>
      <c r="C12" s="410">
        <v>100</v>
      </c>
      <c r="D12" s="430"/>
      <c r="E12" s="103"/>
      <c r="F12" s="103"/>
      <c r="G12" s="103"/>
      <c r="H12" s="103"/>
      <c r="I12" s="103"/>
      <c r="J12" s="103"/>
      <c r="K12" s="103">
        <v>100</v>
      </c>
      <c r="L12" s="103">
        <v>100</v>
      </c>
      <c r="M12" s="103">
        <v>100</v>
      </c>
      <c r="N12" s="103"/>
      <c r="O12" s="103"/>
      <c r="P12" s="103"/>
      <c r="Q12" s="103"/>
      <c r="R12" s="431"/>
    </row>
    <row r="13" spans="1:20">
      <c r="A13" s="67" t="s">
        <v>76</v>
      </c>
      <c r="B13" s="107" t="s">
        <v>100</v>
      </c>
      <c r="C13" s="410">
        <v>100</v>
      </c>
      <c r="D13" s="430"/>
      <c r="E13" s="103"/>
      <c r="F13" s="103"/>
      <c r="G13" s="103"/>
      <c r="H13" s="103"/>
      <c r="I13" s="103"/>
      <c r="J13" s="103"/>
      <c r="K13" s="103"/>
      <c r="L13" s="103"/>
      <c r="M13" s="103"/>
      <c r="N13" s="103">
        <v>100</v>
      </c>
      <c r="O13" s="103">
        <v>100</v>
      </c>
      <c r="P13" s="103">
        <v>100</v>
      </c>
      <c r="Q13" s="103"/>
      <c r="R13" s="431"/>
    </row>
    <row r="14" spans="1:20">
      <c r="A14" s="67" t="s">
        <v>76</v>
      </c>
      <c r="B14" s="107" t="s">
        <v>101</v>
      </c>
      <c r="C14" s="410">
        <v>100</v>
      </c>
      <c r="D14" s="430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>
        <v>100</v>
      </c>
      <c r="R14" s="103">
        <v>100</v>
      </c>
    </row>
    <row r="15" spans="1:20">
      <c r="A15" s="114"/>
      <c r="B15" s="115"/>
      <c r="C15" s="116"/>
      <c r="D15" s="429"/>
      <c r="E15" s="117"/>
      <c r="F15" s="117"/>
      <c r="G15" s="117"/>
      <c r="H15" s="117"/>
      <c r="I15" s="99"/>
      <c r="J15" s="99"/>
      <c r="K15" s="99"/>
      <c r="L15" s="99"/>
      <c r="M15" s="99"/>
      <c r="N15" s="99"/>
      <c r="O15" s="99"/>
      <c r="P15" s="99"/>
      <c r="Q15" s="99"/>
      <c r="R15" s="428"/>
    </row>
    <row r="16" spans="1:20">
      <c r="A16" s="67" t="s">
        <v>76</v>
      </c>
      <c r="B16" s="107" t="s">
        <v>98</v>
      </c>
      <c r="C16" s="410">
        <v>225</v>
      </c>
      <c r="D16" s="430"/>
      <c r="E16" s="103"/>
      <c r="F16" s="103"/>
      <c r="G16" s="103"/>
      <c r="H16" s="103">
        <v>225</v>
      </c>
      <c r="I16" s="103">
        <v>225</v>
      </c>
      <c r="J16" s="103">
        <v>225</v>
      </c>
      <c r="K16" s="103"/>
      <c r="L16" s="103"/>
      <c r="M16" s="103"/>
      <c r="N16" s="103"/>
      <c r="O16" s="103"/>
      <c r="P16" s="103"/>
      <c r="Q16" s="103"/>
      <c r="R16" s="431"/>
    </row>
    <row r="17" spans="1:18">
      <c r="A17" s="67" t="s">
        <v>76</v>
      </c>
      <c r="B17" s="107" t="s">
        <v>99</v>
      </c>
      <c r="C17" s="410">
        <v>225</v>
      </c>
      <c r="D17" s="430"/>
      <c r="E17" s="103"/>
      <c r="F17" s="103"/>
      <c r="G17" s="103"/>
      <c r="H17" s="103"/>
      <c r="I17" s="103"/>
      <c r="J17" s="103"/>
      <c r="K17" s="103">
        <v>225</v>
      </c>
      <c r="L17" s="103">
        <v>225</v>
      </c>
      <c r="M17" s="103">
        <v>225</v>
      </c>
      <c r="N17" s="103"/>
      <c r="O17" s="103"/>
      <c r="P17" s="103"/>
      <c r="Q17" s="103"/>
      <c r="R17" s="431"/>
    </row>
    <row r="18" spans="1:18">
      <c r="A18" s="67" t="s">
        <v>76</v>
      </c>
      <c r="B18" s="107" t="s">
        <v>100</v>
      </c>
      <c r="C18" s="410">
        <v>225</v>
      </c>
      <c r="D18" s="430"/>
      <c r="E18" s="103"/>
      <c r="F18" s="103"/>
      <c r="G18" s="103"/>
      <c r="H18" s="103"/>
      <c r="I18" s="103"/>
      <c r="J18" s="103"/>
      <c r="K18" s="103"/>
      <c r="L18" s="103"/>
      <c r="M18" s="103"/>
      <c r="N18" s="103">
        <v>225</v>
      </c>
      <c r="O18" s="103">
        <v>225</v>
      </c>
      <c r="P18" s="103">
        <v>225</v>
      </c>
      <c r="Q18" s="103"/>
      <c r="R18" s="431"/>
    </row>
    <row r="19" spans="1:18">
      <c r="A19" s="67" t="s">
        <v>76</v>
      </c>
      <c r="B19" s="107" t="s">
        <v>101</v>
      </c>
      <c r="C19" s="410">
        <v>225</v>
      </c>
      <c r="D19" s="430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>
        <v>225</v>
      </c>
      <c r="R19" s="103">
        <v>225</v>
      </c>
    </row>
    <row r="20" spans="1:18">
      <c r="A20" s="67" t="s">
        <v>76</v>
      </c>
      <c r="B20" s="107"/>
      <c r="C20" s="410"/>
      <c r="D20" s="430"/>
      <c r="E20" s="103"/>
      <c r="F20" s="103"/>
      <c r="G20" s="103"/>
      <c r="H20" s="103"/>
      <c r="I20" s="103"/>
      <c r="J20" s="103"/>
      <c r="K20" s="104"/>
      <c r="L20" s="104"/>
      <c r="M20" s="103"/>
      <c r="N20" s="103"/>
      <c r="O20" s="103"/>
      <c r="P20" s="103"/>
      <c r="Q20" s="103"/>
      <c r="R20" s="431"/>
    </row>
    <row r="21" spans="1:18">
      <c r="A21" s="67" t="s">
        <v>76</v>
      </c>
      <c r="B21" s="107" t="s">
        <v>146</v>
      </c>
      <c r="C21" s="410">
        <v>418</v>
      </c>
      <c r="D21" s="430"/>
      <c r="E21" s="103"/>
      <c r="F21" s="103"/>
      <c r="G21" s="103"/>
      <c r="H21" s="103"/>
      <c r="I21" s="103"/>
      <c r="J21" s="103"/>
      <c r="K21" s="103"/>
      <c r="L21" s="103"/>
      <c r="M21" s="103">
        <v>418</v>
      </c>
      <c r="N21" s="103">
        <v>418</v>
      </c>
      <c r="O21" s="103">
        <v>418</v>
      </c>
      <c r="P21" s="103">
        <v>418</v>
      </c>
      <c r="Q21" s="103"/>
      <c r="R21" s="431"/>
    </row>
    <row r="22" spans="1:18">
      <c r="A22" s="67" t="s">
        <v>76</v>
      </c>
      <c r="B22" s="107"/>
      <c r="C22" s="410"/>
      <c r="D22" s="430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4"/>
      <c r="Q22" s="103"/>
      <c r="R22" s="431"/>
    </row>
    <row r="23" spans="1:18">
      <c r="A23" s="413" t="s">
        <v>77</v>
      </c>
      <c r="B23" s="86" t="s">
        <v>133</v>
      </c>
      <c r="C23" s="414">
        <v>100</v>
      </c>
      <c r="D23" s="432"/>
      <c r="E23" s="105"/>
      <c r="F23" s="105">
        <v>100</v>
      </c>
      <c r="G23" s="105">
        <v>100</v>
      </c>
      <c r="H23" s="105">
        <v>100</v>
      </c>
      <c r="I23" s="105">
        <v>100</v>
      </c>
      <c r="J23" s="105">
        <v>100</v>
      </c>
      <c r="K23" s="105">
        <v>100</v>
      </c>
      <c r="L23" s="105">
        <v>100</v>
      </c>
      <c r="M23" s="105">
        <v>100</v>
      </c>
      <c r="N23" s="105">
        <v>100</v>
      </c>
      <c r="O23" s="105">
        <v>100</v>
      </c>
      <c r="P23" s="105">
        <v>100</v>
      </c>
      <c r="Q23" s="105">
        <v>100</v>
      </c>
      <c r="R23" s="433">
        <v>100</v>
      </c>
    </row>
    <row r="24" spans="1:18">
      <c r="A24" s="413" t="s">
        <v>77</v>
      </c>
      <c r="B24" s="86" t="s">
        <v>134</v>
      </c>
      <c r="C24" s="414">
        <v>100</v>
      </c>
      <c r="D24" s="432"/>
      <c r="E24" s="105"/>
      <c r="F24" s="105"/>
      <c r="G24" s="105">
        <v>100</v>
      </c>
      <c r="H24" s="105">
        <v>100</v>
      </c>
      <c r="I24" s="105">
        <v>100</v>
      </c>
      <c r="J24" s="105">
        <v>100</v>
      </c>
      <c r="K24" s="105">
        <v>100</v>
      </c>
      <c r="L24" s="105">
        <v>100</v>
      </c>
      <c r="M24" s="105">
        <v>100</v>
      </c>
      <c r="N24" s="105">
        <v>100</v>
      </c>
      <c r="O24" s="105">
        <v>100</v>
      </c>
      <c r="P24" s="105">
        <v>100</v>
      </c>
      <c r="Q24" s="105">
        <v>100</v>
      </c>
      <c r="R24" s="433">
        <v>100</v>
      </c>
    </row>
    <row r="25" spans="1:18">
      <c r="A25" s="413" t="s">
        <v>77</v>
      </c>
      <c r="B25" s="86" t="s">
        <v>135</v>
      </c>
      <c r="C25" s="414">
        <v>100</v>
      </c>
      <c r="D25" s="432"/>
      <c r="E25" s="105"/>
      <c r="F25" s="129"/>
      <c r="G25" s="129"/>
      <c r="H25" s="105">
        <v>100</v>
      </c>
      <c r="I25" s="105">
        <v>100</v>
      </c>
      <c r="J25" s="105">
        <v>100</v>
      </c>
      <c r="K25" s="105">
        <v>100</v>
      </c>
      <c r="L25" s="105">
        <v>100</v>
      </c>
      <c r="M25" s="105">
        <v>100</v>
      </c>
      <c r="N25" s="105">
        <v>100</v>
      </c>
      <c r="O25" s="105">
        <v>100</v>
      </c>
      <c r="P25" s="105">
        <v>100</v>
      </c>
      <c r="Q25" s="105">
        <v>100</v>
      </c>
      <c r="R25" s="433">
        <v>100</v>
      </c>
    </row>
    <row r="26" spans="1:18">
      <c r="A26" s="413" t="s">
        <v>77</v>
      </c>
      <c r="B26" s="86" t="s">
        <v>136</v>
      </c>
      <c r="C26" s="414">
        <v>100</v>
      </c>
      <c r="D26" s="432"/>
      <c r="E26" s="105"/>
      <c r="F26" s="105"/>
      <c r="G26" s="105"/>
      <c r="H26" s="105"/>
      <c r="I26" s="105">
        <v>100</v>
      </c>
      <c r="J26" s="105">
        <v>100</v>
      </c>
      <c r="K26" s="105">
        <v>100</v>
      </c>
      <c r="L26" s="105">
        <v>100</v>
      </c>
      <c r="M26" s="105">
        <v>100</v>
      </c>
      <c r="N26" s="105">
        <v>100</v>
      </c>
      <c r="O26" s="105">
        <v>100</v>
      </c>
      <c r="P26" s="105">
        <v>100</v>
      </c>
      <c r="Q26" s="105">
        <v>100</v>
      </c>
      <c r="R26" s="433">
        <v>100</v>
      </c>
    </row>
    <row r="27" spans="1:18">
      <c r="A27" s="413" t="s">
        <v>77</v>
      </c>
      <c r="B27" s="86" t="s">
        <v>137</v>
      </c>
      <c r="C27" s="414">
        <v>100</v>
      </c>
      <c r="D27" s="432"/>
      <c r="E27" s="105"/>
      <c r="F27" s="105"/>
      <c r="G27" s="105"/>
      <c r="H27" s="129"/>
      <c r="I27" s="129"/>
      <c r="J27" s="105">
        <v>100</v>
      </c>
      <c r="K27" s="105">
        <v>100</v>
      </c>
      <c r="L27" s="105">
        <v>100</v>
      </c>
      <c r="M27" s="105">
        <v>100</v>
      </c>
      <c r="N27" s="105">
        <v>100</v>
      </c>
      <c r="O27" s="105">
        <v>100</v>
      </c>
      <c r="P27" s="105">
        <v>100</v>
      </c>
      <c r="Q27" s="105">
        <v>100</v>
      </c>
      <c r="R27" s="433">
        <v>100</v>
      </c>
    </row>
    <row r="28" spans="1:18">
      <c r="A28" s="413" t="s">
        <v>77</v>
      </c>
      <c r="B28" s="86" t="s">
        <v>138</v>
      </c>
      <c r="C28" s="414">
        <v>100</v>
      </c>
      <c r="D28" s="432"/>
      <c r="E28" s="105"/>
      <c r="F28" s="105"/>
      <c r="G28" s="105"/>
      <c r="H28" s="105"/>
      <c r="I28" s="105"/>
      <c r="J28" s="105"/>
      <c r="K28" s="105">
        <v>100</v>
      </c>
      <c r="L28" s="105">
        <v>100</v>
      </c>
      <c r="M28" s="105">
        <v>100</v>
      </c>
      <c r="N28" s="105">
        <v>100</v>
      </c>
      <c r="O28" s="105">
        <v>100</v>
      </c>
      <c r="P28" s="105">
        <v>100</v>
      </c>
      <c r="Q28" s="105">
        <v>100</v>
      </c>
      <c r="R28" s="433">
        <v>100</v>
      </c>
    </row>
    <row r="29" spans="1:18">
      <c r="A29" s="413" t="s">
        <v>77</v>
      </c>
      <c r="B29" s="86" t="s">
        <v>139</v>
      </c>
      <c r="C29" s="414">
        <v>100</v>
      </c>
      <c r="D29" s="432"/>
      <c r="E29" s="105"/>
      <c r="F29" s="105"/>
      <c r="G29" s="105"/>
      <c r="H29" s="105"/>
      <c r="I29" s="105"/>
      <c r="J29" s="105"/>
      <c r="K29" s="105"/>
      <c r="L29" s="105">
        <v>100</v>
      </c>
      <c r="M29" s="105">
        <v>100</v>
      </c>
      <c r="N29" s="105">
        <v>100</v>
      </c>
      <c r="O29" s="105">
        <v>100</v>
      </c>
      <c r="P29" s="105">
        <v>100</v>
      </c>
      <c r="Q29" s="105">
        <v>100</v>
      </c>
      <c r="R29" s="433">
        <v>100</v>
      </c>
    </row>
    <row r="30" spans="1:18">
      <c r="A30" s="413" t="s">
        <v>77</v>
      </c>
      <c r="B30" s="86" t="s">
        <v>140</v>
      </c>
      <c r="C30" s="414">
        <v>100</v>
      </c>
      <c r="D30" s="432"/>
      <c r="E30" s="105"/>
      <c r="F30" s="105"/>
      <c r="G30" s="105"/>
      <c r="H30" s="105"/>
      <c r="I30" s="105"/>
      <c r="J30" s="105"/>
      <c r="K30" s="105"/>
      <c r="L30" s="105"/>
      <c r="M30" s="105">
        <v>100</v>
      </c>
      <c r="N30" s="105">
        <v>100</v>
      </c>
      <c r="O30" s="105">
        <v>100</v>
      </c>
      <c r="P30" s="105">
        <v>100</v>
      </c>
      <c r="Q30" s="105">
        <v>100</v>
      </c>
      <c r="R30" s="433">
        <v>100</v>
      </c>
    </row>
    <row r="31" spans="1:18">
      <c r="A31" s="413" t="s">
        <v>77</v>
      </c>
      <c r="B31" s="86" t="s">
        <v>141</v>
      </c>
      <c r="C31" s="414">
        <v>100</v>
      </c>
      <c r="D31" s="432"/>
      <c r="E31" s="105"/>
      <c r="F31" s="105"/>
      <c r="G31" s="105"/>
      <c r="H31" s="105"/>
      <c r="I31" s="105"/>
      <c r="J31" s="105"/>
      <c r="K31" s="105"/>
      <c r="L31" s="105"/>
      <c r="M31" s="105"/>
      <c r="N31" s="105">
        <v>100</v>
      </c>
      <c r="O31" s="105">
        <v>100</v>
      </c>
      <c r="P31" s="105">
        <v>100</v>
      </c>
      <c r="Q31" s="105">
        <v>100</v>
      </c>
      <c r="R31" s="433">
        <v>100</v>
      </c>
    </row>
    <row r="32" spans="1:18">
      <c r="A32" s="413" t="s">
        <v>77</v>
      </c>
      <c r="B32" s="86" t="s">
        <v>142</v>
      </c>
      <c r="C32" s="414">
        <v>100</v>
      </c>
      <c r="D32" s="432"/>
      <c r="E32" s="129"/>
      <c r="F32" s="129"/>
      <c r="G32" s="129"/>
      <c r="H32" s="105"/>
      <c r="I32" s="105"/>
      <c r="J32" s="105"/>
      <c r="K32" s="105"/>
      <c r="L32" s="105"/>
      <c r="M32" s="105"/>
      <c r="N32" s="129"/>
      <c r="O32" s="105">
        <v>100</v>
      </c>
      <c r="P32" s="105">
        <v>100</v>
      </c>
      <c r="Q32" s="105">
        <v>100</v>
      </c>
      <c r="R32" s="433">
        <v>100</v>
      </c>
    </row>
    <row r="33" spans="1:35">
      <c r="A33" s="68" t="s">
        <v>77</v>
      </c>
      <c r="B33" s="86"/>
      <c r="C33" s="80"/>
      <c r="D33" s="434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433"/>
    </row>
    <row r="34" spans="1:35">
      <c r="A34" s="68" t="s">
        <v>77</v>
      </c>
      <c r="B34" s="411" t="s">
        <v>102</v>
      </c>
      <c r="C34" s="412">
        <v>100</v>
      </c>
      <c r="D34" s="435">
        <v>100</v>
      </c>
      <c r="E34" s="416">
        <v>100</v>
      </c>
      <c r="F34" s="416">
        <v>100</v>
      </c>
      <c r="G34" s="416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36"/>
    </row>
    <row r="35" spans="1:35">
      <c r="A35" s="68" t="s">
        <v>77</v>
      </c>
      <c r="B35" s="411" t="s">
        <v>103</v>
      </c>
      <c r="C35" s="412">
        <v>100</v>
      </c>
      <c r="D35" s="435"/>
      <c r="E35" s="416"/>
      <c r="F35" s="416"/>
      <c r="G35" s="435">
        <v>100</v>
      </c>
      <c r="H35" s="416">
        <v>100</v>
      </c>
      <c r="I35" s="416">
        <v>100</v>
      </c>
      <c r="J35" s="416"/>
      <c r="K35" s="416"/>
      <c r="L35" s="416"/>
      <c r="M35" s="416"/>
      <c r="N35" s="416"/>
      <c r="O35" s="416"/>
      <c r="P35" s="416"/>
      <c r="Q35" s="416"/>
      <c r="R35" s="436"/>
    </row>
    <row r="36" spans="1:35">
      <c r="A36" s="68" t="s">
        <v>77</v>
      </c>
      <c r="B36" s="411" t="s">
        <v>107</v>
      </c>
      <c r="C36" s="412">
        <v>100</v>
      </c>
      <c r="D36" s="435"/>
      <c r="E36" s="416"/>
      <c r="F36" s="416"/>
      <c r="G36" s="416"/>
      <c r="H36" s="416"/>
      <c r="I36" s="416"/>
      <c r="J36" s="435">
        <v>100</v>
      </c>
      <c r="K36" s="416">
        <v>100</v>
      </c>
      <c r="L36" s="416">
        <v>100</v>
      </c>
      <c r="M36" s="416"/>
      <c r="N36" s="416"/>
      <c r="O36" s="416"/>
      <c r="P36" s="416"/>
      <c r="Q36" s="416"/>
      <c r="R36" s="436"/>
    </row>
    <row r="37" spans="1:35">
      <c r="A37" s="68" t="s">
        <v>77</v>
      </c>
      <c r="B37" s="411" t="s">
        <v>108</v>
      </c>
      <c r="C37" s="412">
        <v>100</v>
      </c>
      <c r="D37" s="435"/>
      <c r="E37" s="416"/>
      <c r="F37" s="416"/>
      <c r="G37" s="415"/>
      <c r="H37" s="416"/>
      <c r="I37" s="416"/>
      <c r="J37" s="416"/>
      <c r="K37" s="415"/>
      <c r="L37" s="416"/>
      <c r="M37" s="435">
        <v>100</v>
      </c>
      <c r="N37" s="416">
        <v>100</v>
      </c>
      <c r="O37" s="416">
        <v>100</v>
      </c>
      <c r="P37" s="416"/>
      <c r="Q37" s="416"/>
      <c r="R37" s="436"/>
    </row>
    <row r="38" spans="1:35">
      <c r="A38" s="68" t="s">
        <v>77</v>
      </c>
      <c r="B38" s="411" t="s">
        <v>109</v>
      </c>
      <c r="C38" s="412">
        <v>100</v>
      </c>
      <c r="D38" s="435"/>
      <c r="E38" s="416"/>
      <c r="F38" s="416"/>
      <c r="G38" s="416"/>
      <c r="H38" s="416"/>
      <c r="I38" s="416"/>
      <c r="J38" s="416"/>
      <c r="K38" s="416"/>
      <c r="L38" s="416"/>
      <c r="M38" s="416"/>
      <c r="N38" s="416"/>
      <c r="O38" s="416"/>
      <c r="P38" s="435">
        <v>100</v>
      </c>
      <c r="Q38" s="416">
        <v>100</v>
      </c>
      <c r="R38" s="436">
        <v>100</v>
      </c>
    </row>
    <row r="39" spans="1:35">
      <c r="A39" s="68" t="s">
        <v>77</v>
      </c>
      <c r="B39" s="26"/>
      <c r="C39" s="80"/>
      <c r="D39" s="437"/>
      <c r="E39" s="416"/>
      <c r="F39" s="416"/>
      <c r="G39" s="416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36"/>
    </row>
    <row r="40" spans="1:35">
      <c r="B40" s="71" t="s">
        <v>40</v>
      </c>
      <c r="C40" s="417"/>
      <c r="D40" s="438">
        <f>SUM(D2:D39)</f>
        <v>100</v>
      </c>
      <c r="E40" s="83">
        <f t="shared" ref="E40:O40" si="1">SUM(E2:E39)</f>
        <v>100</v>
      </c>
      <c r="F40" s="83">
        <f>SUM(F2:F39)</f>
        <v>200</v>
      </c>
      <c r="G40" s="83">
        <f>SUM(G2:G39)</f>
        <v>300</v>
      </c>
      <c r="H40" s="83">
        <f t="shared" si="1"/>
        <v>725</v>
      </c>
      <c r="I40" s="83">
        <f t="shared" si="1"/>
        <v>825</v>
      </c>
      <c r="J40" s="83">
        <f t="shared" si="1"/>
        <v>925</v>
      </c>
      <c r="K40" s="83">
        <f t="shared" si="1"/>
        <v>1025</v>
      </c>
      <c r="L40" s="83">
        <f t="shared" si="1"/>
        <v>1125</v>
      </c>
      <c r="M40" s="83">
        <f t="shared" si="1"/>
        <v>1643</v>
      </c>
      <c r="N40" s="83">
        <f t="shared" si="1"/>
        <v>1743</v>
      </c>
      <c r="O40" s="83">
        <f t="shared" si="1"/>
        <v>1843</v>
      </c>
      <c r="P40" s="83">
        <f t="shared" ref="P40:R40" si="2">SUM(P2:P39)</f>
        <v>1843</v>
      </c>
      <c r="Q40" s="83">
        <f t="shared" si="2"/>
        <v>1425</v>
      </c>
      <c r="R40" s="439">
        <f t="shared" si="2"/>
        <v>1425</v>
      </c>
    </row>
    <row r="41" spans="1:35">
      <c r="B41" s="69" t="s">
        <v>41</v>
      </c>
      <c r="C41" s="418"/>
      <c r="D41" s="440">
        <f>OptimizerReq!R9</f>
        <v>-112.16080000000015</v>
      </c>
      <c r="E41" s="441">
        <f>OptimizerReq!R10</f>
        <v>-70.18040000000029</v>
      </c>
      <c r="F41" s="441">
        <f>OptimizerReq!R11</f>
        <v>-54.698600000000049</v>
      </c>
      <c r="G41" s="441">
        <f>OptimizerReq!R12</f>
        <v>-50.79759999999996</v>
      </c>
      <c r="H41" s="441">
        <f>OptimizerReq!R13</f>
        <v>-37.336800000000238</v>
      </c>
      <c r="I41" s="441">
        <f>OptimizerReq!R14</f>
        <v>-22.917200000000101</v>
      </c>
      <c r="J41" s="441">
        <f>OptimizerReq!R15</f>
        <v>2.2183999999996922</v>
      </c>
      <c r="K41" s="441">
        <f>OptimizerReq!R16</f>
        <v>11.533799999999982</v>
      </c>
      <c r="L41" s="441">
        <f>OptimizerReq!R17</f>
        <v>20.755199999999931</v>
      </c>
      <c r="M41" s="441">
        <f>OptimizerReq!R18</f>
        <v>28.228199999999759</v>
      </c>
      <c r="N41" s="441">
        <f>OptimizerReq!R19</f>
        <v>57.349399999999775</v>
      </c>
      <c r="O41" s="441">
        <f>OptimizerReq!R20</f>
        <v>58.439799999999636</v>
      </c>
      <c r="P41" s="441">
        <f>OptimizerReq!R21</f>
        <v>77.032999999999831</v>
      </c>
      <c r="Q41" s="441">
        <f>OptimizerReq!R22</f>
        <v>95.09039999999986</v>
      </c>
      <c r="R41" s="442">
        <f>OptimizerReq!R23</f>
        <v>102.01819999999975</v>
      </c>
      <c r="S41" s="74"/>
    </row>
    <row r="42" spans="1:35">
      <c r="B42" s="70" t="s">
        <v>75</v>
      </c>
      <c r="C42" s="70"/>
      <c r="D42" s="443">
        <f>OptimizerReq!S9</f>
        <v>530.67999999999984</v>
      </c>
      <c r="E42" s="444">
        <f>OptimizerReq!S10</f>
        <v>575.33999999999969</v>
      </c>
      <c r="F42" s="444">
        <f>OptimizerReq!S11</f>
        <v>591.80999999999995</v>
      </c>
      <c r="G42" s="444">
        <f>OptimizerReq!S12</f>
        <v>595.96</v>
      </c>
      <c r="H42" s="444">
        <f>OptimizerReq!S13</f>
        <v>610.27999999999975</v>
      </c>
      <c r="I42" s="444">
        <f>OptimizerReq!S14</f>
        <v>625.61999999999989</v>
      </c>
      <c r="J42" s="444">
        <f>OptimizerReq!S15</f>
        <v>652.35999999999967</v>
      </c>
      <c r="K42" s="444">
        <f>OptimizerReq!S16</f>
        <v>662.27</v>
      </c>
      <c r="L42" s="444">
        <f>OptimizerReq!S17</f>
        <v>672.07999999999993</v>
      </c>
      <c r="M42" s="444">
        <f>OptimizerReq!S18</f>
        <v>680.02999999999975</v>
      </c>
      <c r="N42" s="444">
        <f>OptimizerReq!S19</f>
        <v>711.00999999999976</v>
      </c>
      <c r="O42" s="444">
        <f>OptimizerReq!S20</f>
        <v>712.16999999999962</v>
      </c>
      <c r="P42" s="444">
        <f>OptimizerReq!S21</f>
        <v>731.94999999999982</v>
      </c>
      <c r="Q42" s="444">
        <f>OptimizerReq!S22</f>
        <v>751.15999999999985</v>
      </c>
      <c r="R42" s="445">
        <f>OptimizerReq!S23</f>
        <v>758.52999999999975</v>
      </c>
      <c r="S42" s="74"/>
      <c r="W42" s="601"/>
      <c r="X42" s="601"/>
      <c r="Y42" s="601"/>
      <c r="Z42" s="601"/>
      <c r="AA42" s="601"/>
      <c r="AB42" s="601"/>
      <c r="AC42" s="601"/>
      <c r="AD42" s="601"/>
      <c r="AE42" s="601"/>
      <c r="AF42" s="601"/>
      <c r="AG42" s="601"/>
      <c r="AH42" s="601"/>
      <c r="AI42" s="601"/>
    </row>
    <row r="43" spans="1:35" ht="13.8" thickBot="1">
      <c r="B43" s="19"/>
      <c r="C43" s="19"/>
      <c r="D43" s="446"/>
      <c r="E43" s="447"/>
      <c r="F43" s="447"/>
      <c r="G43" s="447"/>
      <c r="H43" s="447"/>
      <c r="I43" s="447"/>
      <c r="J43" s="447"/>
      <c r="K43" s="447"/>
      <c r="L43" s="447"/>
      <c r="M43" s="447"/>
      <c r="N43" s="447"/>
      <c r="O43" s="447"/>
      <c r="P43" s="447"/>
      <c r="Q43" s="447"/>
      <c r="R43" s="448"/>
      <c r="W43" s="601"/>
      <c r="X43" s="601"/>
      <c r="Y43" s="601"/>
      <c r="Z43" s="601"/>
      <c r="AA43" s="601"/>
      <c r="AB43" s="601"/>
      <c r="AC43" s="601"/>
      <c r="AD43" s="601"/>
      <c r="AE43" s="601"/>
      <c r="AF43" s="601"/>
      <c r="AG43" s="601"/>
      <c r="AH43" s="601"/>
      <c r="AI43" s="601"/>
    </row>
  </sheetData>
  <phoneticPr fontId="0" type="noConversion"/>
  <conditionalFormatting sqref="D40:R40">
    <cfRule type="cellIs" dxfId="0" priority="1" stopIfTrue="1" operator="between">
      <formula>D$41</formula>
      <formula>D$42</formula>
    </cfRule>
  </conditionalFormatting>
  <pageMargins left="0.25" right="0.25" top="0.75" bottom="0.75" header="0.3" footer="0.3"/>
  <pageSetup orientation="landscape" r:id="rId1"/>
  <headerFooter alignWithMargins="0">
    <oddHeader>&amp;C&amp;F</oddHeader>
    <oddFooter>&amp;L&amp;F &amp;A&amp;R &amp;D  &amp;T</oddFooter>
  </headerFooter>
  <ignoredErrors>
    <ignoredError sqref="D40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rgb="FFFFFF00"/>
    <pageSetUpPr fitToPage="1"/>
  </sheetPr>
  <dimension ref="A1:L39"/>
  <sheetViews>
    <sheetView zoomScaleNormal="100" workbookViewId="0">
      <selection activeCell="B2" sqref="B2"/>
    </sheetView>
  </sheetViews>
  <sheetFormatPr defaultColWidth="8.90625" defaultRowHeight="12.9" customHeight="1"/>
  <cols>
    <col min="1" max="1" width="4.54296875" style="13" customWidth="1"/>
    <col min="2" max="2" width="3.54296875" style="13" bestFit="1" customWidth="1"/>
    <col min="3" max="3" width="3.453125" style="13" bestFit="1" customWidth="1"/>
    <col min="4" max="4" width="5.08984375" style="13" bestFit="1" customWidth="1"/>
    <col min="5" max="5" width="6.54296875" style="13" customWidth="1"/>
    <col min="6" max="6" width="7.1796875" style="13" bestFit="1" customWidth="1"/>
    <col min="7" max="11" width="6.54296875" style="13" customWidth="1"/>
    <col min="12" max="12" width="3.453125" style="13" customWidth="1"/>
    <col min="13" max="16384" width="8.90625" style="13"/>
  </cols>
  <sheetData>
    <row r="1" spans="1:12" ht="12.9" customHeight="1">
      <c r="B1" s="87"/>
      <c r="C1" s="87"/>
      <c r="D1" s="124" t="s">
        <v>79</v>
      </c>
      <c r="E1" s="388"/>
      <c r="F1" s="76" t="s">
        <v>20</v>
      </c>
      <c r="G1" s="389"/>
      <c r="H1" s="127" t="s">
        <v>79</v>
      </c>
      <c r="I1" s="389"/>
      <c r="J1" s="139"/>
      <c r="K1" s="388"/>
    </row>
    <row r="2" spans="1:12" ht="12.9" customHeight="1">
      <c r="A2" s="87"/>
      <c r="B2" s="87"/>
      <c r="C2" s="87"/>
      <c r="D2" s="390"/>
      <c r="E2" s="391"/>
      <c r="F2" s="390"/>
      <c r="G2" s="390"/>
      <c r="H2" s="390"/>
      <c r="I2" s="390"/>
      <c r="J2" s="140"/>
      <c r="K2" s="141"/>
    </row>
    <row r="3" spans="1:12" ht="12.9" customHeight="1">
      <c r="A3" s="87"/>
      <c r="D3" s="88" t="s">
        <v>131</v>
      </c>
      <c r="E3" s="16" t="s">
        <v>43</v>
      </c>
      <c r="F3" s="89" t="s">
        <v>130</v>
      </c>
      <c r="G3" s="13" t="s">
        <v>43</v>
      </c>
      <c r="H3" s="90" t="s">
        <v>132</v>
      </c>
      <c r="I3" s="16" t="s">
        <v>43</v>
      </c>
      <c r="J3" s="140" t="s">
        <v>143</v>
      </c>
      <c r="K3" s="16" t="s">
        <v>43</v>
      </c>
    </row>
    <row r="4" spans="1:12" ht="12.9" customHeight="1">
      <c r="A4" s="87"/>
      <c r="C4" s="118"/>
      <c r="D4" s="45">
        <v>225</v>
      </c>
      <c r="E4" s="126">
        <v>0.111</v>
      </c>
      <c r="F4" s="123">
        <v>100</v>
      </c>
      <c r="G4" s="125">
        <v>0.111</v>
      </c>
      <c r="H4" s="123">
        <v>418</v>
      </c>
      <c r="I4" s="125">
        <v>0.111</v>
      </c>
      <c r="J4" s="131">
        <v>150</v>
      </c>
      <c r="K4" s="128">
        <v>0.111</v>
      </c>
    </row>
    <row r="5" spans="1:12" ht="12.9" customHeight="1">
      <c r="A5" s="13" t="s">
        <v>129</v>
      </c>
      <c r="J5" s="130"/>
      <c r="K5" s="130"/>
    </row>
    <row r="6" spans="1:12" s="75" customFormat="1" ht="12.9" customHeight="1">
      <c r="A6" s="75" t="s">
        <v>78</v>
      </c>
      <c r="B6" s="75" t="s">
        <v>79</v>
      </c>
      <c r="C6" s="77"/>
      <c r="D6" s="122" t="s">
        <v>37</v>
      </c>
      <c r="E6" s="77" t="s">
        <v>38</v>
      </c>
      <c r="F6" s="122" t="s">
        <v>37</v>
      </c>
      <c r="G6" s="77" t="s">
        <v>38</v>
      </c>
      <c r="H6" s="406" t="s">
        <v>37</v>
      </c>
      <c r="I6" s="77" t="s">
        <v>38</v>
      </c>
      <c r="J6" s="406" t="s">
        <v>37</v>
      </c>
      <c r="K6" s="77" t="s">
        <v>38</v>
      </c>
    </row>
    <row r="7" spans="1:12" ht="12.9" customHeight="1" thickBot="1">
      <c r="D7" s="121"/>
      <c r="F7" s="120"/>
      <c r="H7" s="387"/>
      <c r="J7" s="387"/>
    </row>
    <row r="8" spans="1:12" ht="12.9" customHeight="1" thickBot="1">
      <c r="A8" s="393">
        <v>2.4</v>
      </c>
      <c r="B8" s="398">
        <v>2.4</v>
      </c>
      <c r="C8" s="449"/>
      <c r="D8" s="450"/>
      <c r="E8" s="132">
        <f>ROUND(D8*$D$4*$E$4,-2)</f>
        <v>0</v>
      </c>
      <c r="F8" s="450"/>
      <c r="G8" s="132">
        <f t="shared" ref="G8:G39" si="0">ROUND(F8*$F$4*$G$4,-2)</f>
        <v>0</v>
      </c>
      <c r="H8" s="450"/>
      <c r="I8" s="132">
        <f t="shared" ref="I8:I39" si="1">ROUND(H8*$H$4*$I$4,-2)</f>
        <v>0</v>
      </c>
      <c r="J8" s="450"/>
      <c r="K8" s="403">
        <f t="shared" ref="K8:K39" si="2">ROUND(J8*$J$4*$K$4,-2)</f>
        <v>0</v>
      </c>
    </row>
    <row r="9" spans="1:12" ht="12.9" customHeight="1">
      <c r="A9" s="394">
        <v>2.4</v>
      </c>
      <c r="B9" s="399">
        <v>2.4</v>
      </c>
      <c r="C9" s="396">
        <v>2020</v>
      </c>
      <c r="D9" s="409">
        <v>709</v>
      </c>
      <c r="E9" s="50">
        <f t="shared" ref="E9:E39" si="3">ROUND(D9*$D$4*$E$4,-2)</f>
        <v>17700</v>
      </c>
      <c r="F9" s="409">
        <v>1169</v>
      </c>
      <c r="G9" s="50">
        <f t="shared" si="0"/>
        <v>13000</v>
      </c>
      <c r="H9" s="409">
        <v>1082</v>
      </c>
      <c r="I9" s="50">
        <f t="shared" si="1"/>
        <v>50200</v>
      </c>
      <c r="J9" s="409">
        <v>1778</v>
      </c>
      <c r="K9" s="404">
        <f t="shared" si="2"/>
        <v>29600</v>
      </c>
    </row>
    <row r="10" spans="1:12" ht="12.9" customHeight="1" thickBot="1">
      <c r="A10" s="394">
        <v>2.4</v>
      </c>
      <c r="B10" s="399">
        <v>2.4</v>
      </c>
      <c r="C10" s="396">
        <f t="shared" ref="C10:C39" si="4">C9+1</f>
        <v>2021</v>
      </c>
      <c r="D10" s="119">
        <f t="shared" ref="D10:D39" si="5">D9*(($B10/100)+1)</f>
        <v>726.01599999999996</v>
      </c>
      <c r="E10" s="50">
        <f t="shared" si="3"/>
        <v>18100</v>
      </c>
      <c r="F10" s="119">
        <f t="shared" ref="F10:F39" si="6">F9*(($B10/100)+1)</f>
        <v>1197.056</v>
      </c>
      <c r="G10" s="50">
        <f t="shared" si="0"/>
        <v>13300</v>
      </c>
      <c r="H10" s="407">
        <f t="shared" ref="H10:H39" si="7">H9*(($B10/100)+1)</f>
        <v>1107.9680000000001</v>
      </c>
      <c r="I10" s="50">
        <f t="shared" si="1"/>
        <v>51400</v>
      </c>
      <c r="J10" s="407">
        <f t="shared" ref="J10:J39" si="8">J9*(($A10/100)+1)</f>
        <v>1820.672</v>
      </c>
      <c r="K10" s="404">
        <f t="shared" si="2"/>
        <v>30300</v>
      </c>
    </row>
    <row r="11" spans="1:12" ht="12.9" customHeight="1" thickBot="1">
      <c r="A11" s="395">
        <v>2.4</v>
      </c>
      <c r="B11" s="400">
        <v>2.4</v>
      </c>
      <c r="C11" s="397">
        <f t="shared" si="4"/>
        <v>2022</v>
      </c>
      <c r="D11" s="138">
        <f t="shared" si="5"/>
        <v>743.44038399999999</v>
      </c>
      <c r="E11" s="137">
        <f t="shared" si="3"/>
        <v>18600</v>
      </c>
      <c r="F11" s="138">
        <f t="shared" si="6"/>
        <v>1225.7853440000001</v>
      </c>
      <c r="G11" s="137">
        <f t="shared" si="0"/>
        <v>13600</v>
      </c>
      <c r="H11" s="408">
        <f t="shared" si="7"/>
        <v>1134.5592320000001</v>
      </c>
      <c r="I11" s="137">
        <f t="shared" si="1"/>
        <v>52600</v>
      </c>
      <c r="J11" s="408">
        <f t="shared" si="8"/>
        <v>1864.3681280000001</v>
      </c>
      <c r="K11" s="405">
        <f t="shared" si="2"/>
        <v>31000</v>
      </c>
      <c r="L11" s="392">
        <v>1</v>
      </c>
    </row>
    <row r="12" spans="1:12" ht="12.9" customHeight="1" thickBot="1">
      <c r="A12" s="394">
        <v>2.4</v>
      </c>
      <c r="B12" s="399">
        <v>2.4</v>
      </c>
      <c r="C12" s="396">
        <f t="shared" si="4"/>
        <v>2023</v>
      </c>
      <c r="D12" s="119">
        <f t="shared" si="5"/>
        <v>761.28295321600001</v>
      </c>
      <c r="E12" s="50">
        <f t="shared" si="3"/>
        <v>19000</v>
      </c>
      <c r="F12" s="119">
        <f t="shared" si="6"/>
        <v>1255.2041922560002</v>
      </c>
      <c r="G12" s="50">
        <f t="shared" si="0"/>
        <v>13900</v>
      </c>
      <c r="H12" s="407">
        <f t="shared" si="7"/>
        <v>1161.7886535680002</v>
      </c>
      <c r="I12" s="50">
        <f t="shared" si="1"/>
        <v>53900</v>
      </c>
      <c r="J12" s="407">
        <f t="shared" si="8"/>
        <v>1909.1129630720002</v>
      </c>
      <c r="K12" s="404">
        <f t="shared" si="2"/>
        <v>31800</v>
      </c>
      <c r="L12" s="133">
        <v>2</v>
      </c>
    </row>
    <row r="13" spans="1:12" ht="12.9" customHeight="1" thickBot="1">
      <c r="A13" s="394">
        <v>2.4</v>
      </c>
      <c r="B13" s="399">
        <v>2.4</v>
      </c>
      <c r="C13" s="396">
        <f t="shared" si="4"/>
        <v>2024</v>
      </c>
      <c r="D13" s="119">
        <f t="shared" si="5"/>
        <v>779.55374409318404</v>
      </c>
      <c r="E13" s="50">
        <f t="shared" si="3"/>
        <v>19500</v>
      </c>
      <c r="F13" s="119">
        <f t="shared" si="6"/>
        <v>1285.3290928701442</v>
      </c>
      <c r="G13" s="50">
        <f t="shared" si="0"/>
        <v>14300</v>
      </c>
      <c r="H13" s="407">
        <f t="shared" si="7"/>
        <v>1189.6715812536322</v>
      </c>
      <c r="I13" s="50">
        <f t="shared" si="1"/>
        <v>55200</v>
      </c>
      <c r="J13" s="407">
        <f t="shared" si="8"/>
        <v>1954.9316741857283</v>
      </c>
      <c r="K13" s="404">
        <f t="shared" si="2"/>
        <v>32500</v>
      </c>
      <c r="L13" s="13">
        <v>3</v>
      </c>
    </row>
    <row r="14" spans="1:12" ht="12.9" customHeight="1" thickBot="1">
      <c r="A14" s="394">
        <v>2.4</v>
      </c>
      <c r="B14" s="399">
        <v>2.4</v>
      </c>
      <c r="C14" s="396">
        <f t="shared" si="4"/>
        <v>2025</v>
      </c>
      <c r="D14" s="119">
        <f t="shared" si="5"/>
        <v>798.26303395142043</v>
      </c>
      <c r="E14" s="50">
        <f t="shared" si="3"/>
        <v>19900</v>
      </c>
      <c r="F14" s="119">
        <f t="shared" si="6"/>
        <v>1316.1769910990276</v>
      </c>
      <c r="G14" s="50">
        <f t="shared" si="0"/>
        <v>14600</v>
      </c>
      <c r="H14" s="407">
        <f t="shared" si="7"/>
        <v>1218.2236992037194</v>
      </c>
      <c r="I14" s="50">
        <f t="shared" si="1"/>
        <v>56500</v>
      </c>
      <c r="J14" s="407">
        <f t="shared" si="8"/>
        <v>2001.8500343661858</v>
      </c>
      <c r="K14" s="404">
        <f t="shared" si="2"/>
        <v>33300</v>
      </c>
      <c r="L14" s="136">
        <v>4</v>
      </c>
    </row>
    <row r="15" spans="1:12" ht="12.9" customHeight="1" thickBot="1">
      <c r="A15" s="394">
        <v>2.4</v>
      </c>
      <c r="B15" s="399">
        <v>2.4</v>
      </c>
      <c r="C15" s="396">
        <f t="shared" si="4"/>
        <v>2026</v>
      </c>
      <c r="D15" s="119">
        <f t="shared" si="5"/>
        <v>817.42134676625449</v>
      </c>
      <c r="E15" s="50">
        <f t="shared" si="3"/>
        <v>20400</v>
      </c>
      <c r="F15" s="119">
        <f t="shared" si="6"/>
        <v>1347.7652388854044</v>
      </c>
      <c r="G15" s="50">
        <f t="shared" si="0"/>
        <v>15000</v>
      </c>
      <c r="H15" s="407">
        <f t="shared" si="7"/>
        <v>1247.4610679846087</v>
      </c>
      <c r="I15" s="50">
        <f t="shared" si="1"/>
        <v>57900</v>
      </c>
      <c r="J15" s="407">
        <f t="shared" si="8"/>
        <v>2049.8944351909745</v>
      </c>
      <c r="K15" s="404">
        <f t="shared" si="2"/>
        <v>34100</v>
      </c>
      <c r="L15" s="13">
        <v>5</v>
      </c>
    </row>
    <row r="16" spans="1:12" ht="12.9" customHeight="1" thickBot="1">
      <c r="A16" s="394">
        <v>2.4</v>
      </c>
      <c r="B16" s="399">
        <v>2.4</v>
      </c>
      <c r="C16" s="396">
        <f t="shared" si="4"/>
        <v>2027</v>
      </c>
      <c r="D16" s="119">
        <f t="shared" si="5"/>
        <v>837.03945908864466</v>
      </c>
      <c r="E16" s="50">
        <f t="shared" si="3"/>
        <v>20900</v>
      </c>
      <c r="F16" s="119">
        <f t="shared" si="6"/>
        <v>1380.1116046186542</v>
      </c>
      <c r="G16" s="50">
        <f t="shared" si="0"/>
        <v>15300</v>
      </c>
      <c r="H16" s="407">
        <f t="shared" si="7"/>
        <v>1277.4001336162394</v>
      </c>
      <c r="I16" s="50">
        <f t="shared" si="1"/>
        <v>59300</v>
      </c>
      <c r="J16" s="407">
        <f t="shared" si="8"/>
        <v>2099.0919016355579</v>
      </c>
      <c r="K16" s="404">
        <f t="shared" si="2"/>
        <v>34900</v>
      </c>
      <c r="L16" s="136">
        <v>6</v>
      </c>
    </row>
    <row r="17" spans="1:12" ht="12.9" customHeight="1" thickBot="1">
      <c r="A17" s="394">
        <v>2.4</v>
      </c>
      <c r="B17" s="399">
        <v>2.4</v>
      </c>
      <c r="C17" s="396">
        <f t="shared" si="4"/>
        <v>2028</v>
      </c>
      <c r="D17" s="119">
        <f t="shared" si="5"/>
        <v>857.1284061067721</v>
      </c>
      <c r="E17" s="50">
        <f t="shared" si="3"/>
        <v>21400</v>
      </c>
      <c r="F17" s="119">
        <f t="shared" si="6"/>
        <v>1413.2342831295018</v>
      </c>
      <c r="G17" s="50">
        <f t="shared" si="0"/>
        <v>15700</v>
      </c>
      <c r="H17" s="407">
        <f t="shared" si="7"/>
        <v>1308.0577368230292</v>
      </c>
      <c r="I17" s="50">
        <f t="shared" si="1"/>
        <v>60700</v>
      </c>
      <c r="J17" s="407">
        <f t="shared" si="8"/>
        <v>2149.4701072748112</v>
      </c>
      <c r="K17" s="404">
        <f t="shared" si="2"/>
        <v>35800</v>
      </c>
      <c r="L17" s="13">
        <v>7</v>
      </c>
    </row>
    <row r="18" spans="1:12" ht="12.9" customHeight="1" thickBot="1">
      <c r="A18" s="394">
        <v>2.4</v>
      </c>
      <c r="B18" s="399">
        <v>2.4</v>
      </c>
      <c r="C18" s="396">
        <f t="shared" si="4"/>
        <v>2029</v>
      </c>
      <c r="D18" s="119">
        <f t="shared" si="5"/>
        <v>877.69948785333463</v>
      </c>
      <c r="E18" s="50">
        <f t="shared" si="3"/>
        <v>21900</v>
      </c>
      <c r="F18" s="119">
        <f t="shared" si="6"/>
        <v>1447.15190592461</v>
      </c>
      <c r="G18" s="50">
        <f t="shared" si="0"/>
        <v>16100</v>
      </c>
      <c r="H18" s="407">
        <f t="shared" si="7"/>
        <v>1339.451122506782</v>
      </c>
      <c r="I18" s="50">
        <f t="shared" si="1"/>
        <v>62100</v>
      </c>
      <c r="J18" s="407">
        <f t="shared" si="8"/>
        <v>2201.0573898494067</v>
      </c>
      <c r="K18" s="404">
        <f t="shared" si="2"/>
        <v>36600</v>
      </c>
      <c r="L18" s="136">
        <v>8</v>
      </c>
    </row>
    <row r="19" spans="1:12" ht="12.9" customHeight="1" thickBot="1">
      <c r="A19" s="394">
        <v>2.4</v>
      </c>
      <c r="B19" s="399">
        <v>2.4</v>
      </c>
      <c r="C19" s="396">
        <f t="shared" si="4"/>
        <v>2030</v>
      </c>
      <c r="D19" s="119">
        <f t="shared" si="5"/>
        <v>898.76427556181466</v>
      </c>
      <c r="E19" s="50">
        <f t="shared" si="3"/>
        <v>22400</v>
      </c>
      <c r="F19" s="119">
        <f t="shared" si="6"/>
        <v>1481.8835516668007</v>
      </c>
      <c r="G19" s="50">
        <f t="shared" si="0"/>
        <v>16400</v>
      </c>
      <c r="H19" s="407">
        <f t="shared" si="7"/>
        <v>1371.5979494469448</v>
      </c>
      <c r="I19" s="50">
        <f t="shared" si="1"/>
        <v>63600</v>
      </c>
      <c r="J19" s="407">
        <f t="shared" si="8"/>
        <v>2253.8827672057923</v>
      </c>
      <c r="K19" s="404">
        <f t="shared" si="2"/>
        <v>37500</v>
      </c>
      <c r="L19" s="13">
        <v>9</v>
      </c>
    </row>
    <row r="20" spans="1:12" ht="12.9" customHeight="1" thickBot="1">
      <c r="A20" s="394">
        <v>2.4</v>
      </c>
      <c r="B20" s="399">
        <v>2.4</v>
      </c>
      <c r="C20" s="396">
        <f t="shared" si="4"/>
        <v>2031</v>
      </c>
      <c r="D20" s="119">
        <f t="shared" si="5"/>
        <v>920.33461817529826</v>
      </c>
      <c r="E20" s="50">
        <f t="shared" si="3"/>
        <v>23000</v>
      </c>
      <c r="F20" s="119">
        <f t="shared" si="6"/>
        <v>1517.448756906804</v>
      </c>
      <c r="G20" s="50">
        <f t="shared" si="0"/>
        <v>16800</v>
      </c>
      <c r="H20" s="407">
        <f t="shared" si="7"/>
        <v>1404.5163002336715</v>
      </c>
      <c r="I20" s="50">
        <f t="shared" si="1"/>
        <v>65200</v>
      </c>
      <c r="J20" s="407">
        <f t="shared" si="8"/>
        <v>2307.9759536187312</v>
      </c>
      <c r="K20" s="404">
        <f t="shared" si="2"/>
        <v>38400</v>
      </c>
      <c r="L20" s="136">
        <v>10</v>
      </c>
    </row>
    <row r="21" spans="1:12" ht="12.9" customHeight="1" thickBot="1">
      <c r="A21" s="394">
        <v>2.4</v>
      </c>
      <c r="B21" s="399">
        <v>2.4</v>
      </c>
      <c r="C21" s="396">
        <f t="shared" si="4"/>
        <v>2032</v>
      </c>
      <c r="D21" s="119">
        <f t="shared" si="5"/>
        <v>942.42264901150543</v>
      </c>
      <c r="E21" s="50">
        <f t="shared" si="3"/>
        <v>23500</v>
      </c>
      <c r="F21" s="119">
        <f t="shared" si="6"/>
        <v>1553.8675270725673</v>
      </c>
      <c r="G21" s="50">
        <f t="shared" si="0"/>
        <v>17200</v>
      </c>
      <c r="H21" s="407">
        <f t="shared" si="7"/>
        <v>1438.2246914392797</v>
      </c>
      <c r="I21" s="50">
        <f t="shared" si="1"/>
        <v>66700</v>
      </c>
      <c r="J21" s="407">
        <f t="shared" si="8"/>
        <v>2363.367376505581</v>
      </c>
      <c r="K21" s="50">
        <f t="shared" si="2"/>
        <v>39400</v>
      </c>
      <c r="L21" s="13">
        <v>11</v>
      </c>
    </row>
    <row r="22" spans="1:12" ht="12.9" customHeight="1" thickBot="1">
      <c r="A22" s="394">
        <v>2.4</v>
      </c>
      <c r="B22" s="399">
        <v>2.4</v>
      </c>
      <c r="C22" s="396">
        <f t="shared" si="4"/>
        <v>2033</v>
      </c>
      <c r="D22" s="119">
        <f t="shared" si="5"/>
        <v>965.04079258778154</v>
      </c>
      <c r="E22" s="50">
        <f t="shared" si="3"/>
        <v>24100</v>
      </c>
      <c r="F22" s="119">
        <f t="shared" si="6"/>
        <v>1591.1603477223089</v>
      </c>
      <c r="G22" s="50">
        <f t="shared" si="0"/>
        <v>17700</v>
      </c>
      <c r="H22" s="407">
        <f t="shared" si="7"/>
        <v>1472.7420840338225</v>
      </c>
      <c r="I22" s="50">
        <f t="shared" si="1"/>
        <v>68300</v>
      </c>
      <c r="J22" s="407">
        <f t="shared" si="8"/>
        <v>2420.0881935417151</v>
      </c>
      <c r="K22" s="50">
        <f t="shared" si="2"/>
        <v>40300</v>
      </c>
      <c r="L22" s="136">
        <v>12</v>
      </c>
    </row>
    <row r="23" spans="1:12" ht="12.9" customHeight="1" thickBot="1">
      <c r="A23" s="394">
        <v>2.4</v>
      </c>
      <c r="B23" s="399">
        <v>2.4</v>
      </c>
      <c r="C23" s="396">
        <f t="shared" si="4"/>
        <v>2034</v>
      </c>
      <c r="D23" s="119">
        <f t="shared" si="5"/>
        <v>988.20177160988828</v>
      </c>
      <c r="E23" s="50">
        <f t="shared" si="3"/>
        <v>24700</v>
      </c>
      <c r="F23" s="119">
        <f t="shared" si="6"/>
        <v>1629.3481960676443</v>
      </c>
      <c r="G23" s="50">
        <f t="shared" si="0"/>
        <v>18100</v>
      </c>
      <c r="H23" s="407">
        <f t="shared" si="7"/>
        <v>1508.0878940506343</v>
      </c>
      <c r="I23" s="50">
        <f t="shared" si="1"/>
        <v>70000</v>
      </c>
      <c r="J23" s="407">
        <f t="shared" si="8"/>
        <v>2478.1703101867165</v>
      </c>
      <c r="K23" s="50">
        <f t="shared" si="2"/>
        <v>41300</v>
      </c>
      <c r="L23" s="13">
        <v>13</v>
      </c>
    </row>
    <row r="24" spans="1:12" ht="12.9" customHeight="1" thickBot="1">
      <c r="A24" s="394">
        <v>2.4</v>
      </c>
      <c r="B24" s="399">
        <v>2.4</v>
      </c>
      <c r="C24" s="396">
        <f t="shared" si="4"/>
        <v>2035</v>
      </c>
      <c r="D24" s="119">
        <f t="shared" si="5"/>
        <v>1011.9186141285256</v>
      </c>
      <c r="E24" s="50">
        <f t="shared" si="3"/>
        <v>25300</v>
      </c>
      <c r="F24" s="119">
        <f t="shared" si="6"/>
        <v>1668.4525527732678</v>
      </c>
      <c r="G24" s="50">
        <f t="shared" si="0"/>
        <v>18500</v>
      </c>
      <c r="H24" s="407">
        <f t="shared" si="7"/>
        <v>1544.2820035078496</v>
      </c>
      <c r="I24" s="50">
        <f t="shared" si="1"/>
        <v>71700</v>
      </c>
      <c r="J24" s="407">
        <f t="shared" si="8"/>
        <v>2537.6463976311979</v>
      </c>
      <c r="K24" s="50">
        <f t="shared" si="2"/>
        <v>42300</v>
      </c>
      <c r="L24" s="136">
        <v>14</v>
      </c>
    </row>
    <row r="25" spans="1:12" ht="12.9" customHeight="1" thickBot="1">
      <c r="A25" s="394">
        <v>2.4</v>
      </c>
      <c r="B25" s="399">
        <v>2.4</v>
      </c>
      <c r="C25" s="396">
        <f t="shared" si="4"/>
        <v>2036</v>
      </c>
      <c r="D25" s="119">
        <f t="shared" si="5"/>
        <v>1036.2046608676103</v>
      </c>
      <c r="E25" s="50">
        <f t="shared" si="3"/>
        <v>25900</v>
      </c>
      <c r="F25" s="119">
        <f t="shared" si="6"/>
        <v>1708.4954140398263</v>
      </c>
      <c r="G25" s="50">
        <f t="shared" si="0"/>
        <v>19000</v>
      </c>
      <c r="H25" s="407">
        <f t="shared" si="7"/>
        <v>1581.3447715920381</v>
      </c>
      <c r="I25" s="50">
        <f t="shared" si="1"/>
        <v>73400</v>
      </c>
      <c r="J25" s="407">
        <f t="shared" si="8"/>
        <v>2598.5499111743466</v>
      </c>
      <c r="K25" s="50">
        <f t="shared" si="2"/>
        <v>43300</v>
      </c>
      <c r="L25" s="13">
        <v>15</v>
      </c>
    </row>
    <row r="26" spans="1:12" ht="12.9" customHeight="1" thickBot="1">
      <c r="A26" s="394">
        <v>2.4</v>
      </c>
      <c r="B26" s="399">
        <v>2.4</v>
      </c>
      <c r="C26" s="396">
        <f t="shared" si="4"/>
        <v>2037</v>
      </c>
      <c r="D26" s="119">
        <f t="shared" si="5"/>
        <v>1061.073572728433</v>
      </c>
      <c r="E26" s="50">
        <f t="shared" si="3"/>
        <v>26500</v>
      </c>
      <c r="F26" s="119">
        <f t="shared" si="6"/>
        <v>1749.4993039767821</v>
      </c>
      <c r="G26" s="50">
        <f t="shared" si="0"/>
        <v>19400</v>
      </c>
      <c r="H26" s="407">
        <f t="shared" si="7"/>
        <v>1619.297046110247</v>
      </c>
      <c r="I26" s="50">
        <f t="shared" si="1"/>
        <v>75100</v>
      </c>
      <c r="J26" s="407">
        <f t="shared" si="8"/>
        <v>2660.9151090425307</v>
      </c>
      <c r="K26" s="404">
        <f t="shared" si="2"/>
        <v>44300</v>
      </c>
      <c r="L26" s="136">
        <v>16</v>
      </c>
    </row>
    <row r="27" spans="1:12" ht="12.9" customHeight="1" thickBot="1">
      <c r="A27" s="394">
        <v>2.4</v>
      </c>
      <c r="B27" s="399">
        <v>2.4</v>
      </c>
      <c r="C27" s="396">
        <f t="shared" si="4"/>
        <v>2038</v>
      </c>
      <c r="D27" s="119">
        <f t="shared" si="5"/>
        <v>1086.5393384739154</v>
      </c>
      <c r="E27" s="50">
        <f t="shared" si="3"/>
        <v>27100</v>
      </c>
      <c r="F27" s="119">
        <f t="shared" si="6"/>
        <v>1791.4872872722249</v>
      </c>
      <c r="G27" s="50">
        <f t="shared" si="0"/>
        <v>19900</v>
      </c>
      <c r="H27" s="407">
        <f t="shared" si="7"/>
        <v>1658.1601752168931</v>
      </c>
      <c r="I27" s="50">
        <f t="shared" si="1"/>
        <v>76900</v>
      </c>
      <c r="J27" s="407">
        <f t="shared" si="8"/>
        <v>2724.7770716595514</v>
      </c>
      <c r="K27" s="50">
        <f t="shared" si="2"/>
        <v>45400</v>
      </c>
      <c r="L27" s="13">
        <v>17</v>
      </c>
    </row>
    <row r="28" spans="1:12" ht="12.9" customHeight="1" thickBot="1">
      <c r="A28" s="394">
        <v>2.4</v>
      </c>
      <c r="B28" s="399">
        <v>2.4</v>
      </c>
      <c r="C28" s="396">
        <f t="shared" si="4"/>
        <v>2039</v>
      </c>
      <c r="D28" s="119">
        <f t="shared" si="5"/>
        <v>1112.6162825972895</v>
      </c>
      <c r="E28" s="50">
        <f t="shared" si="3"/>
        <v>27800</v>
      </c>
      <c r="F28" s="119">
        <f t="shared" si="6"/>
        <v>1834.4829821667583</v>
      </c>
      <c r="G28" s="50">
        <f t="shared" si="0"/>
        <v>20400</v>
      </c>
      <c r="H28" s="407">
        <f t="shared" si="7"/>
        <v>1697.9560194220985</v>
      </c>
      <c r="I28" s="50">
        <f t="shared" si="1"/>
        <v>78800</v>
      </c>
      <c r="J28" s="407">
        <f t="shared" si="8"/>
        <v>2790.1717213793809</v>
      </c>
      <c r="K28" s="50">
        <f t="shared" si="2"/>
        <v>46500</v>
      </c>
      <c r="L28" s="136">
        <v>18</v>
      </c>
    </row>
    <row r="29" spans="1:12" ht="12.9" customHeight="1" thickBot="1">
      <c r="A29" s="394">
        <v>2.4</v>
      </c>
      <c r="B29" s="399">
        <v>2.4</v>
      </c>
      <c r="C29" s="396">
        <f t="shared" si="4"/>
        <v>2040</v>
      </c>
      <c r="D29" s="119">
        <f t="shared" si="5"/>
        <v>1139.3190733796243</v>
      </c>
      <c r="E29" s="50">
        <f t="shared" si="3"/>
        <v>28500</v>
      </c>
      <c r="F29" s="119">
        <f t="shared" si="6"/>
        <v>1878.5105737387605</v>
      </c>
      <c r="G29" s="50">
        <f t="shared" si="0"/>
        <v>20900</v>
      </c>
      <c r="H29" s="407">
        <f t="shared" si="7"/>
        <v>1738.706963888229</v>
      </c>
      <c r="I29" s="50">
        <f t="shared" si="1"/>
        <v>80700</v>
      </c>
      <c r="J29" s="407">
        <f t="shared" si="8"/>
        <v>2857.1358426924862</v>
      </c>
      <c r="K29" s="50">
        <f t="shared" si="2"/>
        <v>47600</v>
      </c>
      <c r="L29" s="13">
        <v>19</v>
      </c>
    </row>
    <row r="30" spans="1:12" ht="12.9" customHeight="1" thickBot="1">
      <c r="A30" s="394">
        <v>2.4</v>
      </c>
      <c r="B30" s="399">
        <v>2.4</v>
      </c>
      <c r="C30" s="396">
        <f t="shared" si="4"/>
        <v>2041</v>
      </c>
      <c r="D30" s="119">
        <f t="shared" si="5"/>
        <v>1166.6627311407353</v>
      </c>
      <c r="E30" s="50">
        <f t="shared" si="3"/>
        <v>29100</v>
      </c>
      <c r="F30" s="119">
        <f t="shared" si="6"/>
        <v>1923.5948275084909</v>
      </c>
      <c r="G30" s="50">
        <f t="shared" si="0"/>
        <v>21400</v>
      </c>
      <c r="H30" s="407">
        <f t="shared" si="7"/>
        <v>1780.4359310215466</v>
      </c>
      <c r="I30" s="50">
        <f t="shared" si="1"/>
        <v>82600</v>
      </c>
      <c r="J30" s="407">
        <f t="shared" si="8"/>
        <v>2925.7071029171061</v>
      </c>
      <c r="K30" s="50">
        <f t="shared" si="2"/>
        <v>48700</v>
      </c>
      <c r="L30" s="136">
        <v>20</v>
      </c>
    </row>
    <row r="31" spans="1:12" ht="12.9" customHeight="1" thickBot="1">
      <c r="A31" s="394">
        <v>2.4</v>
      </c>
      <c r="B31" s="399">
        <v>2.4</v>
      </c>
      <c r="C31" s="396">
        <f t="shared" si="4"/>
        <v>2042</v>
      </c>
      <c r="D31" s="119">
        <f t="shared" si="5"/>
        <v>1194.662636688113</v>
      </c>
      <c r="E31" s="50">
        <f t="shared" si="3"/>
        <v>29800</v>
      </c>
      <c r="F31" s="119">
        <f t="shared" si="6"/>
        <v>1969.7611033686946</v>
      </c>
      <c r="G31" s="50">
        <f t="shared" si="0"/>
        <v>21900</v>
      </c>
      <c r="H31" s="407">
        <f t="shared" si="7"/>
        <v>1823.1663933660639</v>
      </c>
      <c r="I31" s="50">
        <f t="shared" si="1"/>
        <v>84600</v>
      </c>
      <c r="J31" s="407">
        <f t="shared" si="8"/>
        <v>2995.9240733871166</v>
      </c>
      <c r="K31" s="50">
        <f t="shared" si="2"/>
        <v>49900</v>
      </c>
      <c r="L31" s="13">
        <v>21</v>
      </c>
    </row>
    <row r="32" spans="1:12" ht="12.9" customHeight="1" thickBot="1">
      <c r="A32" s="394">
        <v>2.4</v>
      </c>
      <c r="B32" s="399">
        <v>2.4</v>
      </c>
      <c r="C32" s="396">
        <f t="shared" si="4"/>
        <v>2043</v>
      </c>
      <c r="D32" s="119">
        <f t="shared" si="5"/>
        <v>1223.3345399686277</v>
      </c>
      <c r="E32" s="50">
        <f t="shared" si="3"/>
        <v>30600</v>
      </c>
      <c r="F32" s="119">
        <f t="shared" si="6"/>
        <v>2017.0353698495433</v>
      </c>
      <c r="G32" s="50">
        <f t="shared" si="0"/>
        <v>22400</v>
      </c>
      <c r="H32" s="407">
        <f t="shared" si="7"/>
        <v>1866.9223868068493</v>
      </c>
      <c r="I32" s="50">
        <f t="shared" si="1"/>
        <v>86600</v>
      </c>
      <c r="J32" s="407">
        <f t="shared" si="8"/>
        <v>3067.8262511484072</v>
      </c>
      <c r="K32" s="50">
        <f t="shared" si="2"/>
        <v>51100</v>
      </c>
      <c r="L32" s="136">
        <v>22</v>
      </c>
    </row>
    <row r="33" spans="1:12" ht="12.9" customHeight="1" thickBot="1">
      <c r="A33" s="394">
        <v>2.4</v>
      </c>
      <c r="B33" s="399">
        <v>2.4</v>
      </c>
      <c r="C33" s="396">
        <f t="shared" si="4"/>
        <v>2044</v>
      </c>
      <c r="D33" s="119">
        <f t="shared" si="5"/>
        <v>1252.6945689278748</v>
      </c>
      <c r="E33" s="50">
        <f t="shared" si="3"/>
        <v>31300</v>
      </c>
      <c r="F33" s="119">
        <f t="shared" si="6"/>
        <v>2065.4442187259324</v>
      </c>
      <c r="G33" s="50">
        <f t="shared" si="0"/>
        <v>22900</v>
      </c>
      <c r="H33" s="407">
        <f t="shared" si="7"/>
        <v>1911.7285240902138</v>
      </c>
      <c r="I33" s="50">
        <f t="shared" si="1"/>
        <v>88700</v>
      </c>
      <c r="J33" s="407">
        <f t="shared" si="8"/>
        <v>3141.4540811759689</v>
      </c>
      <c r="K33" s="50">
        <f t="shared" si="2"/>
        <v>52300</v>
      </c>
      <c r="L33" s="13">
        <v>23</v>
      </c>
    </row>
    <row r="34" spans="1:12" ht="12.9" customHeight="1" thickBot="1">
      <c r="A34" s="394">
        <v>2.4</v>
      </c>
      <c r="B34" s="399">
        <v>2.4</v>
      </c>
      <c r="C34" s="396">
        <f t="shared" si="4"/>
        <v>2045</v>
      </c>
      <c r="D34" s="119">
        <f t="shared" si="5"/>
        <v>1282.7592385821438</v>
      </c>
      <c r="E34" s="50">
        <f t="shared" si="3"/>
        <v>32000</v>
      </c>
      <c r="F34" s="119">
        <f t="shared" si="6"/>
        <v>2115.0148799753547</v>
      </c>
      <c r="G34" s="50">
        <f t="shared" si="0"/>
        <v>23500</v>
      </c>
      <c r="H34" s="407">
        <f t="shared" si="7"/>
        <v>1957.6100086683789</v>
      </c>
      <c r="I34" s="50">
        <f t="shared" si="1"/>
        <v>90800</v>
      </c>
      <c r="J34" s="407">
        <f t="shared" si="8"/>
        <v>3216.8489791241923</v>
      </c>
      <c r="K34" s="50">
        <f t="shared" si="2"/>
        <v>53600</v>
      </c>
      <c r="L34" s="136">
        <v>24</v>
      </c>
    </row>
    <row r="35" spans="1:12" ht="12.9" customHeight="1" thickBot="1">
      <c r="A35" s="394">
        <v>2.4</v>
      </c>
      <c r="B35" s="399">
        <v>2.4</v>
      </c>
      <c r="C35" s="396">
        <f t="shared" si="4"/>
        <v>2046</v>
      </c>
      <c r="D35" s="119">
        <f t="shared" si="5"/>
        <v>1313.5454603081153</v>
      </c>
      <c r="E35" s="50">
        <f t="shared" si="3"/>
        <v>32800</v>
      </c>
      <c r="F35" s="119">
        <f t="shared" si="6"/>
        <v>2165.7752370947633</v>
      </c>
      <c r="G35" s="50">
        <f t="shared" si="0"/>
        <v>24000</v>
      </c>
      <c r="H35" s="407">
        <f t="shared" si="7"/>
        <v>2004.5926488764201</v>
      </c>
      <c r="I35" s="50">
        <f t="shared" si="1"/>
        <v>93000</v>
      </c>
      <c r="J35" s="407">
        <f t="shared" si="8"/>
        <v>3294.0533546231732</v>
      </c>
      <c r="K35" s="50">
        <f t="shared" si="2"/>
        <v>54800</v>
      </c>
      <c r="L35" s="13">
        <v>25</v>
      </c>
    </row>
    <row r="36" spans="1:12" ht="12.9" customHeight="1" thickBot="1">
      <c r="A36" s="394">
        <v>2.4</v>
      </c>
      <c r="B36" s="399">
        <v>2.4</v>
      </c>
      <c r="C36" s="396">
        <f t="shared" si="4"/>
        <v>2047</v>
      </c>
      <c r="D36" s="119">
        <f t="shared" si="5"/>
        <v>1345.0705513555101</v>
      </c>
      <c r="E36" s="50">
        <f t="shared" si="3"/>
        <v>33600</v>
      </c>
      <c r="F36" s="119">
        <f t="shared" si="6"/>
        <v>2217.7538427850377</v>
      </c>
      <c r="G36" s="50">
        <f t="shared" si="0"/>
        <v>24600</v>
      </c>
      <c r="H36" s="407">
        <f t="shared" si="7"/>
        <v>2052.7028724494544</v>
      </c>
      <c r="I36" s="50">
        <f t="shared" si="1"/>
        <v>95200</v>
      </c>
      <c r="J36" s="407">
        <f t="shared" si="8"/>
        <v>3373.1106351341296</v>
      </c>
      <c r="K36" s="50">
        <f t="shared" si="2"/>
        <v>56200</v>
      </c>
      <c r="L36" s="136">
        <v>26</v>
      </c>
    </row>
    <row r="37" spans="1:12" ht="12.9" customHeight="1" thickBot="1">
      <c r="A37" s="394">
        <v>2.4</v>
      </c>
      <c r="B37" s="399">
        <v>2.4</v>
      </c>
      <c r="C37" s="396">
        <f t="shared" si="4"/>
        <v>2048</v>
      </c>
      <c r="D37" s="119">
        <f t="shared" si="5"/>
        <v>1377.3522445880424</v>
      </c>
      <c r="E37" s="50">
        <f t="shared" si="3"/>
        <v>34400</v>
      </c>
      <c r="F37" s="119">
        <f t="shared" si="6"/>
        <v>2270.9799350118788</v>
      </c>
      <c r="G37" s="50">
        <f t="shared" si="0"/>
        <v>25200</v>
      </c>
      <c r="H37" s="407">
        <f t="shared" si="7"/>
        <v>2101.9677413882414</v>
      </c>
      <c r="I37" s="50">
        <f t="shared" si="1"/>
        <v>97500</v>
      </c>
      <c r="J37" s="407">
        <f t="shared" si="8"/>
        <v>3454.0652903773489</v>
      </c>
      <c r="K37" s="50">
        <f t="shared" si="2"/>
        <v>57500</v>
      </c>
      <c r="L37" s="13">
        <v>27</v>
      </c>
    </row>
    <row r="38" spans="1:12" ht="12.9" customHeight="1" thickBot="1">
      <c r="A38" s="394">
        <v>2.4</v>
      </c>
      <c r="B38" s="399">
        <v>2.4</v>
      </c>
      <c r="C38" s="396">
        <f t="shared" si="4"/>
        <v>2049</v>
      </c>
      <c r="D38" s="119">
        <f t="shared" si="5"/>
        <v>1410.4086984581554</v>
      </c>
      <c r="E38" s="50">
        <f t="shared" si="3"/>
        <v>35200</v>
      </c>
      <c r="F38" s="119">
        <f t="shared" si="6"/>
        <v>2325.4834534521638</v>
      </c>
      <c r="G38" s="50">
        <f t="shared" si="0"/>
        <v>25800</v>
      </c>
      <c r="H38" s="407">
        <f t="shared" si="7"/>
        <v>2152.4149671815594</v>
      </c>
      <c r="I38" s="50">
        <f t="shared" si="1"/>
        <v>99900</v>
      </c>
      <c r="J38" s="407">
        <f t="shared" si="8"/>
        <v>3536.9628573464051</v>
      </c>
      <c r="K38" s="50">
        <f t="shared" si="2"/>
        <v>58900</v>
      </c>
      <c r="L38" s="136">
        <v>28</v>
      </c>
    </row>
    <row r="39" spans="1:12" ht="12.9" customHeight="1" thickBot="1">
      <c r="A39" s="401">
        <v>2.4</v>
      </c>
      <c r="B39" s="402">
        <v>2.4</v>
      </c>
      <c r="C39" s="396">
        <f t="shared" si="4"/>
        <v>2050</v>
      </c>
      <c r="D39" s="119">
        <f t="shared" si="5"/>
        <v>1444.2585072211511</v>
      </c>
      <c r="E39" s="50">
        <f t="shared" si="3"/>
        <v>36100</v>
      </c>
      <c r="F39" s="119">
        <f t="shared" si="6"/>
        <v>2381.2950563350159</v>
      </c>
      <c r="G39" s="50">
        <f t="shared" si="0"/>
        <v>26400</v>
      </c>
      <c r="H39" s="407">
        <f t="shared" si="7"/>
        <v>2204.072926393917</v>
      </c>
      <c r="I39" s="50">
        <f t="shared" si="1"/>
        <v>102300</v>
      </c>
      <c r="J39" s="407">
        <f t="shared" si="8"/>
        <v>3621.8499659227191</v>
      </c>
      <c r="K39" s="50">
        <f t="shared" si="2"/>
        <v>60300</v>
      </c>
      <c r="L39" s="13">
        <v>29</v>
      </c>
    </row>
  </sheetData>
  <phoneticPr fontId="0" type="noConversion"/>
  <printOptions horizontalCentered="1"/>
  <pageMargins left="0.12" right="0.16" top="0.28999999999999998" bottom="0.54" header="0.25" footer="0.25"/>
  <pageSetup scale="71" orientation="landscape" horizontalDpi="300" verticalDpi="300" r:id="rId1"/>
  <headerFooter alignWithMargins="0">
    <oddFooter>&amp;L&amp;10&amp;F  &amp;A&amp;C&amp;10Resource Planning  &amp;P/&amp;N&amp;R&amp;10&amp;D  &amp;T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  <pageSetUpPr fitToPage="1"/>
  </sheetPr>
  <dimension ref="A2:AE31"/>
  <sheetViews>
    <sheetView workbookViewId="0">
      <pane xSplit="1" ySplit="8" topLeftCell="B9" activePane="bottomRight" state="frozen"/>
      <selection activeCell="A6" sqref="A6"/>
      <selection pane="topRight" activeCell="A6" sqref="A6"/>
      <selection pane="bottomLeft" activeCell="A6" sqref="A6"/>
      <selection pane="bottomRight" activeCell="B23" sqref="B23"/>
    </sheetView>
  </sheetViews>
  <sheetFormatPr defaultColWidth="8.90625" defaultRowHeight="12.9" customHeight="1"/>
  <cols>
    <col min="1" max="3" width="4" style="6" customWidth="1"/>
    <col min="4" max="4" width="3.54296875" style="6" customWidth="1"/>
    <col min="5" max="5" width="3.81640625" style="6" customWidth="1"/>
    <col min="6" max="6" width="2.90625" style="6" bestFit="1" customWidth="1"/>
    <col min="7" max="7" width="5.6328125" style="6" bestFit="1" customWidth="1"/>
    <col min="8" max="8" width="3.81640625" style="6" bestFit="1" customWidth="1"/>
    <col min="9" max="9" width="4.08984375" style="6" bestFit="1" customWidth="1"/>
    <col min="10" max="10" width="3.54296875" style="6" customWidth="1"/>
    <col min="11" max="11" width="3.453125" style="6" customWidth="1"/>
    <col min="12" max="12" width="4" style="6" customWidth="1"/>
    <col min="13" max="13" width="3.81640625" style="6" customWidth="1"/>
    <col min="14" max="14" width="4.54296875" style="6" customWidth="1"/>
    <col min="15" max="15" width="4.453125" style="6" customWidth="1"/>
    <col min="16" max="16" width="4.54296875" style="13" customWidth="1"/>
    <col min="17" max="17" width="4.453125" style="13" customWidth="1"/>
    <col min="18" max="18" width="5.36328125" style="13" customWidth="1"/>
    <col min="19" max="19" width="5" style="13" customWidth="1"/>
    <col min="20" max="21" width="5.08984375" style="13" customWidth="1"/>
    <col min="22" max="22" width="4.36328125" style="13" customWidth="1"/>
    <col min="23" max="23" width="3.6328125" style="13" customWidth="1"/>
    <col min="24" max="24" width="4" style="13" customWidth="1"/>
    <col min="25" max="25" width="4.36328125" style="13" customWidth="1"/>
    <col min="26" max="26" width="4.1796875" style="13" customWidth="1"/>
    <col min="27" max="27" width="3.453125" style="13" customWidth="1"/>
    <col min="28" max="28" width="4.453125" style="13" customWidth="1"/>
    <col min="29" max="29" width="4.36328125" style="13" customWidth="1"/>
    <col min="30" max="30" width="4.81640625" style="13" customWidth="1"/>
    <col min="31" max="31" width="5.1796875" style="13" customWidth="1"/>
    <col min="32" max="16384" width="8.90625" style="13"/>
  </cols>
  <sheetData>
    <row r="2" spans="1:31" ht="12.9" customHeight="1">
      <c r="A2" s="540" t="s">
        <v>91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540"/>
      <c r="T2" s="540"/>
      <c r="U2" s="540"/>
    </row>
    <row r="3" spans="1:31" ht="12.9" customHeight="1">
      <c r="A3" s="540" t="s">
        <v>120</v>
      </c>
      <c r="B3" s="540"/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  <c r="S3" s="540"/>
      <c r="T3" s="540"/>
      <c r="U3" s="540"/>
    </row>
    <row r="4" spans="1:31" ht="12.9" customHeight="1">
      <c r="A4" s="539"/>
      <c r="B4" s="539"/>
      <c r="C4" s="539"/>
      <c r="D4" s="539"/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T4" s="547"/>
      <c r="U4" s="547"/>
      <c r="V4" s="547"/>
      <c r="W4" s="547"/>
      <c r="X4" s="547"/>
      <c r="Y4" s="547"/>
    </row>
    <row r="5" spans="1:31" ht="12.9" customHeight="1">
      <c r="A5" s="41"/>
      <c r="B5" s="47" t="s">
        <v>63</v>
      </c>
      <c r="C5" s="41"/>
      <c r="D5" s="41"/>
      <c r="E5" s="41"/>
      <c r="F5" s="41"/>
      <c r="G5" s="48">
        <f>'Exp Plan'!H8</f>
        <v>0</v>
      </c>
      <c r="H5" s="134" t="s">
        <v>114</v>
      </c>
      <c r="I5" s="39"/>
      <c r="J5" s="48">
        <f>'Exp Plan'!I8</f>
        <v>0</v>
      </c>
      <c r="K5" s="47" t="s">
        <v>115</v>
      </c>
      <c r="L5" s="47"/>
      <c r="M5" s="41"/>
      <c r="N5" s="41"/>
      <c r="O5" s="41"/>
      <c r="T5" s="27"/>
      <c r="U5" s="27"/>
      <c r="V5" s="27"/>
      <c r="W5" s="27"/>
      <c r="X5" s="27"/>
      <c r="Y5" s="27"/>
    </row>
    <row r="6" spans="1:31" ht="12.9" customHeight="1">
      <c r="A6" s="38"/>
      <c r="B6" s="92" t="s">
        <v>14</v>
      </c>
      <c r="C6" s="93"/>
      <c r="D6" s="51" t="s">
        <v>20</v>
      </c>
      <c r="E6" s="52"/>
      <c r="F6" s="548" t="s">
        <v>44</v>
      </c>
      <c r="G6" s="549"/>
      <c r="H6" s="564" t="s">
        <v>46</v>
      </c>
      <c r="I6" s="565"/>
      <c r="J6" s="545" t="s">
        <v>0</v>
      </c>
      <c r="K6" s="546"/>
      <c r="L6" s="543" t="s">
        <v>15</v>
      </c>
      <c r="M6" s="544"/>
      <c r="N6" s="11"/>
      <c r="O6" s="29"/>
      <c r="P6" s="541" t="s">
        <v>62</v>
      </c>
      <c r="Q6" s="542"/>
      <c r="R6" s="42">
        <v>0.94</v>
      </c>
      <c r="S6" s="46">
        <v>650</v>
      </c>
      <c r="T6" s="43">
        <v>0.94</v>
      </c>
      <c r="U6" s="44"/>
      <c r="V6" s="562"/>
      <c r="W6" s="562"/>
      <c r="X6" s="547"/>
      <c r="Y6" s="547"/>
      <c r="Z6" s="547"/>
      <c r="AA6" s="547"/>
      <c r="AB6" s="547"/>
      <c r="AC6" s="547"/>
      <c r="AD6" s="547"/>
      <c r="AE6" s="547"/>
    </row>
    <row r="7" spans="1:31" ht="12.9" customHeight="1">
      <c r="A7" s="24"/>
      <c r="B7" s="94" t="s">
        <v>17</v>
      </c>
      <c r="C7" s="95"/>
      <c r="D7" s="53" t="s">
        <v>48</v>
      </c>
      <c r="E7" s="54"/>
      <c r="F7" s="554" t="s">
        <v>45</v>
      </c>
      <c r="G7" s="555"/>
      <c r="H7" s="550" t="s">
        <v>47</v>
      </c>
      <c r="I7" s="551"/>
      <c r="J7" s="558" t="s">
        <v>35</v>
      </c>
      <c r="K7" s="559"/>
      <c r="L7" s="556" t="s">
        <v>18</v>
      </c>
      <c r="M7" s="557"/>
      <c r="N7" s="552" t="s">
        <v>19</v>
      </c>
      <c r="O7" s="553"/>
      <c r="P7" s="560" t="s">
        <v>61</v>
      </c>
      <c r="Q7" s="561"/>
      <c r="R7" s="451"/>
      <c r="T7" s="1"/>
      <c r="U7" s="7"/>
    </row>
    <row r="8" spans="1:31" ht="12.9" customHeight="1">
      <c r="A8" s="40"/>
      <c r="B8" s="96" t="s">
        <v>3</v>
      </c>
      <c r="C8" s="97" t="s">
        <v>4</v>
      </c>
      <c r="D8" s="57" t="s">
        <v>3</v>
      </c>
      <c r="E8" s="454" t="s">
        <v>4</v>
      </c>
      <c r="F8" s="453" t="s">
        <v>3</v>
      </c>
      <c r="G8" s="454" t="s">
        <v>4</v>
      </c>
      <c r="H8" s="455" t="s">
        <v>3</v>
      </c>
      <c r="I8" s="456" t="s">
        <v>4</v>
      </c>
      <c r="J8" s="459" t="s">
        <v>3</v>
      </c>
      <c r="K8" s="459" t="s">
        <v>4</v>
      </c>
      <c r="L8" s="457" t="s">
        <v>6</v>
      </c>
      <c r="M8" s="452" t="s">
        <v>7</v>
      </c>
      <c r="N8" s="457" t="s">
        <v>6</v>
      </c>
      <c r="O8" s="458" t="s">
        <v>7</v>
      </c>
      <c r="P8" s="5" t="s">
        <v>6</v>
      </c>
      <c r="Q8" s="4" t="s">
        <v>7</v>
      </c>
      <c r="R8" s="5" t="s">
        <v>55</v>
      </c>
      <c r="S8" s="45" t="s">
        <v>56</v>
      </c>
      <c r="T8" s="3" t="s">
        <v>57</v>
      </c>
      <c r="U8" s="4" t="s">
        <v>58</v>
      </c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12.9" customHeight="1">
      <c r="A9" s="9">
        <f>'Exp Plan'!A10</f>
        <v>2022</v>
      </c>
      <c r="B9" s="98">
        <f>'Exp Plan'!P10</f>
        <v>-119.32000000000016</v>
      </c>
      <c r="C9" s="98">
        <f>'Exp Plan'!Q10</f>
        <v>-558.86000000000013</v>
      </c>
      <c r="D9" s="55"/>
      <c r="E9" s="56"/>
      <c r="F9" s="55"/>
      <c r="G9" s="56"/>
      <c r="H9" s="58"/>
      <c r="I9" s="59"/>
      <c r="J9" s="60"/>
      <c r="K9" s="60"/>
      <c r="L9" s="10"/>
      <c r="M9" s="8"/>
      <c r="N9" s="36">
        <f>D9+F9+H9+J9-L9</f>
        <v>0</v>
      </c>
      <c r="O9" s="37">
        <f>E9+G9+I9+K9-M9</f>
        <v>0</v>
      </c>
      <c r="P9" s="15">
        <f>B9-N9</f>
        <v>-119.32000000000016</v>
      </c>
      <c r="Q9" s="14">
        <f>C9-O9</f>
        <v>-558.86000000000013</v>
      </c>
      <c r="R9" s="30">
        <f t="shared" ref="R9:R23" si="0">$R$6*P9</f>
        <v>-112.16080000000015</v>
      </c>
      <c r="S9" s="30">
        <f t="shared" ref="S9:S23" si="1">P9+$S$6</f>
        <v>530.67999999999984</v>
      </c>
      <c r="T9" s="15">
        <f t="shared" ref="T9:T23" si="2">IF(Q9&lt;40,0,$T$6*Q9)</f>
        <v>0</v>
      </c>
      <c r="U9" s="14">
        <f t="shared" ref="U9:U23" si="3">S9</f>
        <v>530.67999999999984</v>
      </c>
    </row>
    <row r="10" spans="1:31" ht="12.9" customHeight="1">
      <c r="A10" s="76">
        <f>A9+1</f>
        <v>2023</v>
      </c>
      <c r="B10" s="98">
        <f>'Exp Plan'!P11</f>
        <v>-74.660000000000309</v>
      </c>
      <c r="C10" s="98">
        <f>'Exp Plan'!Q11</f>
        <v>-487.0300000000002</v>
      </c>
      <c r="D10" s="55"/>
      <c r="E10" s="56"/>
      <c r="F10" s="55"/>
      <c r="G10" s="56"/>
      <c r="H10" s="59"/>
      <c r="I10" s="58"/>
      <c r="J10" s="60"/>
      <c r="K10" s="60"/>
      <c r="L10" s="13"/>
      <c r="M10" s="16"/>
      <c r="N10" s="30">
        <f t="shared" ref="N10:N23" si="4">D10+F10+H10+J10-L10+N9</f>
        <v>0</v>
      </c>
      <c r="O10" s="31">
        <f t="shared" ref="O10:O23" si="5">E10+G10+I10+K10-M10+O9</f>
        <v>0</v>
      </c>
      <c r="P10" s="15">
        <f>B10-N10</f>
        <v>-74.660000000000309</v>
      </c>
      <c r="Q10" s="14">
        <f>C10-O10</f>
        <v>-487.0300000000002</v>
      </c>
      <c r="R10" s="30">
        <f t="shared" si="0"/>
        <v>-70.18040000000029</v>
      </c>
      <c r="S10" s="30">
        <f t="shared" si="1"/>
        <v>575.33999999999969</v>
      </c>
      <c r="T10" s="15">
        <f t="shared" si="2"/>
        <v>0</v>
      </c>
      <c r="U10" s="14">
        <f t="shared" si="3"/>
        <v>575.33999999999969</v>
      </c>
    </row>
    <row r="11" spans="1:31" ht="12.9" customHeight="1">
      <c r="A11" s="76">
        <f t="shared" ref="A11:A23" si="6">A10+1</f>
        <v>2024</v>
      </c>
      <c r="B11" s="98">
        <f>'Exp Plan'!P12</f>
        <v>-58.190000000000055</v>
      </c>
      <c r="C11" s="98">
        <f>'Exp Plan'!Q12</f>
        <v>-449.38000000000011</v>
      </c>
      <c r="D11" s="55"/>
      <c r="E11" s="56"/>
      <c r="F11" s="55"/>
      <c r="G11" s="56"/>
      <c r="H11" s="58"/>
      <c r="I11" s="59"/>
      <c r="J11" s="60"/>
      <c r="K11" s="60"/>
      <c r="L11" s="13"/>
      <c r="M11" s="16"/>
      <c r="N11" s="30">
        <f t="shared" si="4"/>
        <v>0</v>
      </c>
      <c r="O11" s="31">
        <f t="shared" si="5"/>
        <v>0</v>
      </c>
      <c r="P11" s="15">
        <f t="shared" ref="P11:P23" si="7">B11-N11</f>
        <v>-58.190000000000055</v>
      </c>
      <c r="Q11" s="14">
        <f t="shared" ref="Q11:Q23" si="8">C11-O11</f>
        <v>-449.38000000000011</v>
      </c>
      <c r="R11" s="30">
        <f t="shared" si="0"/>
        <v>-54.698600000000049</v>
      </c>
      <c r="S11" s="30">
        <f t="shared" si="1"/>
        <v>591.80999999999995</v>
      </c>
      <c r="T11" s="15">
        <f t="shared" si="2"/>
        <v>0</v>
      </c>
      <c r="U11" s="14">
        <f t="shared" si="3"/>
        <v>591.80999999999995</v>
      </c>
    </row>
    <row r="12" spans="1:31" ht="12.9" customHeight="1" collapsed="1">
      <c r="A12" s="76">
        <f t="shared" si="6"/>
        <v>2025</v>
      </c>
      <c r="B12" s="98">
        <f>'Exp Plan'!P13</f>
        <v>-54.039999999999964</v>
      </c>
      <c r="C12" s="98">
        <f>'Exp Plan'!Q13</f>
        <v>-441.16000000000031</v>
      </c>
      <c r="D12" s="55"/>
      <c r="E12" s="56"/>
      <c r="F12" s="55"/>
      <c r="G12" s="56"/>
      <c r="H12" s="58"/>
      <c r="I12" s="59"/>
      <c r="J12" s="60"/>
      <c r="K12" s="60"/>
      <c r="L12" s="13"/>
      <c r="M12" s="16"/>
      <c r="N12" s="30">
        <f t="shared" si="4"/>
        <v>0</v>
      </c>
      <c r="O12" s="31">
        <f t="shared" si="5"/>
        <v>0</v>
      </c>
      <c r="P12" s="15">
        <f>B12-N12</f>
        <v>-54.039999999999964</v>
      </c>
      <c r="Q12" s="14">
        <f t="shared" si="8"/>
        <v>-441.16000000000031</v>
      </c>
      <c r="R12" s="30">
        <f t="shared" si="0"/>
        <v>-50.79759999999996</v>
      </c>
      <c r="S12" s="30">
        <f t="shared" si="1"/>
        <v>595.96</v>
      </c>
      <c r="T12" s="15">
        <f t="shared" si="2"/>
        <v>0</v>
      </c>
      <c r="U12" s="14">
        <f t="shared" si="3"/>
        <v>595.96</v>
      </c>
      <c r="X12" s="15"/>
      <c r="Y12" s="15"/>
      <c r="AB12" s="15"/>
      <c r="AC12" s="15"/>
      <c r="AD12" s="28"/>
      <c r="AE12" s="28"/>
    </row>
    <row r="13" spans="1:31" ht="12.9" customHeight="1" collapsed="1">
      <c r="A13" s="76">
        <f t="shared" si="6"/>
        <v>2026</v>
      </c>
      <c r="B13" s="98">
        <f>'Exp Plan'!P14</f>
        <v>-39.720000000000255</v>
      </c>
      <c r="C13" s="98">
        <f>'Exp Plan'!Q14</f>
        <v>-431.27</v>
      </c>
      <c r="D13" s="55"/>
      <c r="E13" s="56"/>
      <c r="F13" s="55"/>
      <c r="G13" s="56"/>
      <c r="H13" s="58"/>
      <c r="I13" s="59"/>
      <c r="J13" s="60"/>
      <c r="K13" s="60"/>
      <c r="L13" s="13"/>
      <c r="M13" s="16"/>
      <c r="N13" s="30">
        <f t="shared" si="4"/>
        <v>0</v>
      </c>
      <c r="O13" s="31">
        <f t="shared" si="5"/>
        <v>0</v>
      </c>
      <c r="P13" s="15">
        <f t="shared" si="7"/>
        <v>-39.720000000000255</v>
      </c>
      <c r="Q13" s="14">
        <f t="shared" si="8"/>
        <v>-431.27</v>
      </c>
      <c r="R13" s="30">
        <f t="shared" si="0"/>
        <v>-37.336800000000238</v>
      </c>
      <c r="S13" s="30">
        <f t="shared" si="1"/>
        <v>610.27999999999975</v>
      </c>
      <c r="T13" s="15">
        <f t="shared" si="2"/>
        <v>0</v>
      </c>
      <c r="U13" s="14">
        <f t="shared" si="3"/>
        <v>610.27999999999975</v>
      </c>
      <c r="X13" s="15"/>
      <c r="Y13" s="15"/>
      <c r="Z13" s="17"/>
      <c r="AA13" s="17"/>
      <c r="AB13" s="15"/>
      <c r="AC13" s="15"/>
      <c r="AD13" s="28"/>
      <c r="AE13" s="28"/>
    </row>
    <row r="14" spans="1:31" ht="12.9" customHeight="1" collapsed="1">
      <c r="A14" s="76">
        <f t="shared" si="6"/>
        <v>2027</v>
      </c>
      <c r="B14" s="98">
        <f>'Exp Plan'!P15</f>
        <v>-24.380000000000109</v>
      </c>
      <c r="C14" s="98">
        <f>'Exp Plan'!Q15</f>
        <v>-417.20000000000027</v>
      </c>
      <c r="D14" s="55"/>
      <c r="E14" s="56"/>
      <c r="F14" s="55"/>
      <c r="G14" s="56"/>
      <c r="H14" s="58"/>
      <c r="I14" s="59"/>
      <c r="J14" s="60"/>
      <c r="K14" s="60"/>
      <c r="L14" s="13"/>
      <c r="M14" s="16"/>
      <c r="N14" s="30">
        <f t="shared" si="4"/>
        <v>0</v>
      </c>
      <c r="O14" s="31">
        <f t="shared" si="5"/>
        <v>0</v>
      </c>
      <c r="P14" s="15">
        <f t="shared" si="7"/>
        <v>-24.380000000000109</v>
      </c>
      <c r="Q14" s="14">
        <f t="shared" si="8"/>
        <v>-417.20000000000027</v>
      </c>
      <c r="R14" s="30">
        <f t="shared" si="0"/>
        <v>-22.917200000000101</v>
      </c>
      <c r="S14" s="30">
        <f t="shared" si="1"/>
        <v>625.61999999999989</v>
      </c>
      <c r="T14" s="15">
        <f t="shared" si="2"/>
        <v>0</v>
      </c>
      <c r="U14" s="14">
        <f t="shared" si="3"/>
        <v>625.61999999999989</v>
      </c>
      <c r="V14" s="15"/>
      <c r="W14" s="15"/>
      <c r="X14" s="15"/>
      <c r="Y14" s="15"/>
      <c r="Z14" s="17"/>
      <c r="AA14" s="17"/>
      <c r="AB14" s="15"/>
      <c r="AC14" s="15"/>
      <c r="AD14" s="17"/>
      <c r="AE14" s="17"/>
    </row>
    <row r="15" spans="1:31" ht="12.9" customHeight="1">
      <c r="A15" s="76">
        <f t="shared" si="6"/>
        <v>2028</v>
      </c>
      <c r="B15" s="98">
        <f>'Exp Plan'!P16</f>
        <v>2.3599999999996726</v>
      </c>
      <c r="C15" s="98">
        <f>'Exp Plan'!Q16</f>
        <v>-400.67000000000007</v>
      </c>
      <c r="D15" s="55"/>
      <c r="E15" s="56"/>
      <c r="F15" s="55"/>
      <c r="G15" s="56"/>
      <c r="H15" s="58"/>
      <c r="I15" s="59"/>
      <c r="J15" s="60"/>
      <c r="K15" s="60"/>
      <c r="L15" s="13"/>
      <c r="M15" s="16"/>
      <c r="N15" s="30">
        <f t="shared" si="4"/>
        <v>0</v>
      </c>
      <c r="O15" s="31">
        <f t="shared" si="5"/>
        <v>0</v>
      </c>
      <c r="P15" s="15">
        <f t="shared" si="7"/>
        <v>2.3599999999996726</v>
      </c>
      <c r="Q15" s="14">
        <f t="shared" si="8"/>
        <v>-400.67000000000007</v>
      </c>
      <c r="R15" s="30">
        <f t="shared" si="0"/>
        <v>2.2183999999996922</v>
      </c>
      <c r="S15" s="30">
        <f t="shared" si="1"/>
        <v>652.35999999999967</v>
      </c>
      <c r="T15" s="15">
        <f t="shared" si="2"/>
        <v>0</v>
      </c>
      <c r="U15" s="14">
        <f t="shared" si="3"/>
        <v>652.35999999999967</v>
      </c>
      <c r="X15" s="15"/>
      <c r="Y15" s="15"/>
      <c r="Z15" s="17"/>
      <c r="AA15" s="17"/>
      <c r="AB15" s="15"/>
      <c r="AC15" s="15"/>
      <c r="AD15" s="17"/>
      <c r="AE15" s="17"/>
    </row>
    <row r="16" spans="1:31" ht="12.9" customHeight="1">
      <c r="A16" s="76">
        <f t="shared" si="6"/>
        <v>2029</v>
      </c>
      <c r="B16" s="98">
        <f>'Exp Plan'!P17</f>
        <v>12.269999999999982</v>
      </c>
      <c r="C16" s="98">
        <f>'Exp Plan'!Q17</f>
        <v>-384.37000000000035</v>
      </c>
      <c r="D16" s="55"/>
      <c r="E16" s="56"/>
      <c r="F16" s="55"/>
      <c r="G16" s="56"/>
      <c r="H16" s="58"/>
      <c r="I16" s="59"/>
      <c r="J16" s="60"/>
      <c r="K16" s="60"/>
      <c r="L16" s="13"/>
      <c r="M16" s="16"/>
      <c r="N16" s="30">
        <f t="shared" si="4"/>
        <v>0</v>
      </c>
      <c r="O16" s="31">
        <f t="shared" si="5"/>
        <v>0</v>
      </c>
      <c r="P16" s="15">
        <f t="shared" si="7"/>
        <v>12.269999999999982</v>
      </c>
      <c r="Q16" s="14">
        <f t="shared" si="8"/>
        <v>-384.37000000000035</v>
      </c>
      <c r="R16" s="30">
        <f t="shared" si="0"/>
        <v>11.533799999999982</v>
      </c>
      <c r="S16" s="30">
        <f t="shared" si="1"/>
        <v>662.27</v>
      </c>
      <c r="T16" s="15">
        <f t="shared" si="2"/>
        <v>0</v>
      </c>
      <c r="U16" s="14">
        <f t="shared" si="3"/>
        <v>662.27</v>
      </c>
      <c r="X16" s="15"/>
      <c r="Y16" s="15"/>
      <c r="Z16" s="17"/>
      <c r="AA16" s="17"/>
      <c r="AB16" s="15"/>
      <c r="AC16" s="15"/>
      <c r="AD16" s="17"/>
      <c r="AE16" s="17"/>
    </row>
    <row r="17" spans="1:31" ht="12.9" customHeight="1">
      <c r="A17" s="76">
        <f t="shared" si="6"/>
        <v>2030</v>
      </c>
      <c r="B17" s="98">
        <f>'Exp Plan'!P18</f>
        <v>22.079999999999927</v>
      </c>
      <c r="C17" s="98">
        <f>'Exp Plan'!Q18</f>
        <v>-372.12000000000035</v>
      </c>
      <c r="D17" s="55"/>
      <c r="E17" s="56"/>
      <c r="F17" s="55"/>
      <c r="G17" s="56"/>
      <c r="H17" s="58"/>
      <c r="I17" s="59"/>
      <c r="J17" s="60"/>
      <c r="K17" s="60"/>
      <c r="L17" s="13"/>
      <c r="M17" s="16"/>
      <c r="N17" s="30">
        <f t="shared" si="4"/>
        <v>0</v>
      </c>
      <c r="O17" s="31">
        <f t="shared" si="5"/>
        <v>0</v>
      </c>
      <c r="P17" s="15">
        <f t="shared" si="7"/>
        <v>22.079999999999927</v>
      </c>
      <c r="Q17" s="14">
        <f t="shared" si="8"/>
        <v>-372.12000000000035</v>
      </c>
      <c r="R17" s="30">
        <f t="shared" si="0"/>
        <v>20.755199999999931</v>
      </c>
      <c r="S17" s="30">
        <f t="shared" si="1"/>
        <v>672.07999999999993</v>
      </c>
      <c r="T17" s="15">
        <f t="shared" si="2"/>
        <v>0</v>
      </c>
      <c r="U17" s="14">
        <f t="shared" si="3"/>
        <v>672.07999999999993</v>
      </c>
      <c r="X17" s="15"/>
      <c r="Y17" s="15"/>
      <c r="Z17" s="17"/>
      <c r="AA17" s="17"/>
      <c r="AB17" s="15"/>
      <c r="AC17" s="15"/>
      <c r="AD17" s="17"/>
      <c r="AE17" s="17"/>
    </row>
    <row r="18" spans="1:31" ht="12.9" customHeight="1">
      <c r="A18" s="76">
        <f t="shared" si="6"/>
        <v>2031</v>
      </c>
      <c r="B18" s="98">
        <f>'Exp Plan'!P19</f>
        <v>30.029999999999745</v>
      </c>
      <c r="C18" s="98">
        <f>'Exp Plan'!Q19</f>
        <v>-352.82000000000016</v>
      </c>
      <c r="D18" s="55"/>
      <c r="E18" s="56"/>
      <c r="F18" s="55"/>
      <c r="G18" s="56"/>
      <c r="H18" s="58"/>
      <c r="I18" s="59"/>
      <c r="J18" s="60"/>
      <c r="K18" s="60"/>
      <c r="L18" s="13"/>
      <c r="M18" s="16"/>
      <c r="N18" s="30">
        <f t="shared" si="4"/>
        <v>0</v>
      </c>
      <c r="O18" s="31">
        <f t="shared" si="5"/>
        <v>0</v>
      </c>
      <c r="P18" s="15">
        <f t="shared" si="7"/>
        <v>30.029999999999745</v>
      </c>
      <c r="Q18" s="14">
        <f t="shared" si="8"/>
        <v>-352.82000000000016</v>
      </c>
      <c r="R18" s="30">
        <f t="shared" si="0"/>
        <v>28.228199999999759</v>
      </c>
      <c r="S18" s="30">
        <f t="shared" si="1"/>
        <v>680.02999999999975</v>
      </c>
      <c r="T18" s="15">
        <f t="shared" si="2"/>
        <v>0</v>
      </c>
      <c r="U18" s="14">
        <f t="shared" si="3"/>
        <v>680.02999999999975</v>
      </c>
      <c r="X18" s="15"/>
      <c r="Y18" s="15"/>
      <c r="Z18" s="17"/>
      <c r="AA18" s="17"/>
      <c r="AB18" s="15"/>
      <c r="AC18" s="15"/>
      <c r="AD18" s="17"/>
      <c r="AE18" s="17"/>
    </row>
    <row r="19" spans="1:31" ht="12.9" customHeight="1">
      <c r="A19" s="76">
        <f t="shared" si="6"/>
        <v>2032</v>
      </c>
      <c r="B19" s="98">
        <f>'Exp Plan'!P20</f>
        <v>61.009999999999764</v>
      </c>
      <c r="C19" s="98">
        <f>'Exp Plan'!Q20</f>
        <v>-352.8100000000004</v>
      </c>
      <c r="D19" s="55"/>
      <c r="E19" s="56"/>
      <c r="F19" s="55"/>
      <c r="G19" s="56"/>
      <c r="H19" s="58"/>
      <c r="I19" s="59"/>
      <c r="J19" s="60"/>
      <c r="K19" s="60"/>
      <c r="L19" s="13"/>
      <c r="M19" s="16"/>
      <c r="N19" s="30">
        <f t="shared" si="4"/>
        <v>0</v>
      </c>
      <c r="O19" s="31">
        <f t="shared" si="5"/>
        <v>0</v>
      </c>
      <c r="P19" s="15">
        <f t="shared" si="7"/>
        <v>61.009999999999764</v>
      </c>
      <c r="Q19" s="14">
        <f t="shared" si="8"/>
        <v>-352.8100000000004</v>
      </c>
      <c r="R19" s="30">
        <f t="shared" si="0"/>
        <v>57.349399999999775</v>
      </c>
      <c r="S19" s="30">
        <f t="shared" si="1"/>
        <v>711.00999999999976</v>
      </c>
      <c r="T19" s="15">
        <f t="shared" si="2"/>
        <v>0</v>
      </c>
      <c r="U19" s="14">
        <f t="shared" si="3"/>
        <v>711.00999999999976</v>
      </c>
      <c r="Z19" s="17"/>
      <c r="AA19" s="17"/>
      <c r="AD19" s="17"/>
      <c r="AE19" s="17"/>
    </row>
    <row r="20" spans="1:31" ht="12.9" customHeight="1">
      <c r="A20" s="76">
        <f t="shared" si="6"/>
        <v>2033</v>
      </c>
      <c r="B20" s="98">
        <f>'Exp Plan'!P21</f>
        <v>62.169999999999618</v>
      </c>
      <c r="C20" s="98">
        <f>'Exp Plan'!Q21</f>
        <v>-323.87000000000035</v>
      </c>
      <c r="D20" s="55"/>
      <c r="E20" s="55"/>
      <c r="F20" s="55"/>
      <c r="G20" s="55"/>
      <c r="H20" s="58"/>
      <c r="I20" s="59"/>
      <c r="J20" s="61"/>
      <c r="K20" s="62"/>
      <c r="L20" s="13"/>
      <c r="M20" s="16"/>
      <c r="N20" s="30">
        <f t="shared" si="4"/>
        <v>0</v>
      </c>
      <c r="O20" s="31">
        <f t="shared" si="5"/>
        <v>0</v>
      </c>
      <c r="P20" s="15">
        <f t="shared" si="7"/>
        <v>62.169999999999618</v>
      </c>
      <c r="Q20" s="14">
        <f t="shared" si="8"/>
        <v>-323.87000000000035</v>
      </c>
      <c r="R20" s="30">
        <f t="shared" si="0"/>
        <v>58.439799999999636</v>
      </c>
      <c r="S20" s="30">
        <f t="shared" si="1"/>
        <v>712.16999999999962</v>
      </c>
      <c r="T20" s="15">
        <f t="shared" si="2"/>
        <v>0</v>
      </c>
      <c r="U20" s="14">
        <f t="shared" si="3"/>
        <v>712.16999999999962</v>
      </c>
      <c r="Z20" s="17"/>
      <c r="AA20" s="17"/>
      <c r="AD20" s="17"/>
      <c r="AE20" s="17"/>
    </row>
    <row r="21" spans="1:31" ht="12.9" customHeight="1">
      <c r="A21" s="76">
        <f t="shared" si="6"/>
        <v>2034</v>
      </c>
      <c r="B21" s="98">
        <f>'Exp Plan'!P22</f>
        <v>81.949999999999818</v>
      </c>
      <c r="C21" s="98">
        <f>'Exp Plan'!Q22</f>
        <v>-307.68000000000029</v>
      </c>
      <c r="D21" s="55"/>
      <c r="E21" s="56"/>
      <c r="F21" s="55"/>
      <c r="G21" s="56"/>
      <c r="H21" s="58"/>
      <c r="I21" s="59"/>
      <c r="J21" s="60"/>
      <c r="K21" s="60"/>
      <c r="L21" s="10"/>
      <c r="M21" s="8"/>
      <c r="N21" s="36">
        <f t="shared" si="4"/>
        <v>0</v>
      </c>
      <c r="O21" s="37">
        <f t="shared" si="5"/>
        <v>0</v>
      </c>
      <c r="P21" s="15">
        <f t="shared" si="7"/>
        <v>81.949999999999818</v>
      </c>
      <c r="Q21" s="14">
        <f t="shared" si="8"/>
        <v>-307.68000000000029</v>
      </c>
      <c r="R21" s="30">
        <f t="shared" si="0"/>
        <v>77.032999999999831</v>
      </c>
      <c r="S21" s="30">
        <f t="shared" si="1"/>
        <v>731.94999999999982</v>
      </c>
      <c r="T21" s="15">
        <f t="shared" si="2"/>
        <v>0</v>
      </c>
      <c r="U21" s="14">
        <f t="shared" si="3"/>
        <v>731.94999999999982</v>
      </c>
      <c r="Z21" s="17"/>
      <c r="AA21" s="17"/>
      <c r="AD21" s="17"/>
      <c r="AE21" s="17"/>
    </row>
    <row r="22" spans="1:31" ht="12.9" customHeight="1">
      <c r="A22" s="76">
        <f t="shared" si="6"/>
        <v>2035</v>
      </c>
      <c r="B22" s="98">
        <f>'Exp Plan'!P23</f>
        <v>101.15999999999985</v>
      </c>
      <c r="C22" s="98">
        <f>'Exp Plan'!Q23</f>
        <v>-285.32000000000016</v>
      </c>
      <c r="D22" s="55"/>
      <c r="E22" s="56"/>
      <c r="F22" s="55"/>
      <c r="G22" s="56"/>
      <c r="H22" s="58"/>
      <c r="I22" s="59"/>
      <c r="J22" s="60"/>
      <c r="K22" s="60"/>
      <c r="L22" s="10"/>
      <c r="M22" s="8"/>
      <c r="N22" s="36">
        <f t="shared" si="4"/>
        <v>0</v>
      </c>
      <c r="O22" s="37">
        <f t="shared" si="5"/>
        <v>0</v>
      </c>
      <c r="P22" s="15">
        <f t="shared" si="7"/>
        <v>101.15999999999985</v>
      </c>
      <c r="Q22" s="14">
        <f t="shared" si="8"/>
        <v>-285.32000000000016</v>
      </c>
      <c r="R22" s="30">
        <f t="shared" si="0"/>
        <v>95.09039999999986</v>
      </c>
      <c r="S22" s="30">
        <f t="shared" si="1"/>
        <v>751.15999999999985</v>
      </c>
      <c r="T22" s="15">
        <f t="shared" si="2"/>
        <v>0</v>
      </c>
      <c r="U22" s="14">
        <f t="shared" si="3"/>
        <v>751.15999999999985</v>
      </c>
      <c r="Z22" s="17"/>
      <c r="AA22" s="17"/>
      <c r="AD22" s="17"/>
      <c r="AE22" s="17"/>
    </row>
    <row r="23" spans="1:31" ht="12.9" customHeight="1">
      <c r="A23" s="566">
        <f t="shared" si="6"/>
        <v>2036</v>
      </c>
      <c r="B23" s="567">
        <f>'Exp Plan'!P24</f>
        <v>108.52999999999975</v>
      </c>
      <c r="C23" s="567">
        <f>'Exp Plan'!Q24</f>
        <v>-272.72000000000025</v>
      </c>
      <c r="D23" s="568"/>
      <c r="E23" s="569"/>
      <c r="F23" s="568"/>
      <c r="G23" s="569"/>
      <c r="H23" s="570"/>
      <c r="I23" s="571"/>
      <c r="J23" s="572"/>
      <c r="K23" s="572"/>
      <c r="L23" s="573"/>
      <c r="M23" s="574"/>
      <c r="N23" s="575">
        <f t="shared" si="4"/>
        <v>0</v>
      </c>
      <c r="O23" s="576">
        <f t="shared" si="5"/>
        <v>0</v>
      </c>
      <c r="P23" s="577">
        <f t="shared" si="7"/>
        <v>108.52999999999975</v>
      </c>
      <c r="Q23" s="578">
        <f t="shared" si="8"/>
        <v>-272.72000000000025</v>
      </c>
      <c r="R23" s="579">
        <f t="shared" si="0"/>
        <v>102.01819999999975</v>
      </c>
      <c r="S23" s="579">
        <f t="shared" si="1"/>
        <v>758.52999999999975</v>
      </c>
      <c r="T23" s="577">
        <f t="shared" si="2"/>
        <v>0</v>
      </c>
      <c r="U23" s="578">
        <f t="shared" si="3"/>
        <v>758.52999999999975</v>
      </c>
      <c r="Z23" s="17"/>
      <c r="AA23" s="17"/>
      <c r="AD23" s="17"/>
      <c r="AE23" s="17"/>
    </row>
    <row r="24" spans="1:31" ht="12.9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Q24" s="17"/>
      <c r="R24" s="17"/>
      <c r="T24" s="15"/>
      <c r="U24" s="15"/>
      <c r="Z24" s="17"/>
      <c r="AA24" s="17"/>
      <c r="AD24" s="17"/>
      <c r="AE24" s="17"/>
    </row>
    <row r="25" spans="1:31" ht="12.9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31" ht="12.9" customHeight="1">
      <c r="A26" s="10"/>
      <c r="B26" s="10"/>
      <c r="D26" s="10"/>
      <c r="E26" s="49"/>
      <c r="F26" s="10"/>
      <c r="G26" s="49"/>
      <c r="H26" s="10"/>
      <c r="I26" s="49"/>
      <c r="J26" s="10"/>
      <c r="K26" s="10"/>
      <c r="L26" s="10"/>
      <c r="M26" s="10"/>
      <c r="N26" s="25"/>
      <c r="O26" s="10"/>
    </row>
    <row r="27" spans="1:31" ht="12.9" customHeight="1">
      <c r="G27" s="20"/>
      <c r="N27" s="12"/>
    </row>
    <row r="28" spans="1:31" ht="12.9" customHeight="1">
      <c r="E28" s="22"/>
      <c r="F28" s="23"/>
      <c r="G28" s="22"/>
      <c r="H28" s="23"/>
      <c r="I28" s="22"/>
      <c r="N28" s="12"/>
    </row>
    <row r="29" spans="1:31" ht="12.9" customHeight="1">
      <c r="E29" s="21"/>
      <c r="F29" s="21"/>
      <c r="G29" s="21"/>
      <c r="H29" s="21"/>
      <c r="I29" s="21"/>
    </row>
    <row r="31" spans="1:31" ht="12.9" customHeight="1">
      <c r="D31" s="20"/>
    </row>
  </sheetData>
  <mergeCells count="20">
    <mergeCell ref="P7:Q7"/>
    <mergeCell ref="Z6:AA6"/>
    <mergeCell ref="AB6:AC6"/>
    <mergeCell ref="AD6:AE6"/>
    <mergeCell ref="V6:W6"/>
    <mergeCell ref="X6:Y6"/>
    <mergeCell ref="N7:O7"/>
    <mergeCell ref="F7:G7"/>
    <mergeCell ref="H7:I7"/>
    <mergeCell ref="L7:M7"/>
    <mergeCell ref="J7:K7"/>
    <mergeCell ref="A4:O4"/>
    <mergeCell ref="A2:U2"/>
    <mergeCell ref="A3:U3"/>
    <mergeCell ref="P6:Q6"/>
    <mergeCell ref="L6:M6"/>
    <mergeCell ref="J6:K6"/>
    <mergeCell ref="T4:Y4"/>
    <mergeCell ref="F6:G6"/>
    <mergeCell ref="H6:I6"/>
  </mergeCells>
  <phoneticPr fontId="0" type="noConversion"/>
  <printOptions horizontalCentered="1"/>
  <pageMargins left="0.48" right="0.34" top="0.28999999999999998" bottom="0.54" header="0.25" footer="0.25"/>
  <pageSetup orientation="landscape" horizontalDpi="4294967293" r:id="rId1"/>
  <headerFooter alignWithMargins="0">
    <oddFooter>&amp;L&amp;10&amp;F  &amp;A&amp;C&amp;10Resource Planning  &amp;P/&amp;N&amp;R&amp;10&amp;D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FF0000"/>
    <pageSetUpPr fitToPage="1"/>
  </sheetPr>
  <dimension ref="A2:AB41"/>
  <sheetViews>
    <sheetView workbookViewId="0">
      <selection activeCell="E33" sqref="E33"/>
    </sheetView>
  </sheetViews>
  <sheetFormatPr defaultColWidth="7.08984375" defaultRowHeight="13.2"/>
  <cols>
    <col min="1" max="1" width="4.6328125" style="32" customWidth="1"/>
    <col min="2" max="2" width="4.1796875" style="32" bestFit="1" customWidth="1"/>
    <col min="3" max="3" width="4.08984375" style="32" bestFit="1" customWidth="1"/>
    <col min="4" max="5" width="4.81640625" style="32" customWidth="1"/>
    <col min="6" max="6" width="4.453125" style="32" bestFit="1" customWidth="1"/>
    <col min="7" max="7" width="4.6328125" style="32" bestFit="1" customWidth="1"/>
    <col min="8" max="8" width="3.54296875" style="32" customWidth="1"/>
    <col min="9" max="10" width="4.1796875" style="32" bestFit="1" customWidth="1"/>
    <col min="11" max="11" width="4" style="32" bestFit="1" customWidth="1"/>
    <col min="12" max="12" width="4.1796875" style="32" customWidth="1"/>
    <col min="13" max="13" width="4.1796875" style="32" bestFit="1" customWidth="1"/>
    <col min="14" max="14" width="0.81640625" style="32" customWidth="1"/>
    <col min="15" max="15" width="2" style="32" customWidth="1"/>
    <col min="16" max="16" width="5.08984375" style="32" customWidth="1"/>
    <col min="17" max="17" width="3.90625" style="32" bestFit="1" customWidth="1"/>
    <col min="18" max="19" width="4.08984375" style="32" bestFit="1" customWidth="1"/>
    <col min="20" max="20" width="3.90625" style="32" bestFit="1" customWidth="1"/>
    <col min="21" max="21" width="4.453125" style="32" bestFit="1" customWidth="1"/>
    <col min="22" max="23" width="3.90625" style="32" bestFit="1" customWidth="1"/>
    <col min="24" max="25" width="4.1796875" style="32" bestFit="1" customWidth="1"/>
    <col min="26" max="27" width="4" style="32" bestFit="1" customWidth="1"/>
    <col min="28" max="28" width="4.1796875" style="32" bestFit="1" customWidth="1"/>
    <col min="29" max="16384" width="7.08984375" style="32"/>
  </cols>
  <sheetData>
    <row r="2" spans="1:28" ht="13.8" thickBot="1">
      <c r="A2" s="580" t="s">
        <v>59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2"/>
      <c r="P2" s="583" t="s">
        <v>60</v>
      </c>
      <c r="Q2" s="581"/>
      <c r="R2" s="581"/>
      <c r="S2" s="581"/>
      <c r="T2" s="581"/>
      <c r="U2" s="581"/>
      <c r="V2" s="581"/>
      <c r="W2" s="581"/>
      <c r="X2" s="581"/>
      <c r="Y2" s="581"/>
      <c r="Z2" s="581"/>
      <c r="AA2" s="581"/>
      <c r="AB2" s="584"/>
    </row>
    <row r="3" spans="1:28">
      <c r="A3" s="585" t="s">
        <v>64</v>
      </c>
      <c r="B3" s="362"/>
      <c r="C3" s="362"/>
      <c r="D3" s="362"/>
      <c r="E3" s="362"/>
      <c r="F3" s="362"/>
      <c r="G3" s="362"/>
      <c r="H3" s="363" t="s">
        <v>70</v>
      </c>
      <c r="I3" s="362"/>
      <c r="J3" s="362"/>
      <c r="K3" s="364">
        <f>D6</f>
        <v>0.3</v>
      </c>
      <c r="L3" s="362" t="s">
        <v>66</v>
      </c>
      <c r="M3" s="362"/>
      <c r="N3" s="362"/>
      <c r="O3" s="365"/>
      <c r="P3" s="361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362"/>
      <c r="AB3" s="586"/>
    </row>
    <row r="4" spans="1:28">
      <c r="A4" s="585" t="s">
        <v>65</v>
      </c>
      <c r="B4" s="362"/>
      <c r="C4" s="362"/>
      <c r="D4" s="362"/>
      <c r="E4" s="362"/>
      <c r="F4" s="362"/>
      <c r="G4" s="362"/>
      <c r="H4" s="362" t="s">
        <v>71</v>
      </c>
      <c r="I4" s="362"/>
      <c r="J4" s="362"/>
      <c r="K4" s="364">
        <f>E6</f>
        <v>0.25</v>
      </c>
      <c r="L4" s="362" t="s">
        <v>67</v>
      </c>
      <c r="M4" s="362"/>
      <c r="N4" s="362"/>
      <c r="O4" s="365"/>
      <c r="P4" s="361"/>
      <c r="Q4" s="362"/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586"/>
    </row>
    <row r="5" spans="1:28">
      <c r="A5" s="585"/>
      <c r="B5" s="362"/>
      <c r="C5" s="362"/>
      <c r="D5" s="364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5"/>
      <c r="P5" s="361"/>
      <c r="Q5" s="362"/>
      <c r="R5" s="362"/>
      <c r="S5" s="362"/>
      <c r="T5" s="362"/>
      <c r="U5" s="362"/>
      <c r="V5" s="362"/>
      <c r="W5" s="362"/>
      <c r="X5" s="362"/>
      <c r="Y5" s="362"/>
      <c r="Z5" s="362"/>
      <c r="AA5" s="362"/>
      <c r="AB5" s="586"/>
    </row>
    <row r="6" spans="1:28" ht="13.8" thickBot="1">
      <c r="A6" s="585"/>
      <c r="B6" s="362" t="s">
        <v>86</v>
      </c>
      <c r="C6" s="362"/>
      <c r="D6" s="91">
        <v>0.3</v>
      </c>
      <c r="E6" s="91">
        <v>0.25</v>
      </c>
      <c r="F6" s="362"/>
      <c r="G6" s="362" t="s">
        <v>87</v>
      </c>
      <c r="H6" s="362"/>
      <c r="I6" s="362"/>
      <c r="J6" s="362"/>
      <c r="K6" s="366"/>
      <c r="L6" s="366"/>
      <c r="M6" s="362"/>
      <c r="N6" s="362"/>
      <c r="O6" s="365"/>
      <c r="P6" s="361"/>
      <c r="Q6" s="362"/>
      <c r="R6" s="362"/>
      <c r="S6" s="362"/>
      <c r="T6" s="362"/>
      <c r="U6" s="362"/>
      <c r="V6" s="362"/>
      <c r="W6" s="362"/>
      <c r="X6" s="362"/>
      <c r="Y6" s="362"/>
      <c r="Z6" s="362"/>
      <c r="AA6" s="362"/>
      <c r="AB6" s="586"/>
    </row>
    <row r="7" spans="1:28" s="34" customFormat="1" ht="17.399999999999999" thickBot="1">
      <c r="A7" s="587" t="s">
        <v>36</v>
      </c>
      <c r="B7" s="63" t="s">
        <v>23</v>
      </c>
      <c r="C7" s="368" t="s">
        <v>24</v>
      </c>
      <c r="D7" s="368" t="s">
        <v>25</v>
      </c>
      <c r="E7" s="368" t="s">
        <v>26</v>
      </c>
      <c r="F7" s="368" t="s">
        <v>27</v>
      </c>
      <c r="G7" s="63" t="s">
        <v>28</v>
      </c>
      <c r="H7" s="368" t="s">
        <v>29</v>
      </c>
      <c r="I7" s="368" t="s">
        <v>30</v>
      </c>
      <c r="J7" s="368" t="s">
        <v>31</v>
      </c>
      <c r="K7" s="368" t="s">
        <v>32</v>
      </c>
      <c r="L7" s="368" t="s">
        <v>33</v>
      </c>
      <c r="M7" s="368" t="s">
        <v>34</v>
      </c>
      <c r="N7" s="369"/>
      <c r="O7" s="370"/>
      <c r="P7" s="367" t="s">
        <v>36</v>
      </c>
      <c r="Q7" s="368" t="s">
        <v>23</v>
      </c>
      <c r="R7" s="368" t="s">
        <v>24</v>
      </c>
      <c r="S7" s="368" t="s">
        <v>25</v>
      </c>
      <c r="T7" s="368" t="s">
        <v>26</v>
      </c>
      <c r="U7" s="368" t="s">
        <v>27</v>
      </c>
      <c r="V7" s="368" t="s">
        <v>28</v>
      </c>
      <c r="W7" s="368" t="s">
        <v>29</v>
      </c>
      <c r="X7" s="368" t="s">
        <v>30</v>
      </c>
      <c r="Y7" s="368" t="s">
        <v>31</v>
      </c>
      <c r="Z7" s="368" t="s">
        <v>32</v>
      </c>
      <c r="AA7" s="368" t="s">
        <v>33</v>
      </c>
      <c r="AB7" s="588" t="s">
        <v>34</v>
      </c>
    </row>
    <row r="8" spans="1:28">
      <c r="A8" s="589">
        <f>OptimizerReq!A9</f>
        <v>2022</v>
      </c>
      <c r="B8" s="376">
        <f>ROUND(OptimizerReq!R9,0)</f>
        <v>-112</v>
      </c>
      <c r="C8" s="377">
        <f t="shared" ref="C8:C22" si="0">B8</f>
        <v>-112</v>
      </c>
      <c r="D8" s="378">
        <f t="shared" ref="D8:D22" si="1">IF(C8*$D$6&lt;50,0,C8*$D$6)</f>
        <v>0</v>
      </c>
      <c r="E8" s="379">
        <f t="shared" ref="E8:E22" si="2">F8</f>
        <v>0</v>
      </c>
      <c r="F8" s="379">
        <f t="shared" ref="F8:F22" si="3">IF(G8*$E$6&lt;50,0,G8*$E$6)</f>
        <v>0</v>
      </c>
      <c r="G8" s="380">
        <f>ROUND(OptimizerReq!T9,0)</f>
        <v>0</v>
      </c>
      <c r="H8" s="381">
        <f t="shared" ref="H8:I22" si="4">G8</f>
        <v>0</v>
      </c>
      <c r="I8" s="381">
        <f t="shared" si="4"/>
        <v>0</v>
      </c>
      <c r="J8" s="379">
        <f t="shared" ref="J8:J22" si="5">F8</f>
        <v>0</v>
      </c>
      <c r="K8" s="379">
        <f t="shared" ref="K8:K22" si="6">J8</f>
        <v>0</v>
      </c>
      <c r="L8" s="378">
        <f t="shared" ref="L8:L22" si="7">D8</f>
        <v>0</v>
      </c>
      <c r="M8" s="382">
        <f t="shared" ref="M8:M22" si="8">B8</f>
        <v>-112</v>
      </c>
      <c r="N8" s="362"/>
      <c r="O8" s="365"/>
      <c r="P8" s="371">
        <f>OptimizerReq!A9</f>
        <v>2022</v>
      </c>
      <c r="Q8" s="384">
        <f>ROUND(OptimizerReq!S9,0)</f>
        <v>531</v>
      </c>
      <c r="R8" s="385">
        <f t="shared" ref="R8:AB8" si="9">Q8</f>
        <v>531</v>
      </c>
      <c r="S8" s="385">
        <f t="shared" si="9"/>
        <v>531</v>
      </c>
      <c r="T8" s="385">
        <f t="shared" si="9"/>
        <v>531</v>
      </c>
      <c r="U8" s="385">
        <f t="shared" si="9"/>
        <v>531</v>
      </c>
      <c r="V8" s="385">
        <f t="shared" si="9"/>
        <v>531</v>
      </c>
      <c r="W8" s="385">
        <f t="shared" si="9"/>
        <v>531</v>
      </c>
      <c r="X8" s="385">
        <f t="shared" si="9"/>
        <v>531</v>
      </c>
      <c r="Y8" s="385">
        <f t="shared" si="9"/>
        <v>531</v>
      </c>
      <c r="Z8" s="385">
        <f t="shared" si="9"/>
        <v>531</v>
      </c>
      <c r="AA8" s="385">
        <f t="shared" si="9"/>
        <v>531</v>
      </c>
      <c r="AB8" s="385">
        <f t="shared" si="9"/>
        <v>531</v>
      </c>
    </row>
    <row r="9" spans="1:28">
      <c r="A9" s="589">
        <f>OptimizerReq!A10</f>
        <v>2023</v>
      </c>
      <c r="B9" s="64">
        <f>ROUND(OptimizerReq!R10,0)</f>
        <v>-70</v>
      </c>
      <c r="C9" s="372">
        <f t="shared" si="0"/>
        <v>-70</v>
      </c>
      <c r="D9" s="373">
        <f t="shared" si="1"/>
        <v>0</v>
      </c>
      <c r="E9" s="374">
        <f t="shared" si="2"/>
        <v>0</v>
      </c>
      <c r="F9" s="374">
        <f t="shared" si="3"/>
        <v>0</v>
      </c>
      <c r="G9" s="65">
        <f>ROUND(OptimizerReq!T10,0)</f>
        <v>0</v>
      </c>
      <c r="H9" s="375">
        <f t="shared" si="4"/>
        <v>0</v>
      </c>
      <c r="I9" s="375">
        <f t="shared" si="4"/>
        <v>0</v>
      </c>
      <c r="J9" s="374">
        <f t="shared" si="5"/>
        <v>0</v>
      </c>
      <c r="K9" s="374">
        <f t="shared" si="6"/>
        <v>0</v>
      </c>
      <c r="L9" s="373">
        <f t="shared" si="7"/>
        <v>0</v>
      </c>
      <c r="M9" s="383">
        <f t="shared" si="8"/>
        <v>-70</v>
      </c>
      <c r="N9" s="362"/>
      <c r="O9" s="365"/>
      <c r="P9" s="371">
        <f>OptimizerReq!A10</f>
        <v>2023</v>
      </c>
      <c r="Q9" s="386">
        <f>ROUND(OptimizerReq!S10,0)</f>
        <v>575</v>
      </c>
      <c r="R9" s="135">
        <f t="shared" ref="R9:AB9" si="10">Q9</f>
        <v>575</v>
      </c>
      <c r="S9" s="135">
        <f t="shared" si="10"/>
        <v>575</v>
      </c>
      <c r="T9" s="135">
        <f t="shared" si="10"/>
        <v>575</v>
      </c>
      <c r="U9" s="135">
        <f t="shared" si="10"/>
        <v>575</v>
      </c>
      <c r="V9" s="135">
        <f t="shared" si="10"/>
        <v>575</v>
      </c>
      <c r="W9" s="135">
        <f t="shared" si="10"/>
        <v>575</v>
      </c>
      <c r="X9" s="135">
        <f t="shared" si="10"/>
        <v>575</v>
      </c>
      <c r="Y9" s="135">
        <f t="shared" si="10"/>
        <v>575</v>
      </c>
      <c r="Z9" s="135">
        <f t="shared" si="10"/>
        <v>575</v>
      </c>
      <c r="AA9" s="135">
        <f t="shared" si="10"/>
        <v>575</v>
      </c>
      <c r="AB9" s="135">
        <f t="shared" si="10"/>
        <v>575</v>
      </c>
    </row>
    <row r="10" spans="1:28">
      <c r="A10" s="589">
        <f>OptimizerReq!A11</f>
        <v>2024</v>
      </c>
      <c r="B10" s="64">
        <f>ROUND(OptimizerReq!R11,0)</f>
        <v>-55</v>
      </c>
      <c r="C10" s="372">
        <f t="shared" si="0"/>
        <v>-55</v>
      </c>
      <c r="D10" s="373">
        <f t="shared" si="1"/>
        <v>0</v>
      </c>
      <c r="E10" s="374">
        <f t="shared" si="2"/>
        <v>0</v>
      </c>
      <c r="F10" s="374">
        <f t="shared" si="3"/>
        <v>0</v>
      </c>
      <c r="G10" s="65">
        <f>ROUND(OptimizerReq!T11,0)</f>
        <v>0</v>
      </c>
      <c r="H10" s="375">
        <f t="shared" si="4"/>
        <v>0</v>
      </c>
      <c r="I10" s="375">
        <f t="shared" si="4"/>
        <v>0</v>
      </c>
      <c r="J10" s="374">
        <f t="shared" si="5"/>
        <v>0</v>
      </c>
      <c r="K10" s="374">
        <f t="shared" si="6"/>
        <v>0</v>
      </c>
      <c r="L10" s="373">
        <f t="shared" si="7"/>
        <v>0</v>
      </c>
      <c r="M10" s="383">
        <f t="shared" si="8"/>
        <v>-55</v>
      </c>
      <c r="N10" s="362"/>
      <c r="O10" s="365"/>
      <c r="P10" s="371">
        <f>OptimizerReq!A11</f>
        <v>2024</v>
      </c>
      <c r="Q10" s="386">
        <f>ROUND(OptimizerReq!S11,0)</f>
        <v>592</v>
      </c>
      <c r="R10" s="135">
        <f t="shared" ref="R10:AB10" si="11">Q10</f>
        <v>592</v>
      </c>
      <c r="S10" s="135">
        <f t="shared" si="11"/>
        <v>592</v>
      </c>
      <c r="T10" s="135">
        <f t="shared" si="11"/>
        <v>592</v>
      </c>
      <c r="U10" s="135">
        <f t="shared" si="11"/>
        <v>592</v>
      </c>
      <c r="V10" s="135">
        <f t="shared" si="11"/>
        <v>592</v>
      </c>
      <c r="W10" s="135">
        <f t="shared" si="11"/>
        <v>592</v>
      </c>
      <c r="X10" s="135">
        <f t="shared" si="11"/>
        <v>592</v>
      </c>
      <c r="Y10" s="135">
        <f t="shared" si="11"/>
        <v>592</v>
      </c>
      <c r="Z10" s="135">
        <f t="shared" si="11"/>
        <v>592</v>
      </c>
      <c r="AA10" s="135">
        <f t="shared" si="11"/>
        <v>592</v>
      </c>
      <c r="AB10" s="135">
        <f t="shared" si="11"/>
        <v>592</v>
      </c>
    </row>
    <row r="11" spans="1:28">
      <c r="A11" s="589">
        <f>OptimizerReq!A12</f>
        <v>2025</v>
      </c>
      <c r="B11" s="64">
        <f>ROUND(OptimizerReq!R12,0)</f>
        <v>-51</v>
      </c>
      <c r="C11" s="372">
        <f t="shared" si="0"/>
        <v>-51</v>
      </c>
      <c r="D11" s="373">
        <f t="shared" si="1"/>
        <v>0</v>
      </c>
      <c r="E11" s="374">
        <f t="shared" si="2"/>
        <v>0</v>
      </c>
      <c r="F11" s="374">
        <f t="shared" si="3"/>
        <v>0</v>
      </c>
      <c r="G11" s="65">
        <f>ROUND(OptimizerReq!T12,0)</f>
        <v>0</v>
      </c>
      <c r="H11" s="375">
        <f t="shared" si="4"/>
        <v>0</v>
      </c>
      <c r="I11" s="375">
        <f t="shared" si="4"/>
        <v>0</v>
      </c>
      <c r="J11" s="374">
        <f t="shared" si="5"/>
        <v>0</v>
      </c>
      <c r="K11" s="374">
        <f t="shared" si="6"/>
        <v>0</v>
      </c>
      <c r="L11" s="373">
        <f t="shared" si="7"/>
        <v>0</v>
      </c>
      <c r="M11" s="383">
        <f t="shared" si="8"/>
        <v>-51</v>
      </c>
      <c r="N11" s="362"/>
      <c r="O11" s="365"/>
      <c r="P11" s="371">
        <f>OptimizerReq!A12</f>
        <v>2025</v>
      </c>
      <c r="Q11" s="386">
        <f>ROUND(OptimizerReq!S12,0)</f>
        <v>596</v>
      </c>
      <c r="R11" s="135">
        <f t="shared" ref="R11:AB11" si="12">Q11</f>
        <v>596</v>
      </c>
      <c r="S11" s="135">
        <f t="shared" si="12"/>
        <v>596</v>
      </c>
      <c r="T11" s="135">
        <f t="shared" si="12"/>
        <v>596</v>
      </c>
      <c r="U11" s="135">
        <f t="shared" si="12"/>
        <v>596</v>
      </c>
      <c r="V11" s="135">
        <f t="shared" si="12"/>
        <v>596</v>
      </c>
      <c r="W11" s="135">
        <f t="shared" si="12"/>
        <v>596</v>
      </c>
      <c r="X11" s="135">
        <f t="shared" si="12"/>
        <v>596</v>
      </c>
      <c r="Y11" s="135">
        <f t="shared" si="12"/>
        <v>596</v>
      </c>
      <c r="Z11" s="135">
        <f t="shared" si="12"/>
        <v>596</v>
      </c>
      <c r="AA11" s="135">
        <f t="shared" si="12"/>
        <v>596</v>
      </c>
      <c r="AB11" s="135">
        <f t="shared" si="12"/>
        <v>596</v>
      </c>
    </row>
    <row r="12" spans="1:28">
      <c r="A12" s="589">
        <f>OptimizerReq!A13</f>
        <v>2026</v>
      </c>
      <c r="B12" s="64">
        <f>ROUND(OptimizerReq!R13,0)</f>
        <v>-37</v>
      </c>
      <c r="C12" s="372">
        <f t="shared" si="0"/>
        <v>-37</v>
      </c>
      <c r="D12" s="373">
        <f t="shared" si="1"/>
        <v>0</v>
      </c>
      <c r="E12" s="374">
        <f t="shared" si="2"/>
        <v>0</v>
      </c>
      <c r="F12" s="374">
        <f t="shared" si="3"/>
        <v>0</v>
      </c>
      <c r="G12" s="65">
        <f>ROUND(OptimizerReq!T13,0)</f>
        <v>0</v>
      </c>
      <c r="H12" s="375">
        <f t="shared" si="4"/>
        <v>0</v>
      </c>
      <c r="I12" s="375">
        <f t="shared" si="4"/>
        <v>0</v>
      </c>
      <c r="J12" s="374">
        <f t="shared" si="5"/>
        <v>0</v>
      </c>
      <c r="K12" s="374">
        <f t="shared" si="6"/>
        <v>0</v>
      </c>
      <c r="L12" s="373">
        <f t="shared" si="7"/>
        <v>0</v>
      </c>
      <c r="M12" s="383">
        <f t="shared" si="8"/>
        <v>-37</v>
      </c>
      <c r="N12" s="362"/>
      <c r="O12" s="365"/>
      <c r="P12" s="371">
        <f>OptimizerReq!A13</f>
        <v>2026</v>
      </c>
      <c r="Q12" s="386">
        <f>ROUND(OptimizerReq!S13,0)</f>
        <v>610</v>
      </c>
      <c r="R12" s="135">
        <f t="shared" ref="R12:AB12" si="13">Q12</f>
        <v>610</v>
      </c>
      <c r="S12" s="135">
        <f t="shared" si="13"/>
        <v>610</v>
      </c>
      <c r="T12" s="135">
        <f t="shared" si="13"/>
        <v>610</v>
      </c>
      <c r="U12" s="135">
        <f t="shared" si="13"/>
        <v>610</v>
      </c>
      <c r="V12" s="135">
        <f t="shared" si="13"/>
        <v>610</v>
      </c>
      <c r="W12" s="135">
        <f t="shared" si="13"/>
        <v>610</v>
      </c>
      <c r="X12" s="135">
        <f t="shared" si="13"/>
        <v>610</v>
      </c>
      <c r="Y12" s="135">
        <f t="shared" si="13"/>
        <v>610</v>
      </c>
      <c r="Z12" s="135">
        <f t="shared" si="13"/>
        <v>610</v>
      </c>
      <c r="AA12" s="135">
        <f t="shared" si="13"/>
        <v>610</v>
      </c>
      <c r="AB12" s="135">
        <f t="shared" si="13"/>
        <v>610</v>
      </c>
    </row>
    <row r="13" spans="1:28">
      <c r="A13" s="589">
        <f>OptimizerReq!A14</f>
        <v>2027</v>
      </c>
      <c r="B13" s="64">
        <f>ROUND(OptimizerReq!R14,0)</f>
        <v>-23</v>
      </c>
      <c r="C13" s="372">
        <f t="shared" si="0"/>
        <v>-23</v>
      </c>
      <c r="D13" s="373">
        <f t="shared" si="1"/>
        <v>0</v>
      </c>
      <c r="E13" s="374">
        <f t="shared" si="2"/>
        <v>0</v>
      </c>
      <c r="F13" s="374">
        <f t="shared" si="3"/>
        <v>0</v>
      </c>
      <c r="G13" s="65">
        <f>ROUND(OptimizerReq!T14,0)</f>
        <v>0</v>
      </c>
      <c r="H13" s="375">
        <f t="shared" si="4"/>
        <v>0</v>
      </c>
      <c r="I13" s="375">
        <f t="shared" si="4"/>
        <v>0</v>
      </c>
      <c r="J13" s="374">
        <f t="shared" si="5"/>
        <v>0</v>
      </c>
      <c r="K13" s="374">
        <f t="shared" si="6"/>
        <v>0</v>
      </c>
      <c r="L13" s="373">
        <f t="shared" si="7"/>
        <v>0</v>
      </c>
      <c r="M13" s="383">
        <f t="shared" si="8"/>
        <v>-23</v>
      </c>
      <c r="N13" s="362"/>
      <c r="O13" s="365"/>
      <c r="P13" s="371">
        <f>OptimizerReq!A14</f>
        <v>2027</v>
      </c>
      <c r="Q13" s="386">
        <f>ROUND(OptimizerReq!S14,0)</f>
        <v>626</v>
      </c>
      <c r="R13" s="135">
        <f t="shared" ref="R13:AB13" si="14">Q13</f>
        <v>626</v>
      </c>
      <c r="S13" s="135">
        <f t="shared" si="14"/>
        <v>626</v>
      </c>
      <c r="T13" s="135">
        <f t="shared" si="14"/>
        <v>626</v>
      </c>
      <c r="U13" s="135">
        <f t="shared" si="14"/>
        <v>626</v>
      </c>
      <c r="V13" s="135">
        <f t="shared" si="14"/>
        <v>626</v>
      </c>
      <c r="W13" s="135">
        <f t="shared" si="14"/>
        <v>626</v>
      </c>
      <c r="X13" s="135">
        <f t="shared" si="14"/>
        <v>626</v>
      </c>
      <c r="Y13" s="135">
        <f t="shared" si="14"/>
        <v>626</v>
      </c>
      <c r="Z13" s="135">
        <f t="shared" si="14"/>
        <v>626</v>
      </c>
      <c r="AA13" s="135">
        <f t="shared" si="14"/>
        <v>626</v>
      </c>
      <c r="AB13" s="135">
        <f t="shared" si="14"/>
        <v>626</v>
      </c>
    </row>
    <row r="14" spans="1:28">
      <c r="A14" s="589">
        <f>OptimizerReq!A15</f>
        <v>2028</v>
      </c>
      <c r="B14" s="64">
        <f>ROUND(OptimizerReq!R15,0)</f>
        <v>2</v>
      </c>
      <c r="C14" s="372">
        <f t="shared" si="0"/>
        <v>2</v>
      </c>
      <c r="D14" s="373">
        <f t="shared" si="1"/>
        <v>0</v>
      </c>
      <c r="E14" s="374">
        <f t="shared" si="2"/>
        <v>0</v>
      </c>
      <c r="F14" s="374">
        <f t="shared" si="3"/>
        <v>0</v>
      </c>
      <c r="G14" s="65">
        <f>ROUND(OptimizerReq!T15,0)</f>
        <v>0</v>
      </c>
      <c r="H14" s="375">
        <f t="shared" si="4"/>
        <v>0</v>
      </c>
      <c r="I14" s="375">
        <f t="shared" si="4"/>
        <v>0</v>
      </c>
      <c r="J14" s="374">
        <f t="shared" si="5"/>
        <v>0</v>
      </c>
      <c r="K14" s="374">
        <f t="shared" si="6"/>
        <v>0</v>
      </c>
      <c r="L14" s="373">
        <f t="shared" si="7"/>
        <v>0</v>
      </c>
      <c r="M14" s="383">
        <f t="shared" si="8"/>
        <v>2</v>
      </c>
      <c r="N14" s="362"/>
      <c r="O14" s="365"/>
      <c r="P14" s="371">
        <f>OptimizerReq!A15</f>
        <v>2028</v>
      </c>
      <c r="Q14" s="386">
        <f>ROUND(OptimizerReq!S15,0)</f>
        <v>652</v>
      </c>
      <c r="R14" s="135">
        <f t="shared" ref="R14:AB14" si="15">Q14</f>
        <v>652</v>
      </c>
      <c r="S14" s="135">
        <f t="shared" si="15"/>
        <v>652</v>
      </c>
      <c r="T14" s="135">
        <f t="shared" si="15"/>
        <v>652</v>
      </c>
      <c r="U14" s="135">
        <f t="shared" si="15"/>
        <v>652</v>
      </c>
      <c r="V14" s="135">
        <f t="shared" si="15"/>
        <v>652</v>
      </c>
      <c r="W14" s="135">
        <f t="shared" si="15"/>
        <v>652</v>
      </c>
      <c r="X14" s="135">
        <f t="shared" si="15"/>
        <v>652</v>
      </c>
      <c r="Y14" s="135">
        <f t="shared" si="15"/>
        <v>652</v>
      </c>
      <c r="Z14" s="135">
        <f t="shared" si="15"/>
        <v>652</v>
      </c>
      <c r="AA14" s="135">
        <f t="shared" si="15"/>
        <v>652</v>
      </c>
      <c r="AB14" s="135">
        <f t="shared" si="15"/>
        <v>652</v>
      </c>
    </row>
    <row r="15" spans="1:28">
      <c r="A15" s="589">
        <f>OptimizerReq!A16</f>
        <v>2029</v>
      </c>
      <c r="B15" s="64">
        <f>ROUND(OptimizerReq!R16,0)</f>
        <v>12</v>
      </c>
      <c r="C15" s="372">
        <f t="shared" si="0"/>
        <v>12</v>
      </c>
      <c r="D15" s="373">
        <f t="shared" si="1"/>
        <v>0</v>
      </c>
      <c r="E15" s="374">
        <f t="shared" si="2"/>
        <v>0</v>
      </c>
      <c r="F15" s="374">
        <f t="shared" si="3"/>
        <v>0</v>
      </c>
      <c r="G15" s="65">
        <f>ROUND(OptimizerReq!T16,0)</f>
        <v>0</v>
      </c>
      <c r="H15" s="375">
        <f t="shared" si="4"/>
        <v>0</v>
      </c>
      <c r="I15" s="375">
        <f t="shared" si="4"/>
        <v>0</v>
      </c>
      <c r="J15" s="374">
        <f t="shared" si="5"/>
        <v>0</v>
      </c>
      <c r="K15" s="374">
        <f t="shared" si="6"/>
        <v>0</v>
      </c>
      <c r="L15" s="373">
        <f t="shared" si="7"/>
        <v>0</v>
      </c>
      <c r="M15" s="383">
        <f t="shared" si="8"/>
        <v>12</v>
      </c>
      <c r="N15" s="362"/>
      <c r="O15" s="365"/>
      <c r="P15" s="371">
        <f>OptimizerReq!A16</f>
        <v>2029</v>
      </c>
      <c r="Q15" s="386">
        <f>ROUND(OptimizerReq!S16,0)</f>
        <v>662</v>
      </c>
      <c r="R15" s="135">
        <f t="shared" ref="R15:AB15" si="16">Q15</f>
        <v>662</v>
      </c>
      <c r="S15" s="135">
        <f t="shared" si="16"/>
        <v>662</v>
      </c>
      <c r="T15" s="135">
        <f t="shared" si="16"/>
        <v>662</v>
      </c>
      <c r="U15" s="135">
        <f t="shared" si="16"/>
        <v>662</v>
      </c>
      <c r="V15" s="135">
        <f t="shared" si="16"/>
        <v>662</v>
      </c>
      <c r="W15" s="135">
        <f t="shared" si="16"/>
        <v>662</v>
      </c>
      <c r="X15" s="135">
        <f t="shared" si="16"/>
        <v>662</v>
      </c>
      <c r="Y15" s="135">
        <f t="shared" si="16"/>
        <v>662</v>
      </c>
      <c r="Z15" s="135">
        <f t="shared" si="16"/>
        <v>662</v>
      </c>
      <c r="AA15" s="135">
        <f t="shared" si="16"/>
        <v>662</v>
      </c>
      <c r="AB15" s="135">
        <f t="shared" si="16"/>
        <v>662</v>
      </c>
    </row>
    <row r="16" spans="1:28">
      <c r="A16" s="589">
        <f>OptimizerReq!A17</f>
        <v>2030</v>
      </c>
      <c r="B16" s="64">
        <f>ROUND(OptimizerReq!R17,0)</f>
        <v>21</v>
      </c>
      <c r="C16" s="372">
        <f t="shared" si="0"/>
        <v>21</v>
      </c>
      <c r="D16" s="373">
        <f t="shared" si="1"/>
        <v>0</v>
      </c>
      <c r="E16" s="374">
        <f t="shared" si="2"/>
        <v>0</v>
      </c>
      <c r="F16" s="374">
        <f t="shared" si="3"/>
        <v>0</v>
      </c>
      <c r="G16" s="65">
        <f>ROUND(OptimizerReq!T17,0)</f>
        <v>0</v>
      </c>
      <c r="H16" s="375">
        <f t="shared" si="4"/>
        <v>0</v>
      </c>
      <c r="I16" s="375">
        <f t="shared" si="4"/>
        <v>0</v>
      </c>
      <c r="J16" s="374">
        <f t="shared" si="5"/>
        <v>0</v>
      </c>
      <c r="K16" s="374">
        <f t="shared" si="6"/>
        <v>0</v>
      </c>
      <c r="L16" s="373">
        <f t="shared" si="7"/>
        <v>0</v>
      </c>
      <c r="M16" s="383">
        <f t="shared" si="8"/>
        <v>21</v>
      </c>
      <c r="N16" s="362"/>
      <c r="O16" s="365"/>
      <c r="P16" s="371">
        <f>OptimizerReq!A17</f>
        <v>2030</v>
      </c>
      <c r="Q16" s="386">
        <f>ROUND(OptimizerReq!S17,0)</f>
        <v>672</v>
      </c>
      <c r="R16" s="135">
        <f t="shared" ref="R16:AB16" si="17">Q16</f>
        <v>672</v>
      </c>
      <c r="S16" s="135">
        <f t="shared" si="17"/>
        <v>672</v>
      </c>
      <c r="T16" s="135">
        <f t="shared" si="17"/>
        <v>672</v>
      </c>
      <c r="U16" s="135">
        <f t="shared" si="17"/>
        <v>672</v>
      </c>
      <c r="V16" s="135">
        <f t="shared" si="17"/>
        <v>672</v>
      </c>
      <c r="W16" s="135">
        <f t="shared" si="17"/>
        <v>672</v>
      </c>
      <c r="X16" s="135">
        <f t="shared" si="17"/>
        <v>672</v>
      </c>
      <c r="Y16" s="135">
        <f t="shared" si="17"/>
        <v>672</v>
      </c>
      <c r="Z16" s="135">
        <f t="shared" si="17"/>
        <v>672</v>
      </c>
      <c r="AA16" s="135">
        <f t="shared" si="17"/>
        <v>672</v>
      </c>
      <c r="AB16" s="135">
        <f t="shared" si="17"/>
        <v>672</v>
      </c>
    </row>
    <row r="17" spans="1:28">
      <c r="A17" s="589">
        <f>OptimizerReq!A18</f>
        <v>2031</v>
      </c>
      <c r="B17" s="64">
        <f>ROUND(OptimizerReq!R18,0)</f>
        <v>28</v>
      </c>
      <c r="C17" s="372">
        <f t="shared" si="0"/>
        <v>28</v>
      </c>
      <c r="D17" s="373">
        <f t="shared" si="1"/>
        <v>0</v>
      </c>
      <c r="E17" s="374">
        <f t="shared" si="2"/>
        <v>0</v>
      </c>
      <c r="F17" s="374">
        <f t="shared" si="3"/>
        <v>0</v>
      </c>
      <c r="G17" s="65">
        <f>ROUND(OptimizerReq!T18,0)</f>
        <v>0</v>
      </c>
      <c r="H17" s="375">
        <f t="shared" si="4"/>
        <v>0</v>
      </c>
      <c r="I17" s="375">
        <f t="shared" si="4"/>
        <v>0</v>
      </c>
      <c r="J17" s="374">
        <f t="shared" si="5"/>
        <v>0</v>
      </c>
      <c r="K17" s="374">
        <f t="shared" si="6"/>
        <v>0</v>
      </c>
      <c r="L17" s="373">
        <f t="shared" si="7"/>
        <v>0</v>
      </c>
      <c r="M17" s="383">
        <f t="shared" si="8"/>
        <v>28</v>
      </c>
      <c r="N17" s="362"/>
      <c r="O17" s="365"/>
      <c r="P17" s="371">
        <f>OptimizerReq!A18</f>
        <v>2031</v>
      </c>
      <c r="Q17" s="386">
        <f>ROUND(OptimizerReq!S18,0)</f>
        <v>680</v>
      </c>
      <c r="R17" s="135">
        <f t="shared" ref="R17:AB17" si="18">Q17</f>
        <v>680</v>
      </c>
      <c r="S17" s="135">
        <f t="shared" si="18"/>
        <v>680</v>
      </c>
      <c r="T17" s="135">
        <f t="shared" si="18"/>
        <v>680</v>
      </c>
      <c r="U17" s="135">
        <f t="shared" si="18"/>
        <v>680</v>
      </c>
      <c r="V17" s="135">
        <f t="shared" si="18"/>
        <v>680</v>
      </c>
      <c r="W17" s="135">
        <f t="shared" si="18"/>
        <v>680</v>
      </c>
      <c r="X17" s="135">
        <f t="shared" si="18"/>
        <v>680</v>
      </c>
      <c r="Y17" s="135">
        <f t="shared" si="18"/>
        <v>680</v>
      </c>
      <c r="Z17" s="135">
        <f t="shared" si="18"/>
        <v>680</v>
      </c>
      <c r="AA17" s="135">
        <f t="shared" si="18"/>
        <v>680</v>
      </c>
      <c r="AB17" s="135">
        <f t="shared" si="18"/>
        <v>680</v>
      </c>
    </row>
    <row r="18" spans="1:28">
      <c r="A18" s="589">
        <f>OptimizerReq!A19</f>
        <v>2032</v>
      </c>
      <c r="B18" s="64">
        <f>ROUND(OptimizerReq!R19,0)</f>
        <v>57</v>
      </c>
      <c r="C18" s="372">
        <f t="shared" si="0"/>
        <v>57</v>
      </c>
      <c r="D18" s="373">
        <f t="shared" si="1"/>
        <v>0</v>
      </c>
      <c r="E18" s="374">
        <f t="shared" si="2"/>
        <v>0</v>
      </c>
      <c r="F18" s="374">
        <f t="shared" si="3"/>
        <v>0</v>
      </c>
      <c r="G18" s="65">
        <f>ROUND(OptimizerReq!T19,0)</f>
        <v>0</v>
      </c>
      <c r="H18" s="375">
        <f t="shared" si="4"/>
        <v>0</v>
      </c>
      <c r="I18" s="375">
        <f t="shared" si="4"/>
        <v>0</v>
      </c>
      <c r="J18" s="374">
        <f t="shared" si="5"/>
        <v>0</v>
      </c>
      <c r="K18" s="374">
        <f t="shared" si="6"/>
        <v>0</v>
      </c>
      <c r="L18" s="373">
        <f t="shared" si="7"/>
        <v>0</v>
      </c>
      <c r="M18" s="383">
        <f t="shared" si="8"/>
        <v>57</v>
      </c>
      <c r="N18" s="362"/>
      <c r="O18" s="365"/>
      <c r="P18" s="371">
        <f>OptimizerReq!A19</f>
        <v>2032</v>
      </c>
      <c r="Q18" s="386">
        <f>ROUND(OptimizerReq!S19,0)</f>
        <v>711</v>
      </c>
      <c r="R18" s="135">
        <f t="shared" ref="R18:AB18" si="19">Q18</f>
        <v>711</v>
      </c>
      <c r="S18" s="135">
        <f t="shared" si="19"/>
        <v>711</v>
      </c>
      <c r="T18" s="135">
        <f t="shared" si="19"/>
        <v>711</v>
      </c>
      <c r="U18" s="135">
        <f t="shared" si="19"/>
        <v>711</v>
      </c>
      <c r="V18" s="135">
        <f t="shared" si="19"/>
        <v>711</v>
      </c>
      <c r="W18" s="135">
        <f t="shared" si="19"/>
        <v>711</v>
      </c>
      <c r="X18" s="135">
        <f t="shared" si="19"/>
        <v>711</v>
      </c>
      <c r="Y18" s="135">
        <f t="shared" si="19"/>
        <v>711</v>
      </c>
      <c r="Z18" s="135">
        <f t="shared" si="19"/>
        <v>711</v>
      </c>
      <c r="AA18" s="135">
        <f t="shared" si="19"/>
        <v>711</v>
      </c>
      <c r="AB18" s="135">
        <f t="shared" si="19"/>
        <v>711</v>
      </c>
    </row>
    <row r="19" spans="1:28">
      <c r="A19" s="589">
        <f>OptimizerReq!A20</f>
        <v>2033</v>
      </c>
      <c r="B19" s="64">
        <f>ROUND(OptimizerReq!R20,0)</f>
        <v>58</v>
      </c>
      <c r="C19" s="372">
        <f t="shared" si="0"/>
        <v>58</v>
      </c>
      <c r="D19" s="373">
        <f t="shared" si="1"/>
        <v>0</v>
      </c>
      <c r="E19" s="374">
        <f t="shared" si="2"/>
        <v>0</v>
      </c>
      <c r="F19" s="374">
        <f t="shared" si="3"/>
        <v>0</v>
      </c>
      <c r="G19" s="65">
        <f>ROUND(OptimizerReq!T20,0)</f>
        <v>0</v>
      </c>
      <c r="H19" s="375">
        <f t="shared" si="4"/>
        <v>0</v>
      </c>
      <c r="I19" s="375">
        <f t="shared" si="4"/>
        <v>0</v>
      </c>
      <c r="J19" s="374">
        <f t="shared" si="5"/>
        <v>0</v>
      </c>
      <c r="K19" s="374">
        <f t="shared" si="6"/>
        <v>0</v>
      </c>
      <c r="L19" s="373">
        <f t="shared" si="7"/>
        <v>0</v>
      </c>
      <c r="M19" s="383">
        <f t="shared" si="8"/>
        <v>58</v>
      </c>
      <c r="N19" s="362"/>
      <c r="O19" s="365"/>
      <c r="P19" s="371">
        <f>OptimizerReq!A20</f>
        <v>2033</v>
      </c>
      <c r="Q19" s="386">
        <f>ROUND(OptimizerReq!S20,0)</f>
        <v>712</v>
      </c>
      <c r="R19" s="135">
        <f t="shared" ref="R19:AB19" si="20">Q19</f>
        <v>712</v>
      </c>
      <c r="S19" s="135">
        <f t="shared" si="20"/>
        <v>712</v>
      </c>
      <c r="T19" s="135">
        <f t="shared" si="20"/>
        <v>712</v>
      </c>
      <c r="U19" s="135">
        <f t="shared" si="20"/>
        <v>712</v>
      </c>
      <c r="V19" s="135">
        <f t="shared" si="20"/>
        <v>712</v>
      </c>
      <c r="W19" s="135">
        <f t="shared" si="20"/>
        <v>712</v>
      </c>
      <c r="X19" s="135">
        <f t="shared" si="20"/>
        <v>712</v>
      </c>
      <c r="Y19" s="135">
        <f t="shared" si="20"/>
        <v>712</v>
      </c>
      <c r="Z19" s="135">
        <f t="shared" si="20"/>
        <v>712</v>
      </c>
      <c r="AA19" s="135">
        <f t="shared" si="20"/>
        <v>712</v>
      </c>
      <c r="AB19" s="135">
        <f t="shared" si="20"/>
        <v>712</v>
      </c>
    </row>
    <row r="20" spans="1:28">
      <c r="A20" s="589">
        <f>OptimizerReq!A21</f>
        <v>2034</v>
      </c>
      <c r="B20" s="64">
        <f>ROUND(OptimizerReq!R21,0)</f>
        <v>77</v>
      </c>
      <c r="C20" s="372">
        <f t="shared" si="0"/>
        <v>77</v>
      </c>
      <c r="D20" s="373">
        <f t="shared" si="1"/>
        <v>0</v>
      </c>
      <c r="E20" s="374">
        <f t="shared" si="2"/>
        <v>0</v>
      </c>
      <c r="F20" s="374">
        <f t="shared" si="3"/>
        <v>0</v>
      </c>
      <c r="G20" s="65">
        <f>ROUND(OptimizerReq!T21,0)</f>
        <v>0</v>
      </c>
      <c r="H20" s="375">
        <f t="shared" si="4"/>
        <v>0</v>
      </c>
      <c r="I20" s="375">
        <f t="shared" si="4"/>
        <v>0</v>
      </c>
      <c r="J20" s="374">
        <f t="shared" si="5"/>
        <v>0</v>
      </c>
      <c r="K20" s="374">
        <f t="shared" si="6"/>
        <v>0</v>
      </c>
      <c r="L20" s="373">
        <f t="shared" si="7"/>
        <v>0</v>
      </c>
      <c r="M20" s="383">
        <f t="shared" si="8"/>
        <v>77</v>
      </c>
      <c r="N20" s="362"/>
      <c r="O20" s="365"/>
      <c r="P20" s="371">
        <f>OptimizerReq!A21</f>
        <v>2034</v>
      </c>
      <c r="Q20" s="386">
        <f>ROUND(OptimizerReq!S21,0)</f>
        <v>732</v>
      </c>
      <c r="R20" s="135">
        <f t="shared" ref="R20:AB20" si="21">Q20</f>
        <v>732</v>
      </c>
      <c r="S20" s="135">
        <f t="shared" si="21"/>
        <v>732</v>
      </c>
      <c r="T20" s="135">
        <f t="shared" si="21"/>
        <v>732</v>
      </c>
      <c r="U20" s="135">
        <f t="shared" si="21"/>
        <v>732</v>
      </c>
      <c r="V20" s="135">
        <f t="shared" si="21"/>
        <v>732</v>
      </c>
      <c r="W20" s="135">
        <f t="shared" si="21"/>
        <v>732</v>
      </c>
      <c r="X20" s="135">
        <f t="shared" si="21"/>
        <v>732</v>
      </c>
      <c r="Y20" s="135">
        <f t="shared" si="21"/>
        <v>732</v>
      </c>
      <c r="Z20" s="135">
        <f t="shared" si="21"/>
        <v>732</v>
      </c>
      <c r="AA20" s="135">
        <f t="shared" si="21"/>
        <v>732</v>
      </c>
      <c r="AB20" s="135">
        <f t="shared" si="21"/>
        <v>732</v>
      </c>
    </row>
    <row r="21" spans="1:28" ht="13.5" customHeight="1">
      <c r="A21" s="589">
        <f>OptimizerReq!A22</f>
        <v>2035</v>
      </c>
      <c r="B21" s="64">
        <f>ROUND(OptimizerReq!R22,0)</f>
        <v>95</v>
      </c>
      <c r="C21" s="372">
        <f t="shared" si="0"/>
        <v>95</v>
      </c>
      <c r="D21" s="373">
        <f t="shared" si="1"/>
        <v>0</v>
      </c>
      <c r="E21" s="374">
        <f t="shared" si="2"/>
        <v>0</v>
      </c>
      <c r="F21" s="374">
        <f t="shared" si="3"/>
        <v>0</v>
      </c>
      <c r="G21" s="65">
        <f>ROUND(OptimizerReq!T22,0)</f>
        <v>0</v>
      </c>
      <c r="H21" s="375">
        <f t="shared" si="4"/>
        <v>0</v>
      </c>
      <c r="I21" s="375">
        <f t="shared" si="4"/>
        <v>0</v>
      </c>
      <c r="J21" s="374">
        <f t="shared" si="5"/>
        <v>0</v>
      </c>
      <c r="K21" s="374">
        <f t="shared" si="6"/>
        <v>0</v>
      </c>
      <c r="L21" s="373">
        <f t="shared" si="7"/>
        <v>0</v>
      </c>
      <c r="M21" s="383">
        <f t="shared" si="8"/>
        <v>95</v>
      </c>
      <c r="N21" s="362"/>
      <c r="O21" s="365"/>
      <c r="P21" s="371">
        <f>OptimizerReq!A22</f>
        <v>2035</v>
      </c>
      <c r="Q21" s="386">
        <f>ROUND(OptimizerReq!S22,0)</f>
        <v>751</v>
      </c>
      <c r="R21" s="135">
        <f t="shared" ref="R21:AB21" si="22">Q21</f>
        <v>751</v>
      </c>
      <c r="S21" s="135">
        <f t="shared" si="22"/>
        <v>751</v>
      </c>
      <c r="T21" s="135">
        <f t="shared" si="22"/>
        <v>751</v>
      </c>
      <c r="U21" s="135">
        <f t="shared" si="22"/>
        <v>751</v>
      </c>
      <c r="V21" s="135">
        <f t="shared" si="22"/>
        <v>751</v>
      </c>
      <c r="W21" s="135">
        <f t="shared" si="22"/>
        <v>751</v>
      </c>
      <c r="X21" s="135">
        <f t="shared" si="22"/>
        <v>751</v>
      </c>
      <c r="Y21" s="135">
        <f t="shared" si="22"/>
        <v>751</v>
      </c>
      <c r="Z21" s="135">
        <f t="shared" si="22"/>
        <v>751</v>
      </c>
      <c r="AA21" s="135">
        <f t="shared" si="22"/>
        <v>751</v>
      </c>
      <c r="AB21" s="135">
        <f t="shared" si="22"/>
        <v>751</v>
      </c>
    </row>
    <row r="22" spans="1:28">
      <c r="A22" s="590">
        <f>OptimizerReq!A23</f>
        <v>2036</v>
      </c>
      <c r="B22" s="591">
        <f>ROUND(OptimizerReq!R23,0)</f>
        <v>102</v>
      </c>
      <c r="C22" s="592">
        <f t="shared" si="0"/>
        <v>102</v>
      </c>
      <c r="D22" s="593">
        <f t="shared" si="1"/>
        <v>0</v>
      </c>
      <c r="E22" s="594">
        <f t="shared" si="2"/>
        <v>0</v>
      </c>
      <c r="F22" s="594">
        <f t="shared" si="3"/>
        <v>0</v>
      </c>
      <c r="G22" s="595">
        <f>ROUND(OptimizerReq!T23,0)</f>
        <v>0</v>
      </c>
      <c r="H22" s="596">
        <f t="shared" si="4"/>
        <v>0</v>
      </c>
      <c r="I22" s="596">
        <f t="shared" si="4"/>
        <v>0</v>
      </c>
      <c r="J22" s="594">
        <f t="shared" si="5"/>
        <v>0</v>
      </c>
      <c r="K22" s="594">
        <f t="shared" si="6"/>
        <v>0</v>
      </c>
      <c r="L22" s="593">
        <f t="shared" si="7"/>
        <v>0</v>
      </c>
      <c r="M22" s="597">
        <f t="shared" si="8"/>
        <v>102</v>
      </c>
      <c r="N22" s="598"/>
      <c r="O22" s="599"/>
      <c r="P22" s="600">
        <f>OptimizerReq!A23</f>
        <v>2036</v>
      </c>
      <c r="Q22" s="386">
        <f>ROUND(OptimizerReq!S23,0)</f>
        <v>759</v>
      </c>
      <c r="R22" s="135">
        <f t="shared" ref="R22:AB22" si="23">Q22</f>
        <v>759</v>
      </c>
      <c r="S22" s="135">
        <f t="shared" si="23"/>
        <v>759</v>
      </c>
      <c r="T22" s="135">
        <f t="shared" si="23"/>
        <v>759</v>
      </c>
      <c r="U22" s="135">
        <f t="shared" si="23"/>
        <v>759</v>
      </c>
      <c r="V22" s="135">
        <f t="shared" si="23"/>
        <v>759</v>
      </c>
      <c r="W22" s="135">
        <f t="shared" si="23"/>
        <v>759</v>
      </c>
      <c r="X22" s="135">
        <f t="shared" si="23"/>
        <v>759</v>
      </c>
      <c r="Y22" s="135">
        <f t="shared" si="23"/>
        <v>759</v>
      </c>
      <c r="Z22" s="135">
        <f t="shared" si="23"/>
        <v>759</v>
      </c>
      <c r="AA22" s="135">
        <f t="shared" si="23"/>
        <v>759</v>
      </c>
      <c r="AB22" s="135">
        <f t="shared" si="23"/>
        <v>759</v>
      </c>
    </row>
    <row r="23" spans="1:28">
      <c r="A23" s="33"/>
      <c r="B23" s="33"/>
      <c r="C23" s="33"/>
      <c r="D23" s="33"/>
      <c r="E23" s="33"/>
      <c r="F23" s="33"/>
      <c r="G23" s="35"/>
      <c r="H23" s="33"/>
      <c r="I23" s="33"/>
      <c r="J23" s="33"/>
      <c r="K23" s="33"/>
      <c r="L23" s="33"/>
      <c r="M23" s="33"/>
    </row>
    <row r="25" spans="1:28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7" spans="1:28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9" spans="1:28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1" spans="1:28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3" spans="1:13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5" spans="1:13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7" spans="1:13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9" spans="1:13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1" spans="1:13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</sheetData>
  <phoneticPr fontId="0" type="noConversion"/>
  <pageMargins left="0.17" right="0.17" top="1" bottom="1" header="0.5" footer="0.5"/>
  <pageSetup scale="92" orientation="landscape" horizontalDpi="4294967293" verticalDpi="1200" r:id="rId1"/>
  <headerFooter alignWithMargins="0">
    <oddFooter>&amp;L&amp;F &amp;A&amp;C&amp;P / &amp;N&amp;RRP Team &amp;D  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Exp Plan</vt:lpstr>
      <vt:lpstr>Generation</vt:lpstr>
      <vt:lpstr>Purchases</vt:lpstr>
      <vt:lpstr>CapOptions</vt:lpstr>
      <vt:lpstr>CapCosts</vt:lpstr>
      <vt:lpstr>OptimizerReq</vt:lpstr>
      <vt:lpstr>OptMinMaxNeed</vt:lpstr>
      <vt:lpstr>'Exp Plan'!Print_Area</vt:lpstr>
      <vt:lpstr>Generation!Print_Area</vt:lpstr>
      <vt:lpstr>OptimizerReq!Print_Area</vt:lpstr>
      <vt:lpstr>Purchases!Print_Area</vt:lpstr>
    </vt:vector>
  </TitlesOfParts>
  <Company>ekpc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benwalk</dc:creator>
  <cp:lastModifiedBy>Fernie Williams</cp:lastModifiedBy>
  <cp:lastPrinted>2021-11-30T21:09:31Z</cp:lastPrinted>
  <dcterms:created xsi:type="dcterms:W3CDTF">2002-03-15T16:03:19Z</dcterms:created>
  <dcterms:modified xsi:type="dcterms:W3CDTF">2023-01-11T19:11:04Z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{780B7645-19D2-42A2-90E5-02C82E219323}</vt:lpwstr>
  </property>
</Properties>
</file>