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Lake Village WA/"/>
    </mc:Choice>
  </mc:AlternateContent>
  <xr:revisionPtr revIDLastSave="28" documentId="8_{E62D359A-6473-4D97-AC29-A61D1AEF5862}" xr6:coauthVersionLast="47" xr6:coauthVersionMax="47" xr10:uidLastSave="{894BC213-0634-44F8-853D-BA2B0DD6BFDC}"/>
  <bookViews>
    <workbookView xWindow="-98" yWindow="-98" windowWidth="20715" windowHeight="13155" tabRatio="641" xr2:uid="{00000000-000D-0000-FFFF-FFFF00000000}"/>
  </bookViews>
  <sheets>
    <sheet name="SAO" sheetId="6" r:id="rId1"/>
    <sheet name="Wages" sheetId="55" r:id="rId2"/>
    <sheet name="Medical" sheetId="40" r:id="rId3"/>
    <sheet name="Debt Service" sheetId="50" r:id="rId4"/>
    <sheet name="Depreciation" sheetId="51" r:id="rId5"/>
    <sheet name="Capital" sheetId="56" r:id="rId6"/>
    <sheet name="Water Loss" sheetId="54" r:id="rId7"/>
    <sheet name="Rates" sheetId="2" r:id="rId8"/>
    <sheet name="Bills" sheetId="42" r:id="rId9"/>
    <sheet name="Bills with Surcharge" sheetId="57" r:id="rId10"/>
    <sheet name="ExBA" sheetId="52" r:id="rId11"/>
    <sheet name="PrBA" sheetId="53" r:id="rId12"/>
    <sheet name="Notice_R" sheetId="36" r:id="rId13"/>
    <sheet name="Notice_W" sheetId="37" r:id="rId14"/>
  </sheets>
  <definedNames>
    <definedName name="AHV">#REF!</definedName>
    <definedName name="_xlnm.Print_Area" localSheetId="8">Bills!$B$1:$I$27</definedName>
    <definedName name="_xlnm.Print_Area" localSheetId="3">'Debt Service'!$A$1:$O$23</definedName>
    <definedName name="_xlnm.Print_Area" localSheetId="4">Depreciation!$A$1:$L$47</definedName>
    <definedName name="_xlnm.Print_Area" localSheetId="11">PrBA!$A$1:$K$32</definedName>
    <definedName name="_xlnm.Print_Area" localSheetId="7">Rates!$B$2:$I$20</definedName>
    <definedName name="_xlnm.Print_Area" localSheetId="0">SAO!$A$1:$G$54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3" l="1"/>
  <c r="G22" i="6"/>
  <c r="E21" i="6"/>
  <c r="L14" i="40" l="1"/>
  <c r="M14" i="40" s="1"/>
  <c r="J14" i="40"/>
  <c r="I14" i="40"/>
  <c r="F14" i="40"/>
  <c r="G14" i="40" s="1"/>
  <c r="D14" i="40"/>
  <c r="E9" i="40" l="1"/>
  <c r="D6" i="55"/>
  <c r="E8" i="40"/>
  <c r="E7" i="40"/>
  <c r="E6" i="40"/>
  <c r="E10" i="40" s="1"/>
  <c r="B10" i="40"/>
  <c r="D8" i="40"/>
  <c r="L8" i="40" s="1"/>
  <c r="D7" i="40"/>
  <c r="L7" i="40" s="1"/>
  <c r="D16" i="40"/>
  <c r="F16" i="40" s="1"/>
  <c r="G16" i="40" s="1"/>
  <c r="D15" i="40"/>
  <c r="I15" i="40" s="1"/>
  <c r="D13" i="40"/>
  <c r="I13" i="40" s="1"/>
  <c r="D34" i="54"/>
  <c r="D9" i="40"/>
  <c r="I9" i="40" s="1"/>
  <c r="D6" i="40"/>
  <c r="I6" i="40" s="1"/>
  <c r="D32" i="53"/>
  <c r="E7" i="53" s="1"/>
  <c r="C32" i="53"/>
  <c r="D7" i="53" s="1"/>
  <c r="D19" i="53"/>
  <c r="D18" i="53"/>
  <c r="D17" i="53"/>
  <c r="E17" i="53" s="1"/>
  <c r="H17" i="53" s="1"/>
  <c r="C19" i="53"/>
  <c r="F19" i="53" s="1"/>
  <c r="C18" i="53"/>
  <c r="E18" i="53" s="1"/>
  <c r="C17" i="53"/>
  <c r="G16" i="53"/>
  <c r="F16" i="53"/>
  <c r="E16" i="53"/>
  <c r="G8" i="6"/>
  <c r="F11" i="52"/>
  <c r="E24" i="52"/>
  <c r="C24" i="52"/>
  <c r="F19" i="52"/>
  <c r="E19" i="52"/>
  <c r="G19" i="52" s="1"/>
  <c r="E18" i="52"/>
  <c r="E26" i="6"/>
  <c r="E18" i="6"/>
  <c r="G45" i="6"/>
  <c r="G44" i="6"/>
  <c r="L12" i="50"/>
  <c r="L16" i="50" s="1"/>
  <c r="J12" i="50"/>
  <c r="M12" i="50" s="1"/>
  <c r="M16" i="50" s="1"/>
  <c r="H12" i="50"/>
  <c r="F12" i="50"/>
  <c r="D12" i="50"/>
  <c r="D16" i="50" s="1"/>
  <c r="K16" i="50"/>
  <c r="I16" i="50"/>
  <c r="H16" i="50"/>
  <c r="G16" i="50"/>
  <c r="F16" i="50"/>
  <c r="E16" i="50"/>
  <c r="C16" i="50"/>
  <c r="D5" i="55"/>
  <c r="E5" i="55"/>
  <c r="L14" i="50"/>
  <c r="J14" i="50"/>
  <c r="H14" i="50"/>
  <c r="F14" i="50"/>
  <c r="D14" i="50"/>
  <c r="F51" i="51"/>
  <c r="J27" i="51"/>
  <c r="G19" i="55"/>
  <c r="E25" i="57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10" i="57"/>
  <c r="E22" i="42"/>
  <c r="E21" i="42"/>
  <c r="E20" i="42"/>
  <c r="E19" i="42"/>
  <c r="E18" i="42"/>
  <c r="E17" i="42"/>
  <c r="E24" i="42"/>
  <c r="E23" i="42"/>
  <c r="E16" i="42"/>
  <c r="E15" i="42"/>
  <c r="E14" i="42"/>
  <c r="E13" i="42"/>
  <c r="E12" i="42"/>
  <c r="E11" i="42"/>
  <c r="C32" i="54"/>
  <c r="C31" i="54"/>
  <c r="C30" i="54"/>
  <c r="B32" i="54"/>
  <c r="D32" i="54" s="1"/>
  <c r="B31" i="54"/>
  <c r="D31" i="54" s="1"/>
  <c r="B30" i="54"/>
  <c r="D30" i="54" s="1"/>
  <c r="E23" i="6" s="1"/>
  <c r="D31" i="6"/>
  <c r="D30" i="6"/>
  <c r="D27" i="6"/>
  <c r="E10" i="42"/>
  <c r="G11" i="6"/>
  <c r="A32" i="54"/>
  <c r="A31" i="54"/>
  <c r="A30" i="54"/>
  <c r="F7" i="40" l="1"/>
  <c r="G7" i="40" s="1"/>
  <c r="J7" i="40" s="1"/>
  <c r="M7" i="40" s="1"/>
  <c r="F8" i="40"/>
  <c r="G8" i="40" s="1"/>
  <c r="J8" i="40" s="1"/>
  <c r="M8" i="40" s="1"/>
  <c r="C10" i="40"/>
  <c r="F6" i="40"/>
  <c r="G6" i="40" s="1"/>
  <c r="J6" i="40" s="1"/>
  <c r="D10" i="40"/>
  <c r="I8" i="40"/>
  <c r="I7" i="40"/>
  <c r="L15" i="40"/>
  <c r="F13" i="40"/>
  <c r="G13" i="40" s="1"/>
  <c r="J13" i="40" s="1"/>
  <c r="F15" i="40"/>
  <c r="G15" i="40" s="1"/>
  <c r="J15" i="40" s="1"/>
  <c r="J16" i="40"/>
  <c r="I16" i="40"/>
  <c r="I17" i="40" s="1"/>
  <c r="L13" i="40"/>
  <c r="L16" i="40"/>
  <c r="F9" i="40"/>
  <c r="G9" i="40" s="1"/>
  <c r="L9" i="40"/>
  <c r="L6" i="40"/>
  <c r="F18" i="53"/>
  <c r="F20" i="53" s="1"/>
  <c r="D25" i="53" s="1"/>
  <c r="D20" i="53"/>
  <c r="E19" i="53"/>
  <c r="G19" i="53" s="1"/>
  <c r="G20" i="53" s="1"/>
  <c r="D26" i="53" s="1"/>
  <c r="C20" i="53"/>
  <c r="H18" i="53"/>
  <c r="D33" i="54"/>
  <c r="D35" i="54" s="1"/>
  <c r="E23" i="2" s="1"/>
  <c r="G23" i="2" s="1"/>
  <c r="J16" i="50"/>
  <c r="F44" i="51"/>
  <c r="J19" i="51"/>
  <c r="J18" i="51"/>
  <c r="J42" i="51"/>
  <c r="J23" i="51"/>
  <c r="K23" i="51" s="1"/>
  <c r="I10" i="40" l="1"/>
  <c r="M6" i="40"/>
  <c r="M15" i="40"/>
  <c r="J17" i="40"/>
  <c r="M13" i="40"/>
  <c r="M16" i="40"/>
  <c r="J9" i="40"/>
  <c r="E20" i="53"/>
  <c r="D24" i="53" s="1"/>
  <c r="D27" i="53" s="1"/>
  <c r="D6" i="53"/>
  <c r="D8" i="53" s="1"/>
  <c r="C24" i="53"/>
  <c r="H19" i="53"/>
  <c r="H20" i="53" s="1"/>
  <c r="E6" i="53" s="1"/>
  <c r="E8" i="53" s="1"/>
  <c r="K19" i="51"/>
  <c r="K18" i="51"/>
  <c r="K42" i="51"/>
  <c r="C6" i="56"/>
  <c r="C5" i="56"/>
  <c r="E10" i="55"/>
  <c r="E8" i="55"/>
  <c r="F7" i="55"/>
  <c r="E7" i="55"/>
  <c r="F11" i="55"/>
  <c r="F9" i="55"/>
  <c r="F6" i="55"/>
  <c r="E9" i="55"/>
  <c r="E6" i="55"/>
  <c r="F5" i="55"/>
  <c r="C21" i="54"/>
  <c r="C13" i="54"/>
  <c r="C4" i="54"/>
  <c r="E32" i="52"/>
  <c r="F32" i="52" s="1"/>
  <c r="E26" i="52"/>
  <c r="E25" i="52"/>
  <c r="D7" i="52"/>
  <c r="F24" i="52"/>
  <c r="D20" i="52"/>
  <c r="E17" i="52"/>
  <c r="C20" i="52"/>
  <c r="D6" i="52" s="1"/>
  <c r="G16" i="52"/>
  <c r="F16" i="52"/>
  <c r="E16" i="52"/>
  <c r="M17" i="40" l="1"/>
  <c r="M9" i="40"/>
  <c r="M10" i="40" s="1"/>
  <c r="J10" i="40"/>
  <c r="J19" i="40" s="1"/>
  <c r="J21" i="40" s="1"/>
  <c r="C27" i="53"/>
  <c r="C22" i="54"/>
  <c r="D25" i="54"/>
  <c r="D27" i="54" s="1"/>
  <c r="E11" i="55"/>
  <c r="G11" i="55" s="1"/>
  <c r="G6" i="55"/>
  <c r="F8" i="55"/>
  <c r="F10" i="55"/>
  <c r="G10" i="55" s="1"/>
  <c r="G9" i="55"/>
  <c r="G7" i="55"/>
  <c r="D8" i="52"/>
  <c r="H17" i="52"/>
  <c r="F18" i="52"/>
  <c r="C27" i="52"/>
  <c r="E7" i="52"/>
  <c r="M24" i="40" l="1"/>
  <c r="E22" i="6" s="1"/>
  <c r="G8" i="55"/>
  <c r="F7" i="52"/>
  <c r="F20" i="52"/>
  <c r="D25" i="52" s="1"/>
  <c r="F25" i="52" s="1"/>
  <c r="G20" i="52"/>
  <c r="D26" i="52" s="1"/>
  <c r="F26" i="52" s="1"/>
  <c r="G5" i="55"/>
  <c r="H18" i="52"/>
  <c r="E20" i="52"/>
  <c r="D24" i="52" s="1"/>
  <c r="G13" i="55" l="1"/>
  <c r="G30" i="55"/>
  <c r="G18" i="55"/>
  <c r="G20" i="55" s="1"/>
  <c r="D27" i="52"/>
  <c r="H19" i="52"/>
  <c r="H20" i="52" s="1"/>
  <c r="E6" i="52" s="1"/>
  <c r="E8" i="52" s="1"/>
  <c r="F27" i="52"/>
  <c r="H44" i="51"/>
  <c r="J41" i="51"/>
  <c r="K41" i="51" s="1"/>
  <c r="J38" i="51"/>
  <c r="K38" i="51" s="1"/>
  <c r="J35" i="51"/>
  <c r="K35" i="51" s="1"/>
  <c r="J34" i="51"/>
  <c r="K34" i="51" s="1"/>
  <c r="J33" i="51"/>
  <c r="K33" i="51" s="1"/>
  <c r="J32" i="51"/>
  <c r="K32" i="51" s="1"/>
  <c r="J31" i="51"/>
  <c r="K31" i="51" s="1"/>
  <c r="J30" i="51"/>
  <c r="K30" i="51" s="1"/>
  <c r="J29" i="51"/>
  <c r="K29" i="51" s="1"/>
  <c r="J28" i="51"/>
  <c r="K28" i="51" s="1"/>
  <c r="K27" i="51"/>
  <c r="J24" i="51"/>
  <c r="K24" i="51" s="1"/>
  <c r="J22" i="51"/>
  <c r="K22" i="51" s="1"/>
  <c r="J15" i="51"/>
  <c r="K15" i="51" s="1"/>
  <c r="J14" i="51"/>
  <c r="K14" i="51" s="1"/>
  <c r="J13" i="51"/>
  <c r="K13" i="51" s="1"/>
  <c r="J12" i="51"/>
  <c r="K12" i="51" s="1"/>
  <c r="J11" i="51"/>
  <c r="K11" i="51" s="1"/>
  <c r="J10" i="51"/>
  <c r="K10" i="51" s="1"/>
  <c r="M14" i="50"/>
  <c r="M13" i="50"/>
  <c r="E20" i="6" l="1"/>
  <c r="E17" i="6"/>
  <c r="G18" i="6" s="1"/>
  <c r="F6" i="52"/>
  <c r="G22" i="55"/>
  <c r="G24" i="55" s="1"/>
  <c r="G26" i="55" s="1"/>
  <c r="E37" i="6" s="1"/>
  <c r="K44" i="51"/>
  <c r="J44" i="51"/>
  <c r="F50" i="51" s="1"/>
  <c r="F52" i="51" s="1"/>
  <c r="E36" i="6" s="1"/>
  <c r="G36" i="6" s="1"/>
  <c r="P16" i="50"/>
  <c r="M19" i="50"/>
  <c r="F8" i="52" l="1"/>
  <c r="F10" i="52" s="1"/>
  <c r="F12" i="52" s="1"/>
  <c r="M21" i="50"/>
  <c r="D12" i="36"/>
  <c r="D11" i="36"/>
  <c r="D10" i="36"/>
  <c r="D9" i="36"/>
  <c r="B12" i="36"/>
  <c r="B11" i="36"/>
  <c r="B10" i="36"/>
  <c r="B9" i="36"/>
  <c r="E9" i="42"/>
  <c r="E6" i="6" l="1"/>
  <c r="G6" i="6" s="1"/>
  <c r="G51" i="6" s="1"/>
  <c r="P21" i="50"/>
  <c r="G37" i="6"/>
  <c r="G33" i="6"/>
  <c r="G32" i="6"/>
  <c r="G31" i="6"/>
  <c r="G30" i="6"/>
  <c r="G29" i="6"/>
  <c r="G28" i="6"/>
  <c r="G26" i="6"/>
  <c r="G25" i="6"/>
  <c r="G24" i="6"/>
  <c r="G23" i="6"/>
  <c r="G19" i="6"/>
  <c r="G7" i="6"/>
  <c r="G48" i="6" s="1"/>
  <c r="G27" i="6" l="1"/>
  <c r="F10" i="36"/>
  <c r="F9" i="36"/>
  <c r="G12" i="6" l="1"/>
  <c r="C9" i="37" l="1"/>
  <c r="F13" i="2" l="1"/>
  <c r="F11" i="2"/>
  <c r="G10" i="6" l="1"/>
  <c r="D13" i="6"/>
  <c r="D34" i="6"/>
  <c r="G47" i="6" l="1"/>
  <c r="G34" i="6"/>
  <c r="D38" i="6"/>
  <c r="G38" i="6" l="1"/>
  <c r="G13" i="6"/>
  <c r="D40" i="6"/>
  <c r="G43" i="6" l="1"/>
  <c r="G46" i="6" s="1"/>
  <c r="G40" i="6"/>
  <c r="G50" i="6" l="1"/>
  <c r="G10" i="53" s="1"/>
  <c r="G52" i="6" l="1"/>
  <c r="G54" i="6" s="1"/>
  <c r="E13" i="2" l="1"/>
  <c r="E26" i="53" s="1"/>
  <c r="F26" i="53" s="1"/>
  <c r="E12" i="2"/>
  <c r="E25" i="53" s="1"/>
  <c r="F25" i="53" s="1"/>
  <c r="E18" i="2"/>
  <c r="E32" i="53" s="1"/>
  <c r="F32" i="53" s="1"/>
  <c r="F7" i="53" s="1"/>
  <c r="E11" i="2"/>
  <c r="E24" i="53" s="1"/>
  <c r="F24" i="53" s="1"/>
  <c r="F27" i="53" l="1"/>
  <c r="F6" i="53" s="1"/>
  <c r="F8" i="53" s="1"/>
  <c r="F10" i="53" s="1"/>
  <c r="J10" i="53" s="1"/>
  <c r="K10" i="53" s="1"/>
  <c r="F18" i="57"/>
  <c r="G18" i="57" s="1"/>
  <c r="H18" i="57" s="1"/>
  <c r="F11" i="57"/>
  <c r="G11" i="57" s="1"/>
  <c r="H11" i="57" s="1"/>
  <c r="F23" i="42"/>
  <c r="G23" i="42" s="1"/>
  <c r="H23" i="42" s="1"/>
  <c r="F15" i="42"/>
  <c r="G15" i="42" s="1"/>
  <c r="H15" i="42" s="1"/>
  <c r="F25" i="57"/>
  <c r="G25" i="57" s="1"/>
  <c r="H25" i="57" s="1"/>
  <c r="F10" i="57"/>
  <c r="G10" i="57" s="1"/>
  <c r="H10" i="57" s="1"/>
  <c r="F22" i="42"/>
  <c r="G22" i="42" s="1"/>
  <c r="H22" i="42" s="1"/>
  <c r="F14" i="42"/>
  <c r="G14" i="42" s="1"/>
  <c r="H14" i="42" s="1"/>
  <c r="F24" i="57"/>
  <c r="G24" i="57" s="1"/>
  <c r="H24" i="57" s="1"/>
  <c r="F17" i="57"/>
  <c r="G17" i="57" s="1"/>
  <c r="H17" i="57" s="1"/>
  <c r="F21" i="42"/>
  <c r="G21" i="42" s="1"/>
  <c r="H21" i="42" s="1"/>
  <c r="F13" i="42"/>
  <c r="G13" i="42" s="1"/>
  <c r="H13" i="42" s="1"/>
  <c r="F23" i="57"/>
  <c r="G23" i="57" s="1"/>
  <c r="H23" i="57" s="1"/>
  <c r="F16" i="57"/>
  <c r="G16" i="57" s="1"/>
  <c r="H16" i="57" s="1"/>
  <c r="F20" i="42"/>
  <c r="G20" i="42" s="1"/>
  <c r="H20" i="42" s="1"/>
  <c r="F12" i="42"/>
  <c r="G12" i="42" s="1"/>
  <c r="H12" i="42" s="1"/>
  <c r="F15" i="57"/>
  <c r="G15" i="57" s="1"/>
  <c r="H15" i="57" s="1"/>
  <c r="F19" i="42"/>
  <c r="G19" i="42" s="1"/>
  <c r="H19" i="42" s="1"/>
  <c r="F11" i="42"/>
  <c r="G11" i="42" s="1"/>
  <c r="H11" i="42" s="1"/>
  <c r="F21" i="57"/>
  <c r="G21" i="57" s="1"/>
  <c r="H21" i="57" s="1"/>
  <c r="F14" i="57"/>
  <c r="G14" i="57" s="1"/>
  <c r="H14" i="57" s="1"/>
  <c r="F18" i="42"/>
  <c r="G18" i="42" s="1"/>
  <c r="H18" i="42" s="1"/>
  <c r="F10" i="42"/>
  <c r="G10" i="42" s="1"/>
  <c r="H10" i="42" s="1"/>
  <c r="F20" i="57"/>
  <c r="G20" i="57" s="1"/>
  <c r="H20" i="57" s="1"/>
  <c r="F13" i="57"/>
  <c r="G13" i="57" s="1"/>
  <c r="H13" i="57" s="1"/>
  <c r="F17" i="42"/>
  <c r="G17" i="42" s="1"/>
  <c r="H17" i="42" s="1"/>
  <c r="F9" i="42"/>
  <c r="G9" i="42" s="1"/>
  <c r="H9" i="42" s="1"/>
  <c r="F19" i="57"/>
  <c r="G19" i="57" s="1"/>
  <c r="H19" i="57" s="1"/>
  <c r="F12" i="57"/>
  <c r="G12" i="57" s="1"/>
  <c r="H12" i="57" s="1"/>
  <c r="F24" i="42"/>
  <c r="G24" i="42" s="1"/>
  <c r="H24" i="42" s="1"/>
  <c r="F16" i="42"/>
  <c r="G16" i="42" s="1"/>
  <c r="H16" i="42" s="1"/>
  <c r="F22" i="57"/>
  <c r="G22" i="57" s="1"/>
  <c r="H22" i="57" s="1"/>
  <c r="E11" i="36"/>
  <c r="G13" i="2"/>
  <c r="E12" i="36"/>
  <c r="G12" i="2"/>
  <c r="H12" i="2" s="1"/>
  <c r="E10" i="36"/>
  <c r="E9" i="36"/>
  <c r="D9" i="37"/>
  <c r="G18" i="2"/>
  <c r="H18" i="2" s="1"/>
  <c r="G11" i="2"/>
  <c r="H11" i="2" s="1"/>
  <c r="G12" i="36" l="1"/>
  <c r="H13" i="2"/>
  <c r="H12" i="36"/>
  <c r="H9" i="36"/>
  <c r="G9" i="36"/>
  <c r="G10" i="36"/>
  <c r="H10" i="36"/>
  <c r="G11" i="36"/>
  <c r="H11" i="36"/>
  <c r="E9" i="37"/>
  <c r="F9" i="37" s="1"/>
</calcChain>
</file>

<file path=xl/sharedStrings.xml><?xml version="1.0" encoding="utf-8"?>
<sst xmlns="http://schemas.openxmlformats.org/spreadsheetml/2006/main" count="525" uniqueCount="329">
  <si>
    <t>Total Operating Expenses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</si>
  <si>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</si>
  <si>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</si>
  <si>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</si>
  <si>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</si>
  <si>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</si>
  <si>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</si>
  <si>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</si>
  <si>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Contractual Services</t>
  </si>
  <si>
    <t>Miscellaneous Expenses</t>
  </si>
  <si>
    <t>Transportation Expenses</t>
  </si>
  <si>
    <t>Proposed</t>
  </si>
  <si>
    <t>Percent</t>
  </si>
  <si>
    <t>Interest Income</t>
  </si>
  <si>
    <t>Total</t>
  </si>
  <si>
    <t>Gallons</t>
  </si>
  <si>
    <t>Operating Revenues</t>
  </si>
  <si>
    <t>Sales for Resale</t>
  </si>
  <si>
    <t>Other Water Revenues:</t>
  </si>
  <si>
    <t>Misc. Service Revenues</t>
  </si>
  <si>
    <t>Total Operating Revenues</t>
  </si>
  <si>
    <t>Operating Expenses</t>
  </si>
  <si>
    <t>Depreciation Expense</t>
  </si>
  <si>
    <t>REVENUE REQUIREMENTS</t>
  </si>
  <si>
    <t>Plus:</t>
  </si>
  <si>
    <t>Less:</t>
  </si>
  <si>
    <t>Other Operating Revenue</t>
  </si>
  <si>
    <t>Existing</t>
  </si>
  <si>
    <t>Change</t>
  </si>
  <si>
    <t>1"</t>
  </si>
  <si>
    <t>2"</t>
  </si>
  <si>
    <t>No. of Gallons per Month</t>
  </si>
  <si>
    <t>Table A</t>
  </si>
  <si>
    <t>SCHEDULE OF ADJUSTED OPERATIONS</t>
  </si>
  <si>
    <t>Test Year</t>
  </si>
  <si>
    <t>Adjustments</t>
  </si>
  <si>
    <t>Ref.</t>
  </si>
  <si>
    <t>Proforma</t>
  </si>
  <si>
    <t>Operation and Maintenance</t>
  </si>
  <si>
    <t>Insurance - Gen. Liab. &amp; Workers Comp.</t>
  </si>
  <si>
    <t>Total Operation and Mnt. Expenses</t>
  </si>
  <si>
    <t>Total Utility Operating Income</t>
  </si>
  <si>
    <t>Pro Forma Operating Expenses</t>
  </si>
  <si>
    <t>Adjustment</t>
  </si>
  <si>
    <t>Forfeited Discounts</t>
  </si>
  <si>
    <t>Total Metered Retail Sales</t>
  </si>
  <si>
    <t>DEPRECIATION EXPENSE ADJUSTMENTS</t>
  </si>
  <si>
    <t>Depreciation</t>
  </si>
  <si>
    <t>Date in</t>
  </si>
  <si>
    <t>Original</t>
  </si>
  <si>
    <t>Expense</t>
  </si>
  <si>
    <t>Service</t>
  </si>
  <si>
    <t>Life</t>
  </si>
  <si>
    <t>Depr. Exp.</t>
  </si>
  <si>
    <t>SUMMARY</t>
  </si>
  <si>
    <t>FIRST</t>
  </si>
  <si>
    <t>ALL OVER</t>
  </si>
  <si>
    <t>USAGE</t>
  </si>
  <si>
    <t>BILLS</t>
  </si>
  <si>
    <t>GALLONS</t>
  </si>
  <si>
    <t>TOTAL</t>
  </si>
  <si>
    <t>RATE</t>
  </si>
  <si>
    <t>REVENUE</t>
  </si>
  <si>
    <t>Increase</t>
  </si>
  <si>
    <t>CURRENT AND PROPOSED RATES</t>
  </si>
  <si>
    <t>Current</t>
  </si>
  <si>
    <t>MONTHLY WATER RATES</t>
  </si>
  <si>
    <t>Dollar</t>
  </si>
  <si>
    <t>Charge per 1,000 Gals.</t>
  </si>
  <si>
    <t>No. of Gallons per Month:</t>
  </si>
  <si>
    <t>For all Water Purchased</t>
  </si>
  <si>
    <t>Wholesale Rate for All Wholesale Customers</t>
  </si>
  <si>
    <t xml:space="preserve">  RETAIL RATES  </t>
  </si>
  <si>
    <t>Private Fire Protection</t>
  </si>
  <si>
    <t>Other Water Revenues</t>
  </si>
  <si>
    <t>Rental of Building/Real Property</t>
  </si>
  <si>
    <t>Insurance - Other</t>
  </si>
  <si>
    <t>Bad Debt</t>
  </si>
  <si>
    <t>Revenue Required From Sales of Water</t>
  </si>
  <si>
    <t>Revenue from Sales with Present Rates</t>
  </si>
  <si>
    <t>Total Revenue Requirement</t>
  </si>
  <si>
    <t>Required Revenue Increase</t>
  </si>
  <si>
    <t>Percent Increase</t>
  </si>
  <si>
    <t>various</t>
  </si>
  <si>
    <t>Meter</t>
  </si>
  <si>
    <t>Difference</t>
  </si>
  <si>
    <t>Bill</t>
  </si>
  <si>
    <t>Percentage</t>
  </si>
  <si>
    <t>Size</t>
  </si>
  <si>
    <t>5/8 x 3/4"</t>
  </si>
  <si>
    <t>TOTALS</t>
  </si>
  <si>
    <t>REVENUE FROM WHOLESALE SALES</t>
  </si>
  <si>
    <t>per Month*</t>
  </si>
  <si>
    <t>* Highlighted usage represents the average residential bill.</t>
  </si>
  <si>
    <t>Chemicals</t>
  </si>
  <si>
    <t>For all Water Sold</t>
  </si>
  <si>
    <t>Monthly Rates for Water Usage</t>
  </si>
  <si>
    <t>Salaries &amp; Wages and Associated Adjustments</t>
  </si>
  <si>
    <t>Pro Forma</t>
  </si>
  <si>
    <t xml:space="preserve">Pro Forma </t>
  </si>
  <si>
    <t>Employee</t>
  </si>
  <si>
    <t>Reg. Hrs</t>
  </si>
  <si>
    <t>O. T. Hours</t>
  </si>
  <si>
    <t>Wage Rate</t>
  </si>
  <si>
    <t>Reg. Wages</t>
  </si>
  <si>
    <t>O. T. Wages</t>
  </si>
  <si>
    <t>Wages</t>
  </si>
  <si>
    <t>Pro Forma Salaries &amp; Wages Expense</t>
  </si>
  <si>
    <t>Less: Test Year Salaries &amp; Wages Exp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</si>
  <si>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</si>
  <si>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</si>
  <si>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</si>
  <si>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</si>
  <si>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</si>
  <si>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</si>
  <si>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</si>
  <si>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Total Pro Forma Pension Contribution</t>
  </si>
  <si>
    <t>Less: Test Year Pension Contribution</t>
  </si>
  <si>
    <t>Pension &amp; Benefits Adjustment</t>
  </si>
  <si>
    <t>Average Annual Principal and Interest Payments</t>
  </si>
  <si>
    <t>Additional Working Capital</t>
  </si>
  <si>
    <t>Table B</t>
  </si>
  <si>
    <t>DEBT SERVICE SCHDULE</t>
  </si>
  <si>
    <t>CY 2022 - 2026</t>
  </si>
  <si>
    <t>CY 2022</t>
  </si>
  <si>
    <t>CY 2023</t>
  </si>
  <si>
    <t>CY 2024</t>
  </si>
  <si>
    <t>CY 2025</t>
  </si>
  <si>
    <t>CY 2026</t>
  </si>
  <si>
    <t>Interest</t>
  </si>
  <si>
    <t>Principal</t>
  </si>
  <si>
    <t>&amp; Fees</t>
  </si>
  <si>
    <t>Average Annual Principal &amp; Interest</t>
  </si>
  <si>
    <t>Average Annual Coverage</t>
  </si>
  <si>
    <t>General Plant</t>
  </si>
  <si>
    <t>Pumping Plant</t>
  </si>
  <si>
    <t>Transmission &amp; Distribution Plant</t>
  </si>
  <si>
    <t>Transportation Equipment</t>
  </si>
  <si>
    <t>Water Treatment Plant</t>
  </si>
  <si>
    <t>Asset</t>
  </si>
  <si>
    <t>Structures &amp; Improvements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</si>
  <si>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</si>
  <si>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</si>
  <si>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</si>
  <si>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</si>
  <si>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</si>
  <si>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Telemetry</t>
  </si>
  <si>
    <t>Pumping Equipment</t>
  </si>
  <si>
    <t>Hydrants</t>
  </si>
  <si>
    <t>Transmission &amp; Distribution Mains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</si>
  <si>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</si>
  <si>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</si>
  <si>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</si>
  <si>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</si>
  <si>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</si>
  <si>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</si>
  <si>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</si>
  <si>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Entire Group</t>
  </si>
  <si>
    <t xml:space="preserve">              *  Includes only costs associated with assets that contributed to depreciation expense in the test year.</t>
  </si>
  <si>
    <t>Cost *</t>
  </si>
  <si>
    <t>Reported</t>
  </si>
  <si>
    <t>varies</t>
  </si>
  <si>
    <t>WESTERN FLEMING COUNTY WATER DISTRICT</t>
  </si>
  <si>
    <t>CURRENT BILLING ANALYSIS WITH 2020 USAGE &amp; EXISTING RATES</t>
  </si>
  <si>
    <t>RETAIL</t>
  </si>
  <si>
    <t>WHOLESALE</t>
  </si>
  <si>
    <t>RETAIL USAGE BY RATE INCREMENT</t>
  </si>
  <si>
    <t>THOUSAND</t>
  </si>
  <si>
    <t>NEXT</t>
  </si>
  <si>
    <t>RETAIL REVENUE BY RATE INCREMENT</t>
  </si>
  <si>
    <t>THOUSAND GALLONS</t>
  </si>
  <si>
    <t>Wholesale</t>
  </si>
  <si>
    <t>WESTERN FLEMING WATER DISTRICT</t>
  </si>
  <si>
    <t>Water Loss Adjustment</t>
  </si>
  <si>
    <t>Sold</t>
  </si>
  <si>
    <t>Uses:</t>
  </si>
  <si>
    <t xml:space="preserve">  water loss percentage</t>
  </si>
  <si>
    <t xml:space="preserve">  allowable in rates</t>
  </si>
  <si>
    <t xml:space="preserve">  adjustment percentage</t>
  </si>
  <si>
    <t>Produced</t>
  </si>
  <si>
    <t>Purchased</t>
  </si>
  <si>
    <t>Total Produced and Purchased</t>
  </si>
  <si>
    <t>Total Other Water Used</t>
  </si>
  <si>
    <t>Losses:</t>
  </si>
  <si>
    <t xml:space="preserve">   WTP</t>
  </si>
  <si>
    <t xml:space="preserve">   Flushing</t>
  </si>
  <si>
    <t xml:space="preserve">   Fire</t>
  </si>
  <si>
    <t xml:space="preserve">   Other</t>
  </si>
  <si>
    <t xml:space="preserve">   Tank O.F.</t>
  </si>
  <si>
    <t xml:space="preserve">   Line Brks.</t>
  </si>
  <si>
    <t xml:space="preserve">   Line Leaks</t>
  </si>
  <si>
    <t xml:space="preserve">   Unknown</t>
  </si>
  <si>
    <t>Total Losses:</t>
  </si>
  <si>
    <t>Sold, Used, and Lost</t>
  </si>
  <si>
    <t>Total Gross Wages</t>
  </si>
  <si>
    <t>Gross Wages for Full Time Employees CERS Eligible</t>
  </si>
  <si>
    <t>D</t>
  </si>
  <si>
    <t>E</t>
  </si>
  <si>
    <t>COMPONENT</t>
  </si>
  <si>
    <t>TOTAL METERED WATER SALES</t>
  </si>
  <si>
    <t>LESS ADJUSTMENTS</t>
  </si>
  <si>
    <t>FROM PSC ANNUAL REPORT</t>
  </si>
  <si>
    <t>DIFFERENCE</t>
  </si>
  <si>
    <t>ADJUSTMENT TO SAO BILLED RETAIL REVENUES</t>
  </si>
  <si>
    <t>F</t>
  </si>
  <si>
    <t>H</t>
  </si>
  <si>
    <t>Labor and Materials Adjustment for New Service Installations</t>
  </si>
  <si>
    <t xml:space="preserve">Labor </t>
  </si>
  <si>
    <t xml:space="preserve">Materials </t>
  </si>
  <si>
    <t>New Meter Fees Collected</t>
  </si>
  <si>
    <t>Medical Insurance Adjustment</t>
  </si>
  <si>
    <t>MONTHLY</t>
  </si>
  <si>
    <t>Allowable</t>
  </si>
  <si>
    <t>EMPLOYEE</t>
  </si>
  <si>
    <t>Employer</t>
  </si>
  <si>
    <t>PREMIUM</t>
  </si>
  <si>
    <t>CONTRIB</t>
  </si>
  <si>
    <t>CONTRIB %</t>
  </si>
  <si>
    <t>Share</t>
  </si>
  <si>
    <t>Premium</t>
  </si>
  <si>
    <t>Structures and Improvements</t>
  </si>
  <si>
    <t>Water Treatment Equipment</t>
  </si>
  <si>
    <t>Source of Supply Plant</t>
  </si>
  <si>
    <t>Collecting &amp; Impounding Reservoirs</t>
  </si>
  <si>
    <t>Supply Mains</t>
  </si>
  <si>
    <t>Allowed Depreciation</t>
  </si>
  <si>
    <t>Less: Reported Depreciation</t>
  </si>
  <si>
    <t>Adjustment to Allowed Depreciation</t>
  </si>
  <si>
    <t>``</t>
  </si>
  <si>
    <t>Pension</t>
  </si>
  <si>
    <t>Eligible</t>
  </si>
  <si>
    <t>TABLE D</t>
  </si>
  <si>
    <t>WATER LOSS REDUCTION SURCHARGE</t>
  </si>
  <si>
    <t>Amount per Customer</t>
  </si>
  <si>
    <t>per month</t>
  </si>
  <si>
    <t>Total Adjustment</t>
  </si>
  <si>
    <t>Monthly Surcharge Amount</t>
  </si>
  <si>
    <t>CURRENT AND PROPOSED BILLS</t>
  </si>
  <si>
    <t>/ Number of Bills</t>
  </si>
  <si>
    <t>TABLE E</t>
  </si>
  <si>
    <t xml:space="preserve">   Excavation Damages</t>
  </si>
  <si>
    <t>First 2,000 Gallons</t>
  </si>
  <si>
    <t>Lake Village Water Association</t>
  </si>
  <si>
    <t>Computation of Adjustment:</t>
  </si>
  <si>
    <t>LAKE VILLAGE WATER ASSOCIATION</t>
  </si>
  <si>
    <t>Rate per Thousand Gallons per Month</t>
  </si>
  <si>
    <t>WHOLESALE WATER RATE</t>
  </si>
  <si>
    <t>LAKE VILLAGE WATER ASSOCATION</t>
  </si>
  <si>
    <t>Next 18,000 Gallons</t>
  </si>
  <si>
    <t>Over 20,000 Gallons</t>
  </si>
  <si>
    <t>2017 Loan</t>
  </si>
  <si>
    <t>Executive Director</t>
  </si>
  <si>
    <t>Office Manager</t>
  </si>
  <si>
    <t>Maintenance Supervisor</t>
  </si>
  <si>
    <t>Distribution/Collection Operator</t>
  </si>
  <si>
    <t>Billing Clerk</t>
  </si>
  <si>
    <t>Operator-in-Training</t>
  </si>
  <si>
    <t>2021 Loan</t>
  </si>
  <si>
    <t>2015 Loan</t>
  </si>
  <si>
    <t>24 new taps at $450 each</t>
  </si>
  <si>
    <t>No. in</t>
  </si>
  <si>
    <t>Ea. Teir</t>
  </si>
  <si>
    <t>`</t>
  </si>
  <si>
    <t>CURRENT BILLING ANALYSIS WITH 2020 USAGE &amp; PROPOSED RATES</t>
  </si>
  <si>
    <t>Lake Village Water Association, Inc.</t>
  </si>
  <si>
    <t>Lake Village Water Assocation, Inc.</t>
  </si>
  <si>
    <t>Less Adjustments</t>
  </si>
  <si>
    <t>Net Metered Water Sales</t>
  </si>
  <si>
    <t>Revenue Requirement</t>
  </si>
  <si>
    <t>UTILITY</t>
  </si>
  <si>
    <t xml:space="preserve">TOTAL </t>
  </si>
  <si>
    <t>Annual</t>
  </si>
  <si>
    <t>Utility Share</t>
  </si>
  <si>
    <t>Unallowable</t>
  </si>
  <si>
    <t>NET METERED WATER SALES</t>
  </si>
  <si>
    <t>*Note: Revenues not adjusted because tapping fees collected</t>
  </si>
  <si>
    <t>are closed out to Statement of Member Equity</t>
  </si>
  <si>
    <t>MEDICAL</t>
  </si>
  <si>
    <t>DENTAL</t>
  </si>
  <si>
    <t>AFLAC</t>
  </si>
  <si>
    <t>TOTAL UNALLOWABLE EMPLOYER PREMIUM</t>
  </si>
  <si>
    <t>CERS</t>
  </si>
  <si>
    <t>No</t>
  </si>
  <si>
    <t>Two Person MS</t>
  </si>
  <si>
    <t>Single CH</t>
  </si>
  <si>
    <t>Single RM</t>
  </si>
  <si>
    <t>ANTHEM</t>
  </si>
  <si>
    <t>TOTAL CURRENT UTILITY SHARE OF MEDICAL AND DENTAL INSURANCE PROFORMA ANNUAL PREMIUM</t>
  </si>
  <si>
    <t>LESS: MEDICAL AND DENTAL INSURANCE PREMIUM PAID IN TEST YEAR</t>
  </si>
  <si>
    <t>INCREASE IN UTILITY SHARE OF MEDICAL AND DENTAL INSURANCE PREMIUM OVER TEST YEAR</t>
  </si>
  <si>
    <t>Single LP</t>
  </si>
  <si>
    <t>Family MS</t>
  </si>
  <si>
    <t>Two Person CH</t>
  </si>
  <si>
    <t>Two Person LP</t>
  </si>
  <si>
    <t>A</t>
  </si>
  <si>
    <t>B</t>
  </si>
  <si>
    <t>C</t>
  </si>
  <si>
    <t>I</t>
  </si>
  <si>
    <t>G</t>
  </si>
  <si>
    <t>Increase metered retail sales to billing analysis total.</t>
  </si>
  <si>
    <t>Increase in salaries and wages.</t>
  </si>
  <si>
    <t>Decrease labor attributable to tapping fees.</t>
  </si>
  <si>
    <t>Decrease materials attributable to tapping fees.</t>
  </si>
  <si>
    <t>Increase in management fee charged to Mercer County Sanitation District.</t>
  </si>
  <si>
    <t>Increase in employer portion of pension contribution.</t>
  </si>
  <si>
    <t>Exclude unallowable portion of employer medical and dental premium.</t>
  </si>
  <si>
    <t>Decrease in cost of medical and dental insurance.</t>
  </si>
  <si>
    <t>Decrease depreciation to allowed useful lives.</t>
  </si>
  <si>
    <t>Increase in employer portion of FICA taxes.</t>
  </si>
  <si>
    <t>J</t>
  </si>
  <si>
    <t>Exclude purchased water above 15% water loss.</t>
  </si>
  <si>
    <t>K</t>
  </si>
  <si>
    <t>L</t>
  </si>
  <si>
    <t>Average of next five years annual debt service payments.</t>
  </si>
  <si>
    <t>Twenty percent of average of next five years debt service payments.</t>
  </si>
  <si>
    <t>WITH WATER LOSS REDUCTION SURCHARGE</t>
  </si>
  <si>
    <t>Location</t>
  </si>
  <si>
    <t>Tab ExBA Cell F12</t>
  </si>
  <si>
    <t>See file 3_Mercer_County_Fee_Increase_Documentation</t>
  </si>
  <si>
    <t>Tab Wages Cell H20</t>
  </si>
  <si>
    <t>Tab Wages Cell H26</t>
  </si>
  <si>
    <t>Tab Wages Cell H30</t>
  </si>
  <si>
    <t>Tab Capital Cell D5</t>
  </si>
  <si>
    <t>Tab Capital Cell D6</t>
  </si>
  <si>
    <t>Tab Medical Cell M24</t>
  </si>
  <si>
    <t>Tab Medical Cell J21</t>
  </si>
  <si>
    <t>Tab Depreciation Cell F52</t>
  </si>
  <si>
    <t>Tab Debt Service Cell M19</t>
  </si>
  <si>
    <t>Tab Debt Service Cell M21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</si>
</sst>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0.0%"/>
    <numFmt numFmtId="168" formatCode="_(* #,##0.0_);_(* \(#,##0.0\);_(* &quot;-&quot;??_);_(@_)"/>
    <numFmt numFmtId="169" formatCode="mm/dd/yy;@"/>
    <numFmt numFmtId="170" formatCode="_([$$-409]* #,##0_);_([$$-409]* \(#,##0\);_([$$-409]* &quot;-&quot;??_);_(@_)"/>
    <numFmt numFmtId="171" formatCode="[$$-409]#,##0"/>
  </numFmts>
  <fonts count="34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u val="singleAccounting"/>
      <sz val="14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i/>
      <u/>
      <sz val="14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379">
    <xf numFmtId="0" fontId="0" fillId="0" borderId="0" xfId="0"/>
    <xf numFmtId="0" fontId="6" fillId="0" borderId="0" xfId="0" applyFont="1"/>
    <xf numFmtId="165" fontId="6" fillId="0" borderId="0" xfId="0" applyNumberFormat="1" applyFont="1"/>
    <xf numFmtId="3" fontId="6" fillId="0" borderId="0" xfId="0" applyNumberFormat="1" applyFont="1"/>
    <xf numFmtId="0" fontId="0" fillId="0" borderId="6" xfId="0" applyBorder="1"/>
    <xf numFmtId="165" fontId="6" fillId="0" borderId="1" xfId="1" applyNumberFormat="1" applyFont="1" applyBorder="1"/>
    <xf numFmtId="165" fontId="6" fillId="0" borderId="0" xfId="1" applyNumberFormat="1" applyFont="1" applyBorder="1"/>
    <xf numFmtId="165" fontId="6" fillId="0" borderId="0" xfId="1" applyNumberFormat="1" applyFont="1"/>
    <xf numFmtId="165" fontId="6" fillId="0" borderId="3" xfId="1" applyNumberFormat="1" applyFont="1" applyBorder="1"/>
    <xf numFmtId="165" fontId="6" fillId="0" borderId="2" xfId="1" applyNumberFormat="1" applyFont="1" applyBorder="1"/>
    <xf numFmtId="165" fontId="6" fillId="0" borderId="4" xfId="1" applyNumberFormat="1" applyFont="1" applyBorder="1"/>
    <xf numFmtId="165" fontId="6" fillId="0" borderId="7" xfId="1" applyNumberFormat="1" applyFont="1" applyBorder="1"/>
    <xf numFmtId="165" fontId="6" fillId="0" borderId="8" xfId="1" applyNumberFormat="1" applyFont="1" applyBorder="1"/>
    <xf numFmtId="165" fontId="6" fillId="0" borderId="5" xfId="1" applyNumberFormat="1" applyFont="1" applyBorder="1"/>
    <xf numFmtId="165" fontId="6" fillId="0" borderId="6" xfId="1" applyNumberFormat="1" applyFont="1" applyBorder="1"/>
    <xf numFmtId="43" fontId="6" fillId="0" borderId="0" xfId="1" applyFont="1"/>
    <xf numFmtId="165" fontId="12" fillId="0" borderId="0" xfId="1" applyNumberFormat="1" applyFont="1" applyBorder="1" applyAlignment="1">
      <alignment horizontal="center"/>
    </xf>
    <xf numFmtId="43" fontId="6" fillId="0" borderId="0" xfId="1" applyFont="1" applyBorder="1"/>
    <xf numFmtId="165" fontId="6" fillId="0" borderId="0" xfId="5" applyNumberFormat="1" applyFont="1"/>
    <xf numFmtId="3" fontId="6" fillId="0" borderId="0" xfId="0" applyNumberFormat="1" applyFont="1" applyAlignment="1">
      <alignment horizontal="right"/>
    </xf>
    <xf numFmtId="165" fontId="6" fillId="0" borderId="7" xfId="5" applyNumberFormat="1" applyFont="1" applyBorder="1"/>
    <xf numFmtId="0" fontId="18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5" applyNumberFormat="1" applyFont="1" applyBorder="1"/>
    <xf numFmtId="0" fontId="1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12" fillId="0" borderId="0" xfId="1" applyNumberFormat="1" applyFont="1"/>
    <xf numFmtId="168" fontId="11" fillId="0" borderId="0" xfId="5" applyNumberFormat="1" applyFont="1" applyBorder="1" applyAlignment="1">
      <alignment horizontal="center"/>
    </xf>
    <xf numFmtId="43" fontId="6" fillId="0" borderId="0" xfId="1" applyFont="1" applyBorder="1" applyAlignment="1"/>
    <xf numFmtId="43" fontId="6" fillId="0" borderId="0" xfId="1" applyFont="1" applyBorder="1" applyAlignment="1">
      <alignment horizontal="right"/>
    </xf>
    <xf numFmtId="43" fontId="6" fillId="0" borderId="7" xfId="1" applyFont="1" applyBorder="1"/>
    <xf numFmtId="43" fontId="12" fillId="0" borderId="0" xfId="1" applyFont="1" applyBorder="1" applyAlignment="1">
      <alignment horizontal="center"/>
    </xf>
    <xf numFmtId="0" fontId="18" fillId="0" borderId="1" xfId="0" applyFont="1" applyBorder="1"/>
    <xf numFmtId="0" fontId="18" fillId="0" borderId="0" xfId="0" applyFont="1" applyBorder="1"/>
    <xf numFmtId="0" fontId="19" fillId="0" borderId="0" xfId="0" applyFont="1" applyAlignment="1">
      <alignment horizontal="center"/>
    </xf>
    <xf numFmtId="166" fontId="18" fillId="0" borderId="0" xfId="6" applyNumberFormat="1" applyFont="1"/>
    <xf numFmtId="167" fontId="18" fillId="0" borderId="0" xfId="7" applyNumberFormat="1" applyFont="1"/>
    <xf numFmtId="3" fontId="19" fillId="0" borderId="0" xfId="0" applyNumberFormat="1" applyFont="1"/>
    <xf numFmtId="43" fontId="6" fillId="0" borderId="0" xfId="1" applyFont="1" applyBorder="1" applyAlignment="1">
      <alignment horizontal="right" vertical="center"/>
    </xf>
    <xf numFmtId="44" fontId="6" fillId="0" borderId="0" xfId="2" applyFont="1" applyBorder="1" applyAlignment="1"/>
    <xf numFmtId="44" fontId="6" fillId="0" borderId="0" xfId="2" applyFont="1" applyBorder="1" applyAlignment="1">
      <alignment vertical="center"/>
    </xf>
    <xf numFmtId="166" fontId="18" fillId="0" borderId="0" xfId="5" applyNumberFormat="1" applyFont="1"/>
    <xf numFmtId="165" fontId="6" fillId="0" borderId="1" xfId="0" applyNumberFormat="1" applyFont="1" applyBorder="1"/>
    <xf numFmtId="164" fontId="6" fillId="0" borderId="0" xfId="6" applyNumberFormat="1" applyFont="1"/>
    <xf numFmtId="165" fontId="9" fillId="0" borderId="0" xfId="1" applyNumberFormat="1" applyFont="1"/>
    <xf numFmtId="165" fontId="12" fillId="0" borderId="8" xfId="1" applyNumberFormat="1" applyFont="1" applyBorder="1" applyAlignment="1">
      <alignment horizontal="center"/>
    </xf>
    <xf numFmtId="43" fontId="9" fillId="0" borderId="0" xfId="1" applyFont="1" applyBorder="1" applyAlignment="1">
      <alignment horizontal="left"/>
    </xf>
    <xf numFmtId="3" fontId="7" fillId="0" borderId="0" xfId="0" applyNumberFormat="1" applyFont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165" fontId="12" fillId="0" borderId="7" xfId="1" applyNumberFormat="1" applyFont="1" applyBorder="1" applyAlignment="1">
      <alignment horizontal="center"/>
    </xf>
    <xf numFmtId="43" fontId="6" fillId="0" borderId="8" xfId="1" quotePrefix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1" xfId="1" applyFont="1" applyBorder="1"/>
    <xf numFmtId="43" fontId="6" fillId="0" borderId="5" xfId="1" applyFont="1" applyBorder="1"/>
    <xf numFmtId="167" fontId="6" fillId="0" borderId="8" xfId="3" applyNumberFormat="1" applyFont="1" applyBorder="1"/>
    <xf numFmtId="165" fontId="6" fillId="2" borderId="0" xfId="1" applyNumberFormat="1" applyFont="1" applyFill="1" applyBorder="1"/>
    <xf numFmtId="43" fontId="6" fillId="2" borderId="8" xfId="1" quotePrefix="1" applyFont="1" applyFill="1" applyBorder="1" applyAlignment="1">
      <alignment horizontal="center"/>
    </xf>
    <xf numFmtId="43" fontId="6" fillId="2" borderId="0" xfId="1" applyFont="1" applyFill="1" applyBorder="1"/>
    <xf numFmtId="167" fontId="6" fillId="2" borderId="8" xfId="3" applyNumberFormat="1" applyFont="1" applyFill="1" applyBorder="1"/>
    <xf numFmtId="165" fontId="17" fillId="0" borderId="0" xfId="1" applyNumberFormat="1" applyFont="1"/>
    <xf numFmtId="10" fontId="6" fillId="0" borderId="0" xfId="0" applyNumberFormat="1" applyFont="1"/>
    <xf numFmtId="44" fontId="6" fillId="0" borderId="0" xfId="2" applyFont="1" applyBorder="1"/>
    <xf numFmtId="165" fontId="6" fillId="0" borderId="0" xfId="5" quotePrefix="1" applyNumberFormat="1" applyFont="1"/>
    <xf numFmtId="43" fontId="11" fillId="0" borderId="0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7" fontId="6" fillId="0" borderId="0" xfId="3" applyNumberFormat="1" applyFont="1" applyBorder="1" applyAlignment="1"/>
    <xf numFmtId="166" fontId="6" fillId="0" borderId="0" xfId="1" applyNumberFormat="1" applyFont="1" applyBorder="1" applyAlignment="1"/>
    <xf numFmtId="2" fontId="6" fillId="0" borderId="0" xfId="1" applyNumberFormat="1" applyFont="1" applyBorder="1"/>
    <xf numFmtId="2" fontId="6" fillId="0" borderId="0" xfId="1" applyNumberFormat="1" applyFont="1" applyBorder="1" applyAlignment="1"/>
    <xf numFmtId="166" fontId="18" fillId="0" borderId="0" xfId="0" applyNumberFormat="1" applyFont="1"/>
    <xf numFmtId="0" fontId="6" fillId="0" borderId="7" xfId="0" applyFont="1" applyBorder="1"/>
    <xf numFmtId="165" fontId="23" fillId="0" borderId="0" xfId="1" applyNumberFormat="1" applyFont="1"/>
    <xf numFmtId="165" fontId="6" fillId="0" borderId="0" xfId="1" applyNumberFormat="1" applyFont="1" applyAlignment="1">
      <alignment horizontal="centerContinuous" vertical="center"/>
    </xf>
    <xf numFmtId="165" fontId="6" fillId="0" borderId="0" xfId="1" applyNumberFormat="1" applyFont="1" applyAlignment="1">
      <alignment vertical="center"/>
    </xf>
    <xf numFmtId="165" fontId="15" fillId="0" borderId="0" xfId="1" applyNumberFormat="1" applyFont="1" applyAlignment="1">
      <alignment horizontal="centerContinuous" vertical="center"/>
    </xf>
    <xf numFmtId="165" fontId="11" fillId="0" borderId="0" xfId="1" applyNumberFormat="1" applyFont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165" fontId="16" fillId="0" borderId="0" xfId="1" applyNumberFormat="1" applyFont="1" applyAlignment="1">
      <alignment vertical="center"/>
    </xf>
    <xf numFmtId="165" fontId="21" fillId="0" borderId="0" xfId="1" applyNumberFormat="1" applyFont="1" applyAlignment="1">
      <alignment vertical="center"/>
    </xf>
    <xf numFmtId="165" fontId="24" fillId="0" borderId="0" xfId="1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center"/>
    </xf>
    <xf numFmtId="165" fontId="16" fillId="0" borderId="0" xfId="1" applyNumberFormat="1" applyFont="1" applyAlignment="1">
      <alignment horizontal="left"/>
    </xf>
    <xf numFmtId="165" fontId="16" fillId="0" borderId="0" xfId="1" applyNumberFormat="1" applyFont="1" applyAlignment="1">
      <alignment horizontal="center"/>
    </xf>
    <xf numFmtId="165" fontId="13" fillId="0" borderId="0" xfId="1" quotePrefix="1" applyNumberFormat="1" applyFont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165" fontId="6" fillId="0" borderId="0" xfId="1" applyNumberFormat="1" applyFont="1" applyAlignment="1"/>
    <xf numFmtId="165" fontId="13" fillId="0" borderId="0" xfId="1" applyNumberFormat="1" applyFont="1" applyAlignment="1">
      <alignment vertical="center"/>
    </xf>
    <xf numFmtId="10" fontId="6" fillId="0" borderId="0" xfId="3" applyNumberFormat="1" applyFont="1" applyAlignment="1">
      <alignment vertical="center"/>
    </xf>
    <xf numFmtId="165" fontId="6" fillId="0" borderId="6" xfId="5" applyNumberFormat="1" applyFont="1" applyBorder="1"/>
    <xf numFmtId="165" fontId="6" fillId="0" borderId="0" xfId="5" applyNumberFormat="1" applyFont="1" applyBorder="1" applyAlignment="1">
      <alignment horizontal="center"/>
    </xf>
    <xf numFmtId="10" fontId="6" fillId="0" borderId="0" xfId="3" applyNumberFormat="1" applyFont="1" applyBorder="1" applyAlignment="1">
      <alignment vertical="center"/>
    </xf>
    <xf numFmtId="10" fontId="6" fillId="0" borderId="0" xfId="3" applyNumberFormat="1" applyFont="1" applyBorder="1"/>
    <xf numFmtId="10" fontId="6" fillId="2" borderId="0" xfId="3" applyNumberFormat="1" applyFont="1" applyFill="1" applyBorder="1"/>
    <xf numFmtId="165" fontId="6" fillId="0" borderId="8" xfId="5" applyNumberFormat="1" applyFont="1" applyBorder="1"/>
    <xf numFmtId="0" fontId="6" fillId="0" borderId="0" xfId="0" applyFont="1" applyBorder="1"/>
    <xf numFmtId="165" fontId="10" fillId="0" borderId="7" xfId="5" applyNumberFormat="1" applyFont="1" applyBorder="1" applyAlignment="1">
      <alignment horizontal="center"/>
    </xf>
    <xf numFmtId="165" fontId="6" fillId="0" borderId="0" xfId="1" applyNumberFormat="1" applyFont="1" applyBorder="1" applyAlignment="1">
      <alignment vertical="center"/>
    </xf>
    <xf numFmtId="165" fontId="12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165" fontId="12" fillId="0" borderId="0" xfId="1" applyNumberFormat="1" applyFont="1" applyAlignment="1">
      <alignment vertical="center"/>
    </xf>
    <xf numFmtId="165" fontId="6" fillId="0" borderId="3" xfId="5" applyNumberFormat="1" applyFont="1" applyBorder="1"/>
    <xf numFmtId="165" fontId="6" fillId="0" borderId="2" xfId="5" applyNumberFormat="1" applyFont="1" applyBorder="1"/>
    <xf numFmtId="165" fontId="6" fillId="0" borderId="4" xfId="5" applyNumberFormat="1" applyFont="1" applyBorder="1"/>
    <xf numFmtId="165" fontId="7" fillId="0" borderId="7" xfId="5" applyNumberFormat="1" applyFont="1" applyBorder="1" applyAlignment="1">
      <alignment horizontal="centerContinuous"/>
    </xf>
    <xf numFmtId="165" fontId="10" fillId="0" borderId="0" xfId="5" applyNumberFormat="1" applyFont="1" applyAlignment="1">
      <alignment horizontal="centerContinuous"/>
    </xf>
    <xf numFmtId="165" fontId="8" fillId="0" borderId="7" xfId="5" applyNumberFormat="1" applyFont="1" applyBorder="1" applyAlignment="1">
      <alignment horizontal="centerContinuous"/>
    </xf>
    <xf numFmtId="165" fontId="11" fillId="0" borderId="0" xfId="5" applyNumberFormat="1" applyFont="1" applyAlignment="1">
      <alignment horizontal="centerContinuous"/>
    </xf>
    <xf numFmtId="3" fontId="15" fillId="0" borderId="7" xfId="0" applyNumberFormat="1" applyFont="1" applyBorder="1" applyAlignment="1">
      <alignment horizontal="centerContinuous" vertical="center"/>
    </xf>
    <xf numFmtId="165" fontId="29" fillId="0" borderId="7" xfId="5" applyNumberFormat="1" applyFont="1" applyBorder="1" applyAlignment="1">
      <alignment horizontal="centerContinuous"/>
    </xf>
    <xf numFmtId="165" fontId="6" fillId="0" borderId="0" xfId="5" applyNumberFormat="1" applyFont="1" applyAlignment="1">
      <alignment horizontal="centerContinuous"/>
    </xf>
    <xf numFmtId="165" fontId="6" fillId="0" borderId="7" xfId="5" applyNumberFormat="1" applyFont="1" applyBorder="1" applyAlignment="1">
      <alignment horizontal="centerContinuous"/>
    </xf>
    <xf numFmtId="165" fontId="6" fillId="0" borderId="9" xfId="5" applyNumberFormat="1" applyFont="1" applyBorder="1" applyAlignment="1">
      <alignment horizontal="left"/>
    </xf>
    <xf numFmtId="165" fontId="6" fillId="0" borderId="3" xfId="5" applyNumberFormat="1" applyFont="1" applyBorder="1" applyAlignment="1">
      <alignment horizontal="left"/>
    </xf>
    <xf numFmtId="165" fontId="6" fillId="0" borderId="2" xfId="5" applyNumberFormat="1" applyFont="1" applyBorder="1" applyAlignment="1">
      <alignment horizontal="left"/>
    </xf>
    <xf numFmtId="165" fontId="6" fillId="0" borderId="4" xfId="5" applyNumberFormat="1" applyFont="1" applyBorder="1" applyAlignment="1">
      <alignment horizontal="left"/>
    </xf>
    <xf numFmtId="165" fontId="6" fillId="0" borderId="10" xfId="5" applyNumberFormat="1" applyFont="1" applyBorder="1"/>
    <xf numFmtId="165" fontId="13" fillId="0" borderId="0" xfId="5" applyNumberFormat="1" applyFont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165" fontId="10" fillId="0" borderId="0" xfId="5" applyNumberFormat="1" applyFont="1" applyAlignment="1">
      <alignment horizontal="center" vertical="center"/>
    </xf>
    <xf numFmtId="165" fontId="13" fillId="0" borderId="8" xfId="5" applyNumberFormat="1" applyFont="1" applyBorder="1" applyAlignment="1">
      <alignment horizontal="center" vertical="center"/>
    </xf>
    <xf numFmtId="165" fontId="13" fillId="0" borderId="0" xfId="5" applyNumberFormat="1" applyFont="1" applyBorder="1" applyAlignment="1">
      <alignment horizontal="center" vertical="center"/>
    </xf>
    <xf numFmtId="165" fontId="6" fillId="0" borderId="10" xfId="5" applyNumberFormat="1" applyFont="1" applyBorder="1" applyAlignment="1">
      <alignment horizontal="left"/>
    </xf>
    <xf numFmtId="165" fontId="6" fillId="0" borderId="7" xfId="5" applyNumberFormat="1" applyFont="1" applyBorder="1" applyAlignment="1">
      <alignment horizontal="center"/>
    </xf>
    <xf numFmtId="165" fontId="6" fillId="0" borderId="0" xfId="5" applyNumberFormat="1" applyFont="1" applyAlignment="1">
      <alignment horizontal="center"/>
    </xf>
    <xf numFmtId="165" fontId="6" fillId="0" borderId="8" xfId="5" applyNumberFormat="1" applyFont="1" applyBorder="1" applyAlignment="1">
      <alignment horizontal="center"/>
    </xf>
    <xf numFmtId="165" fontId="6" fillId="0" borderId="0" xfId="5" quotePrefix="1" applyNumberFormat="1" applyFont="1" applyBorder="1" applyAlignment="1">
      <alignment horizontal="center"/>
    </xf>
    <xf numFmtId="165" fontId="6" fillId="0" borderId="10" xfId="5" quotePrefix="1" applyNumberFormat="1" applyFont="1" applyBorder="1" applyAlignment="1">
      <alignment horizontal="center"/>
    </xf>
    <xf numFmtId="165" fontId="6" fillId="0" borderId="7" xfId="5" quotePrefix="1" applyNumberFormat="1" applyFont="1" applyBorder="1" applyAlignment="1">
      <alignment horizontal="left"/>
    </xf>
    <xf numFmtId="165" fontId="6" fillId="0" borderId="0" xfId="5" quotePrefix="1" applyNumberFormat="1" applyFont="1" applyAlignment="1">
      <alignment horizontal="left"/>
    </xf>
    <xf numFmtId="165" fontId="6" fillId="0" borderId="8" xfId="5" quotePrefix="1" applyNumberFormat="1" applyFont="1" applyBorder="1" applyAlignment="1">
      <alignment horizontal="left"/>
    </xf>
    <xf numFmtId="165" fontId="10" fillId="0" borderId="7" xfId="5" quotePrefix="1" applyNumberFormat="1" applyFont="1" applyBorder="1" applyAlignment="1">
      <alignment horizontal="left"/>
    </xf>
    <xf numFmtId="165" fontId="10" fillId="0" borderId="11" xfId="5" applyNumberFormat="1" applyFont="1" applyBorder="1" applyAlignment="1">
      <alignment horizontal="right"/>
    </xf>
    <xf numFmtId="165" fontId="10" fillId="0" borderId="5" xfId="5" applyNumberFormat="1" applyFont="1" applyBorder="1" applyAlignment="1">
      <alignment horizontal="right"/>
    </xf>
    <xf numFmtId="165" fontId="10" fillId="0" borderId="1" xfId="5" applyNumberFormat="1" applyFont="1" applyBorder="1" applyAlignment="1">
      <alignment horizontal="right"/>
    </xf>
    <xf numFmtId="165" fontId="10" fillId="0" borderId="6" xfId="5" applyNumberFormat="1" applyFont="1" applyBorder="1" applyAlignment="1">
      <alignment horizontal="right"/>
    </xf>
    <xf numFmtId="165" fontId="10" fillId="0" borderId="8" xfId="5" applyNumberFormat="1" applyFont="1" applyBorder="1" applyAlignment="1">
      <alignment horizontal="right"/>
    </xf>
    <xf numFmtId="165" fontId="10" fillId="0" borderId="7" xfId="5" applyNumberFormat="1" applyFont="1" applyBorder="1" applyAlignment="1">
      <alignment horizontal="right"/>
    </xf>
    <xf numFmtId="165" fontId="10" fillId="0" borderId="0" xfId="5" applyNumberFormat="1" applyFont="1" applyAlignment="1">
      <alignment horizontal="right"/>
    </xf>
    <xf numFmtId="165" fontId="10" fillId="0" borderId="2" xfId="5" applyNumberFormat="1" applyFont="1" applyBorder="1" applyAlignment="1">
      <alignment horizontal="right"/>
    </xf>
    <xf numFmtId="165" fontId="10" fillId="0" borderId="7" xfId="5" applyNumberFormat="1" applyFont="1" applyBorder="1"/>
    <xf numFmtId="164" fontId="10" fillId="0" borderId="0" xfId="6" applyNumberFormat="1" applyFont="1"/>
    <xf numFmtId="165" fontId="10" fillId="0" borderId="0" xfId="5" applyNumberFormat="1" applyFont="1"/>
    <xf numFmtId="165" fontId="10" fillId="0" borderId="0" xfId="5" applyNumberFormat="1" applyFont="1" applyBorder="1"/>
    <xf numFmtId="164" fontId="10" fillId="0" borderId="0" xfId="6" applyNumberFormat="1" applyFont="1" applyBorder="1"/>
    <xf numFmtId="165" fontId="6" fillId="0" borderId="5" xfId="5" applyNumberFormat="1" applyFont="1" applyBorder="1" applyAlignment="1">
      <alignment horizontal="center"/>
    </xf>
    <xf numFmtId="165" fontId="6" fillId="0" borderId="1" xfId="5" applyNumberFormat="1" applyFont="1" applyBorder="1" applyAlignment="1">
      <alignment horizontal="center"/>
    </xf>
    <xf numFmtId="0" fontId="6" fillId="0" borderId="3" xfId="0" applyFont="1" applyBorder="1"/>
    <xf numFmtId="0" fontId="6" fillId="0" borderId="5" xfId="0" applyFont="1" applyBorder="1"/>
    <xf numFmtId="3" fontId="6" fillId="0" borderId="2" xfId="0" applyNumberFormat="1" applyFont="1" applyBorder="1"/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3" fontId="10" fillId="0" borderId="0" xfId="0" applyNumberFormat="1" applyFont="1"/>
    <xf numFmtId="3" fontId="6" fillId="0" borderId="1" xfId="0" applyNumberFormat="1" applyFont="1" applyBorder="1"/>
    <xf numFmtId="44" fontId="13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68" fontId="6" fillId="0" borderId="0" xfId="5" applyNumberFormat="1" applyFont="1" applyAlignment="1"/>
    <xf numFmtId="168" fontId="6" fillId="0" borderId="2" xfId="5" applyNumberFormat="1" applyFont="1" applyBorder="1"/>
    <xf numFmtId="168" fontId="6" fillId="0" borderId="0" xfId="5" applyNumberFormat="1" applyFont="1" applyBorder="1" applyAlignment="1"/>
    <xf numFmtId="168" fontId="6" fillId="0" borderId="0" xfId="5" applyNumberFormat="1" applyFont="1" applyBorder="1" applyAlignment="1">
      <alignment horizontal="center"/>
    </xf>
    <xf numFmtId="168" fontId="17" fillId="0" borderId="0" xfId="5" applyNumberFormat="1" applyFont="1" applyBorder="1" applyAlignment="1"/>
    <xf numFmtId="171" fontId="6" fillId="0" borderId="0" xfId="0" applyNumberFormat="1" applyFont="1"/>
    <xf numFmtId="170" fontId="10" fillId="0" borderId="0" xfId="0" applyNumberFormat="1" applyFont="1"/>
    <xf numFmtId="168" fontId="6" fillId="0" borderId="0" xfId="5" quotePrefix="1" applyNumberFormat="1" applyFont="1" applyBorder="1" applyAlignment="1">
      <alignment horizontal="center"/>
    </xf>
    <xf numFmtId="3" fontId="6" fillId="0" borderId="4" xfId="0" applyNumberFormat="1" applyFont="1" applyBorder="1"/>
    <xf numFmtId="3" fontId="6" fillId="0" borderId="8" xfId="0" applyNumberFormat="1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4" fontId="6" fillId="0" borderId="7" xfId="0" applyNumberFormat="1" applyFont="1" applyBorder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5" fontId="0" fillId="0" borderId="0" xfId="1" applyNumberFormat="1" applyFont="1" applyBorder="1" applyAlignment="1">
      <alignment vertical="top"/>
    </xf>
    <xf numFmtId="165" fontId="10" fillId="0" borderId="0" xfId="5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1" fillId="0" borderId="0" xfId="0" applyFont="1"/>
    <xf numFmtId="165" fontId="31" fillId="0" borderId="0" xfId="1" applyNumberFormat="1" applyFont="1"/>
    <xf numFmtId="43" fontId="6" fillId="0" borderId="0" xfId="1" applyFont="1" applyAlignment="1">
      <alignment horizontal="right"/>
    </xf>
    <xf numFmtId="10" fontId="6" fillId="0" borderId="1" xfId="3" applyNumberFormat="1" applyFont="1" applyBorder="1"/>
    <xf numFmtId="2" fontId="6" fillId="0" borderId="0" xfId="0" applyNumberFormat="1" applyFont="1"/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left"/>
    </xf>
    <xf numFmtId="37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/>
    <xf numFmtId="165" fontId="6" fillId="0" borderId="0" xfId="0" applyNumberFormat="1" applyFont="1" applyBorder="1"/>
    <xf numFmtId="165" fontId="6" fillId="0" borderId="0" xfId="1" applyNumberFormat="1" applyFont="1" applyBorder="1" applyAlignment="1"/>
    <xf numFmtId="164" fontId="6" fillId="0" borderId="0" xfId="6" applyNumberFormat="1" applyFont="1" applyBorder="1"/>
    <xf numFmtId="164" fontId="6" fillId="0" borderId="0" xfId="0" applyNumberFormat="1" applyFont="1" applyBorder="1"/>
    <xf numFmtId="164" fontId="0" fillId="0" borderId="0" xfId="0" applyNumberFormat="1" applyBorder="1" applyAlignment="1">
      <alignment vertical="top"/>
    </xf>
    <xf numFmtId="10" fontId="0" fillId="0" borderId="0" xfId="3" applyNumberFormat="1" applyFont="1" applyBorder="1" applyAlignment="1">
      <alignment vertical="top"/>
    </xf>
    <xf numFmtId="0" fontId="6" fillId="0" borderId="0" xfId="0" applyNumberFormat="1" applyFont="1" applyBorder="1" applyAlignment="1">
      <alignment horizontal="left"/>
    </xf>
    <xf numFmtId="164" fontId="6" fillId="0" borderId="0" xfId="2" applyNumberFormat="1" applyFont="1" applyBorder="1" applyAlignment="1"/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37" fontId="6" fillId="0" borderId="0" xfId="0" quotePrefix="1" applyNumberFormat="1" applyFont="1" applyBorder="1"/>
    <xf numFmtId="37" fontId="6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37" fontId="6" fillId="0" borderId="0" xfId="0" applyNumberFormat="1" applyFont="1" applyBorder="1" applyAlignment="1">
      <alignment horizontal="right"/>
    </xf>
    <xf numFmtId="165" fontId="6" fillId="0" borderId="0" xfId="5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44" fontId="6" fillId="0" borderId="0" xfId="5" applyNumberFormat="1" applyFont="1" applyBorder="1"/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165" fontId="12" fillId="0" borderId="0" xfId="1" applyNumberFormat="1" applyFont="1" applyBorder="1" applyAlignment="1"/>
    <xf numFmtId="164" fontId="12" fillId="0" borderId="0" xfId="1" applyNumberFormat="1" applyFont="1" applyBorder="1" applyAlignment="1"/>
    <xf numFmtId="164" fontId="12" fillId="0" borderId="0" xfId="2" applyNumberFormat="1" applyFont="1" applyBorder="1" applyAlignment="1"/>
    <xf numFmtId="165" fontId="6" fillId="0" borderId="0" xfId="1" applyNumberFormat="1" applyFont="1" applyFill="1" applyAlignment="1">
      <alignment vertical="center"/>
    </xf>
    <xf numFmtId="6" fontId="6" fillId="0" borderId="0" xfId="0" applyNumberFormat="1" applyFont="1"/>
    <xf numFmtId="9" fontId="6" fillId="0" borderId="0" xfId="0" applyNumberFormat="1" applyFont="1"/>
    <xf numFmtId="0" fontId="6" fillId="0" borderId="0" xfId="0" applyFont="1" applyFill="1" applyBorder="1"/>
    <xf numFmtId="165" fontId="6" fillId="0" borderId="0" xfId="0" applyNumberFormat="1" applyFont="1" applyFill="1" applyBorder="1"/>
    <xf numFmtId="0" fontId="6" fillId="0" borderId="0" xfId="0" quotePrefix="1" applyFont="1" applyFill="1" applyBorder="1"/>
    <xf numFmtId="44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 horizontal="right"/>
    </xf>
    <xf numFmtId="167" fontId="6" fillId="0" borderId="0" xfId="3" applyNumberFormat="1" applyFont="1" applyFill="1" applyBorder="1" applyAlignment="1">
      <alignment horizontal="right"/>
    </xf>
    <xf numFmtId="9" fontId="6" fillId="0" borderId="0" xfId="3" applyNumberFormat="1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0" fontId="10" fillId="0" borderId="0" xfId="0" applyNumberFormat="1" applyFont="1" applyAlignment="1">
      <alignment horizontal="right"/>
    </xf>
    <xf numFmtId="168" fontId="6" fillId="0" borderId="1" xfId="5" applyNumberFormat="1" applyFont="1" applyBorder="1" applyAlignment="1">
      <alignment horizontal="right"/>
    </xf>
    <xf numFmtId="168" fontId="6" fillId="0" borderId="0" xfId="5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6" fillId="0" borderId="0" xfId="5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8" fontId="11" fillId="0" borderId="0" xfId="5" applyNumberFormat="1" applyFont="1" applyBorder="1" applyAlignment="1">
      <alignment horizontal="center"/>
    </xf>
    <xf numFmtId="164" fontId="12" fillId="0" borderId="0" xfId="0" applyNumberFormat="1" applyFont="1" applyAlignment="1">
      <alignment horizontal="right"/>
    </xf>
    <xf numFmtId="10" fontId="6" fillId="0" borderId="0" xfId="3" applyNumberFormat="1" applyFont="1" applyBorder="1" applyAlignment="1"/>
    <xf numFmtId="43" fontId="6" fillId="0" borderId="0" xfId="1" applyFont="1" applyBorder="1" applyAlignment="1">
      <alignment vertical="center"/>
    </xf>
    <xf numFmtId="44" fontId="20" fillId="0" borderId="0" xfId="2" applyFont="1" applyBorder="1" applyAlignment="1">
      <alignment horizontal="center"/>
    </xf>
    <xf numFmtId="44" fontId="6" fillId="0" borderId="0" xfId="0" applyNumberFormat="1" applyFont="1"/>
    <xf numFmtId="44" fontId="6" fillId="0" borderId="0" xfId="1" applyNumberFormat="1" applyFont="1" applyBorder="1"/>
    <xf numFmtId="44" fontId="6" fillId="0" borderId="0" xfId="0" applyNumberFormat="1" applyFont="1" applyBorder="1"/>
    <xf numFmtId="43" fontId="6" fillId="0" borderId="7" xfId="1" applyFont="1" applyBorder="1" applyAlignment="1"/>
    <xf numFmtId="43" fontId="6" fillId="0" borderId="8" xfId="1" applyFont="1" applyBorder="1" applyAlignment="1"/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3" fontId="6" fillId="0" borderId="0" xfId="1" applyFont="1" applyBorder="1" applyAlignment="1">
      <alignment horizontal="center"/>
    </xf>
    <xf numFmtId="43" fontId="12" fillId="0" borderId="8" xfId="1" applyFont="1" applyBorder="1" applyAlignment="1">
      <alignment horizontal="center"/>
    </xf>
    <xf numFmtId="44" fontId="6" fillId="0" borderId="8" xfId="2" applyFont="1" applyBorder="1" applyAlignment="1"/>
    <xf numFmtId="44" fontId="20" fillId="0" borderId="7" xfId="2" applyFont="1" applyBorder="1" applyAlignment="1">
      <alignment horizontal="center"/>
    </xf>
    <xf numFmtId="44" fontId="6" fillId="0" borderId="1" xfId="1" applyNumberFormat="1" applyFont="1" applyBorder="1" applyAlignment="1"/>
    <xf numFmtId="43" fontId="6" fillId="0" borderId="1" xfId="1" applyFont="1" applyBorder="1" applyAlignment="1"/>
    <xf numFmtId="43" fontId="6" fillId="0" borderId="6" xfId="1" applyFont="1" applyBorder="1" applyAlignment="1"/>
    <xf numFmtId="44" fontId="6" fillId="0" borderId="0" xfId="2" applyFont="1" applyBorder="1" applyAlignment="1">
      <alignment horizontal="center"/>
    </xf>
    <xf numFmtId="10" fontId="6" fillId="0" borderId="0" xfId="3" applyNumberFormat="1" applyFont="1" applyBorder="1" applyAlignment="1">
      <alignment horizontal="center"/>
    </xf>
    <xf numFmtId="44" fontId="6" fillId="0" borderId="1" xfId="2" applyFont="1" applyBorder="1" applyAlignment="1">
      <alignment horizontal="center"/>
    </xf>
    <xf numFmtId="10" fontId="6" fillId="0" borderId="1" xfId="3" applyNumberFormat="1" applyFont="1" applyBorder="1" applyAlignment="1">
      <alignment horizontal="center"/>
    </xf>
    <xf numFmtId="164" fontId="6" fillId="0" borderId="0" xfId="2" applyNumberFormat="1" applyFont="1"/>
    <xf numFmtId="10" fontId="6" fillId="0" borderId="0" xfId="1" applyNumberFormat="1" applyFont="1"/>
    <xf numFmtId="10" fontId="6" fillId="0" borderId="0" xfId="1" applyNumberFormat="1" applyFont="1" applyBorder="1"/>
    <xf numFmtId="44" fontId="12" fillId="0" borderId="0" xfId="0" applyNumberFormat="1" applyFont="1"/>
    <xf numFmtId="44" fontId="6" fillId="0" borderId="0" xfId="2" applyNumberFormat="1" applyFont="1" applyBorder="1" applyAlignment="1"/>
    <xf numFmtId="44" fontId="6" fillId="0" borderId="0" xfId="2" applyNumberFormat="1" applyFont="1" applyBorder="1" applyAlignment="1">
      <alignment vertical="center"/>
    </xf>
    <xf numFmtId="44" fontId="6" fillId="0" borderId="0" xfId="2" applyNumberFormat="1" applyFont="1" applyBorder="1" applyAlignment="1">
      <alignment horizontal="center"/>
    </xf>
    <xf numFmtId="44" fontId="6" fillId="0" borderId="0" xfId="2" applyNumberFormat="1" applyFont="1" applyBorder="1"/>
    <xf numFmtId="44" fontId="6" fillId="0" borderId="0" xfId="1" applyNumberFormat="1" applyFont="1" applyBorder="1" applyAlignment="1"/>
    <xf numFmtId="44" fontId="6" fillId="0" borderId="0" xfId="2" applyNumberFormat="1" applyFont="1" applyBorder="1" applyAlignment="1">
      <alignment horizontal="center" vertical="center"/>
    </xf>
    <xf numFmtId="44" fontId="6" fillId="0" borderId="0" xfId="2" applyFont="1"/>
    <xf numFmtId="165" fontId="6" fillId="0" borderId="0" xfId="5" applyNumberFormat="1" applyFont="1" applyAlignment="1">
      <alignment horizontal="center" vertical="center"/>
    </xf>
    <xf numFmtId="165" fontId="6" fillId="0" borderId="0" xfId="5" applyNumberFormat="1" applyFont="1" applyBorder="1" applyAlignment="1">
      <alignment horizontal="center" vertical="center"/>
    </xf>
    <xf numFmtId="165" fontId="6" fillId="0" borderId="8" xfId="5" applyNumberFormat="1" applyFont="1" applyBorder="1" applyAlignment="1">
      <alignment horizontal="center" vertical="center"/>
    </xf>
    <xf numFmtId="0" fontId="6" fillId="0" borderId="0" xfId="0" quotePrefix="1" applyFont="1"/>
    <xf numFmtId="44" fontId="6" fillId="0" borderId="0" xfId="2" applyFont="1" applyAlignment="1">
      <alignment vertical="top"/>
    </xf>
    <xf numFmtId="10" fontId="6" fillId="0" borderId="0" xfId="3" applyNumberFormat="1" applyFont="1" applyAlignment="1">
      <alignment vertical="top"/>
    </xf>
    <xf numFmtId="164" fontId="6" fillId="0" borderId="0" xfId="2" applyNumberFormat="1" applyFont="1" applyBorder="1"/>
    <xf numFmtId="167" fontId="6" fillId="0" borderId="0" xfId="0" applyNumberFormat="1" applyFont="1" applyFill="1" applyBorder="1" applyAlignment="1">
      <alignment horizontal="right"/>
    </xf>
    <xf numFmtId="44" fontId="6" fillId="0" borderId="0" xfId="2" applyFont="1" applyFill="1" applyBorder="1" applyAlignment="1">
      <alignment horizontal="right"/>
    </xf>
    <xf numFmtId="44" fontId="26" fillId="0" borderId="0" xfId="2" applyFont="1" applyFill="1" applyBorder="1" applyAlignment="1">
      <alignment horizontal="right"/>
    </xf>
    <xf numFmtId="44" fontId="25" fillId="0" borderId="0" xfId="2" applyFont="1" applyFill="1" applyBorder="1" applyAlignment="1">
      <alignment horizontal="right"/>
    </xf>
    <xf numFmtId="44" fontId="6" fillId="0" borderId="1" xfId="2" applyFont="1" applyFill="1" applyBorder="1" applyAlignment="1">
      <alignment horizontal="right"/>
    </xf>
    <xf numFmtId="0" fontId="6" fillId="0" borderId="0" xfId="1" applyNumberFormat="1" applyFont="1" applyFill="1" applyBorder="1"/>
    <xf numFmtId="44" fontId="6" fillId="0" borderId="1" xfId="0" applyNumberFormat="1" applyFont="1" applyFill="1" applyBorder="1" applyAlignment="1">
      <alignment horizontal="right"/>
    </xf>
    <xf numFmtId="164" fontId="12" fillId="0" borderId="0" xfId="2" applyNumberFormat="1" applyFont="1" applyFill="1" applyBorder="1" applyAlignment="1"/>
    <xf numFmtId="10" fontId="6" fillId="0" borderId="0" xfId="3" applyNumberFormat="1" applyFont="1" applyBorder="1" applyAlignment="1">
      <alignment vertical="top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5" fontId="6" fillId="0" borderId="0" xfId="0" applyNumberFormat="1" applyFont="1" applyFill="1" applyBorder="1" applyAlignment="1">
      <alignment vertical="top"/>
    </xf>
    <xf numFmtId="165" fontId="12" fillId="0" borderId="0" xfId="1" applyNumberFormat="1" applyFont="1" applyFill="1" applyBorder="1" applyAlignment="1"/>
    <xf numFmtId="165" fontId="6" fillId="0" borderId="0" xfId="1" applyNumberFormat="1" applyFont="1" applyFill="1" applyBorder="1" applyAlignment="1">
      <alignment horizontal="right"/>
    </xf>
    <xf numFmtId="44" fontId="2" fillId="0" borderId="0" xfId="2" applyFont="1" applyFill="1" applyBorder="1" applyAlignment="1">
      <alignment horizontal="right"/>
    </xf>
    <xf numFmtId="9" fontId="3" fillId="0" borderId="0" xfId="3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1" applyNumberFormat="1" applyFont="1" applyFill="1" applyBorder="1"/>
    <xf numFmtId="0" fontId="6" fillId="0" borderId="0" xfId="0" applyFont="1" applyFill="1" applyBorder="1" applyAlignment="1">
      <alignment horizontal="right"/>
    </xf>
    <xf numFmtId="44" fontId="10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4" fontId="1" fillId="0" borderId="0" xfId="2" applyFont="1" applyFill="1" applyBorder="1" applyAlignment="1">
      <alignment horizontal="right"/>
    </xf>
    <xf numFmtId="44" fontId="10" fillId="0" borderId="0" xfId="2" applyFont="1" applyFill="1" applyBorder="1" applyAlignment="1">
      <alignment horizontal="right"/>
    </xf>
    <xf numFmtId="43" fontId="6" fillId="0" borderId="0" xfId="1" applyFont="1" applyFill="1"/>
    <xf numFmtId="43" fontId="6" fillId="0" borderId="0" xfId="1" applyFont="1" applyFill="1" applyBorder="1"/>
    <xf numFmtId="44" fontId="6" fillId="3" borderId="0" xfId="2" applyFont="1" applyFill="1" applyBorder="1" applyAlignment="1">
      <alignment horizontal="right"/>
    </xf>
    <xf numFmtId="44" fontId="6" fillId="3" borderId="1" xfId="2" applyFont="1" applyFill="1" applyBorder="1" applyAlignment="1">
      <alignment horizontal="right"/>
    </xf>
    <xf numFmtId="43" fontId="6" fillId="0" borderId="1" xfId="1" applyFont="1" applyFill="1" applyBorder="1"/>
    <xf numFmtId="44" fontId="33" fillId="0" borderId="1" xfId="2" applyFont="1" applyBorder="1"/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43" fontId="12" fillId="0" borderId="0" xfId="1" applyFont="1" applyBorder="1" applyAlignment="1">
      <alignment horizontal="center"/>
    </xf>
    <xf numFmtId="43" fontId="6" fillId="0" borderId="2" xfId="1" applyFont="1" applyBorder="1"/>
    <xf numFmtId="43" fontId="15" fillId="0" borderId="0" xfId="1" applyFont="1" applyBorder="1" applyAlignment="1">
      <alignment horizontal="center" vertical="center"/>
    </xf>
    <xf numFmtId="43" fontId="6" fillId="2" borderId="7" xfId="1" applyFont="1" applyFill="1" applyBorder="1"/>
    <xf numFmtId="43" fontId="6" fillId="0" borderId="10" xfId="1" applyFont="1" applyBorder="1"/>
    <xf numFmtId="43" fontId="6" fillId="0" borderId="3" xfId="1" applyFont="1" applyBorder="1" applyAlignment="1">
      <alignment horizontal="right"/>
    </xf>
    <xf numFmtId="43" fontId="6" fillId="0" borderId="2" xfId="1" applyFont="1" applyBorder="1" applyAlignment="1"/>
    <xf numFmtId="43" fontId="6" fillId="0" borderId="2" xfId="1" applyFont="1" applyBorder="1" applyAlignment="1">
      <alignment horizontal="center"/>
    </xf>
    <xf numFmtId="10" fontId="6" fillId="0" borderId="2" xfId="3" applyNumberFormat="1" applyFont="1" applyBorder="1" applyAlignment="1">
      <alignment horizontal="center"/>
    </xf>
    <xf numFmtId="43" fontId="6" fillId="0" borderId="4" xfId="1" applyFont="1" applyBorder="1" applyAlignment="1"/>
    <xf numFmtId="165" fontId="7" fillId="0" borderId="0" xfId="1" applyNumberFormat="1" applyFont="1" applyAlignment="1">
      <alignment horizontal="center" vertical="center"/>
    </xf>
    <xf numFmtId="165" fontId="13" fillId="0" borderId="7" xfId="5" applyNumberFormat="1" applyFont="1" applyBorder="1" applyAlignment="1">
      <alignment horizontal="center" vertical="center"/>
    </xf>
    <xf numFmtId="165" fontId="13" fillId="0" borderId="8" xfId="5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168" fontId="11" fillId="0" borderId="0" xfId="5" applyNumberFormat="1" applyFont="1" applyBorder="1" applyAlignment="1">
      <alignment horizontal="center"/>
    </xf>
    <xf numFmtId="43" fontId="9" fillId="0" borderId="7" xfId="1" applyFont="1" applyBorder="1" applyAlignment="1">
      <alignment horizontal="right"/>
    </xf>
    <xf numFmtId="43" fontId="9" fillId="0" borderId="0" xfId="1" applyFont="1" applyBorder="1" applyAlignment="1">
      <alignment horizontal="right"/>
    </xf>
    <xf numFmtId="43" fontId="9" fillId="0" borderId="5" xfId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43" fontId="7" fillId="0" borderId="3" xfId="1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9" fillId="0" borderId="7" xfId="1" applyFont="1" applyBorder="1" applyAlignment="1">
      <alignment horizontal="right" wrapText="1"/>
    </xf>
    <xf numFmtId="43" fontId="9" fillId="0" borderId="0" xfId="1" applyFont="1" applyBorder="1" applyAlignment="1">
      <alignment horizontal="right" wrapText="1"/>
    </xf>
    <xf numFmtId="3" fontId="28" fillId="0" borderId="7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3" fontId="28" fillId="0" borderId="8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43" fontId="12" fillId="0" borderId="0" xfId="1" applyFont="1" applyBorder="1" applyAlignment="1">
      <alignment horizontal="center"/>
    </xf>
    <xf numFmtId="44" fontId="32" fillId="0" borderId="3" xfId="2" applyFont="1" applyBorder="1" applyAlignment="1">
      <alignment horizontal="center"/>
    </xf>
    <xf numFmtId="44" fontId="32" fillId="0" borderId="2" xfId="2" applyFont="1" applyBorder="1" applyAlignment="1">
      <alignment horizontal="center"/>
    </xf>
    <xf numFmtId="44" fontId="32" fillId="0" borderId="4" xfId="2" applyFont="1" applyBorder="1" applyAlignment="1">
      <alignment horizontal="center"/>
    </xf>
    <xf numFmtId="44" fontId="32" fillId="0" borderId="7" xfId="2" applyFont="1" applyBorder="1" applyAlignment="1">
      <alignment horizontal="center"/>
    </xf>
    <xf numFmtId="44" fontId="32" fillId="0" borderId="0" xfId="2" applyFont="1" applyBorder="1" applyAlignment="1">
      <alignment horizontal="center"/>
    </xf>
    <xf numFmtId="44" fontId="32" fillId="0" borderId="8" xfId="2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165" fontId="7" fillId="0" borderId="7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27" fillId="0" borderId="0" xfId="0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165" fontId="15" fillId="0" borderId="0" xfId="5" applyNumberFormat="1" applyFont="1" applyBorder="1" applyAlignment="1">
      <alignment horizontal="center" vertical="center"/>
    </xf>
    <xf numFmtId="43" fontId="6" fillId="0" borderId="0" xfId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0" fillId="0" borderId="0" xfId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165" fontId="13" fillId="0" borderId="0" xfId="1" applyNumberFormat="1" applyFont="1" applyAlignment="1">
      <alignment horizontal="left"/>
    </xf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showGridLines="0" tabSelected="1" topLeftCell="C1" workbookViewId="0">
      <selection activeCell="N6" sqref="N6"/>
    </sheetView>
  </sheetViews>
  <sheetFormatPr defaultColWidth="8.77734375" defaultRowHeight="14.25" x14ac:dyDescent="0.45"/>
  <cols>
    <col min="1" max="1" width="3.6640625" style="7" customWidth="1"/>
    <col min="2" max="2" width="2.6640625" style="7" customWidth="1"/>
    <col min="3" max="3" width="29.44140625" style="7" customWidth="1"/>
    <col min="4" max="4" width="11.33203125" style="7" customWidth="1"/>
    <col min="5" max="5" width="11.5546875" style="7" customWidth="1"/>
    <col min="6" max="6" width="5.33203125" style="7" customWidth="1"/>
    <col min="7" max="7" width="11.5546875" style="7" customWidth="1"/>
    <col min="8" max="8" width="3.5546875" style="7" customWidth="1"/>
    <col min="9" max="11" width="11.33203125" style="7" customWidth="1"/>
    <col min="12" max="12" width="10.88671875" style="7" customWidth="1"/>
    <col min="13" max="16384" width="8.77734375" style="7"/>
  </cols>
  <sheetData>
    <row r="1" spans="1:14" ht="18" x14ac:dyDescent="0.45">
      <c r="A1" s="325" t="s">
        <v>33</v>
      </c>
      <c r="B1" s="325"/>
      <c r="C1" s="325"/>
      <c r="D1" s="325"/>
      <c r="E1" s="325"/>
      <c r="F1" s="325"/>
      <c r="G1" s="325"/>
      <c r="H1" s="76"/>
      <c r="I1" s="76"/>
      <c r="J1" s="76"/>
      <c r="K1" s="76"/>
    </row>
    <row r="2" spans="1:14" ht="15.75" x14ac:dyDescent="0.45">
      <c r="A2" s="77" t="s">
        <v>242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6"/>
    </row>
    <row r="3" spans="1:14" x14ac:dyDescent="0.45">
      <c r="A3" s="62"/>
      <c r="B3" s="75"/>
      <c r="C3" s="75"/>
      <c r="D3" s="75"/>
      <c r="E3" s="75"/>
      <c r="F3" s="75"/>
      <c r="G3" s="75"/>
      <c r="H3" s="76"/>
      <c r="I3" s="76"/>
      <c r="J3" s="76"/>
      <c r="K3" s="76"/>
    </row>
    <row r="4" spans="1:14" ht="16.5" x14ac:dyDescent="0.75">
      <c r="A4" s="76"/>
      <c r="B4" s="76"/>
      <c r="C4" s="76"/>
      <c r="D4" s="78" t="s">
        <v>34</v>
      </c>
      <c r="E4" s="78" t="s">
        <v>35</v>
      </c>
      <c r="F4" s="78" t="s">
        <v>36</v>
      </c>
      <c r="G4" s="78" t="s">
        <v>37</v>
      </c>
      <c r="H4" s="76"/>
      <c r="I4" s="91" t="s">
        <v>43</v>
      </c>
      <c r="J4" s="76"/>
      <c r="K4" s="76"/>
      <c r="N4" s="378" t="s">
        <v>316</v>
      </c>
    </row>
    <row r="5" spans="1:14" x14ac:dyDescent="0.45">
      <c r="A5" s="79" t="s">
        <v>16</v>
      </c>
      <c r="B5" s="76"/>
      <c r="C5" s="76"/>
      <c r="D5" s="76"/>
      <c r="F5" s="76"/>
      <c r="G5" s="76"/>
      <c r="H5" s="76"/>
      <c r="J5" s="76"/>
      <c r="K5" s="76"/>
    </row>
    <row r="6" spans="1:14" x14ac:dyDescent="0.45">
      <c r="A6" s="76"/>
      <c r="B6" s="76" t="s">
        <v>45</v>
      </c>
      <c r="C6" s="76"/>
      <c r="D6" s="76">
        <v>1444027</v>
      </c>
      <c r="E6" s="76">
        <f>ExBA!F12</f>
        <v>21737.539999999804</v>
      </c>
      <c r="F6" s="80" t="s">
        <v>294</v>
      </c>
      <c r="G6" s="76">
        <f>D6+E6</f>
        <v>1465764.5399999998</v>
      </c>
      <c r="H6" s="81"/>
      <c r="I6" s="76" t="s">
        <v>299</v>
      </c>
      <c r="J6" s="76"/>
      <c r="K6" s="76"/>
      <c r="N6" s="7" t="s">
        <v>317</v>
      </c>
    </row>
    <row r="7" spans="1:14" x14ac:dyDescent="0.45">
      <c r="A7" s="76"/>
      <c r="B7" s="76" t="s">
        <v>73</v>
      </c>
      <c r="C7" s="76"/>
      <c r="D7" s="76">
        <v>0</v>
      </c>
      <c r="E7" s="76"/>
      <c r="F7" s="80"/>
      <c r="G7" s="76">
        <f>D7+E7</f>
        <v>0</v>
      </c>
      <c r="H7" s="82"/>
      <c r="I7" s="74"/>
      <c r="J7" s="76"/>
      <c r="K7" s="76"/>
    </row>
    <row r="8" spans="1:14" x14ac:dyDescent="0.45">
      <c r="A8" s="76"/>
      <c r="B8" s="76" t="s">
        <v>17</v>
      </c>
      <c r="C8" s="76"/>
      <c r="D8" s="76">
        <v>0</v>
      </c>
      <c r="E8" s="76"/>
      <c r="F8" s="80"/>
      <c r="G8" s="76">
        <f>D8+E8</f>
        <v>0</v>
      </c>
      <c r="H8" s="81"/>
      <c r="I8" s="76"/>
      <c r="J8" s="76"/>
    </row>
    <row r="9" spans="1:14" x14ac:dyDescent="0.45">
      <c r="A9" s="76"/>
      <c r="B9" s="76" t="s">
        <v>18</v>
      </c>
      <c r="C9" s="76"/>
      <c r="D9" s="76"/>
      <c r="E9" s="76"/>
      <c r="F9" s="80"/>
      <c r="G9" s="76"/>
      <c r="H9" s="83"/>
      <c r="I9" s="76"/>
      <c r="J9" s="76"/>
      <c r="K9" s="76"/>
    </row>
    <row r="10" spans="1:14" x14ac:dyDescent="0.45">
      <c r="A10" s="76"/>
      <c r="B10" s="76"/>
      <c r="C10" s="76" t="s">
        <v>44</v>
      </c>
      <c r="D10" s="76">
        <v>0</v>
      </c>
      <c r="E10" s="76"/>
      <c r="F10" s="80"/>
      <c r="G10" s="76">
        <f>D10+E10</f>
        <v>0</v>
      </c>
      <c r="H10" s="81"/>
      <c r="I10" s="76"/>
      <c r="J10" s="76"/>
      <c r="K10" s="76"/>
    </row>
    <row r="11" spans="1:14" x14ac:dyDescent="0.45">
      <c r="A11" s="76"/>
      <c r="C11" s="76" t="s">
        <v>19</v>
      </c>
      <c r="D11" s="76">
        <v>0</v>
      </c>
      <c r="E11" s="76"/>
      <c r="F11" s="80"/>
      <c r="G11" s="76">
        <f>D11+E11</f>
        <v>0</v>
      </c>
      <c r="H11" s="81"/>
      <c r="J11" s="76"/>
      <c r="K11" s="76"/>
    </row>
    <row r="12" spans="1:14" ht="16.5" x14ac:dyDescent="0.45">
      <c r="A12" s="76"/>
      <c r="C12" s="76" t="s">
        <v>74</v>
      </c>
      <c r="D12" s="102">
        <v>43776</v>
      </c>
      <c r="E12" s="76">
        <v>5000</v>
      </c>
      <c r="F12" s="80" t="s">
        <v>295</v>
      </c>
      <c r="G12" s="102">
        <f>D12+E12</f>
        <v>48776</v>
      </c>
      <c r="H12" s="82"/>
      <c r="I12" s="76" t="s">
        <v>303</v>
      </c>
      <c r="J12" s="76"/>
      <c r="K12" s="76"/>
      <c r="N12" s="7" t="s">
        <v>318</v>
      </c>
    </row>
    <row r="13" spans="1:14" x14ac:dyDescent="0.45">
      <c r="A13" s="84" t="s">
        <v>20</v>
      </c>
      <c r="B13" s="76"/>
      <c r="C13" s="76"/>
      <c r="D13" s="76">
        <f>SUM(D6:D12)</f>
        <v>1487803</v>
      </c>
      <c r="E13" s="76"/>
      <c r="F13" s="80"/>
      <c r="G13" s="76">
        <f>SUM(G6:G12)</f>
        <v>1514540.5399999998</v>
      </c>
      <c r="H13" s="83"/>
      <c r="J13" s="76"/>
      <c r="K13" s="76"/>
    </row>
    <row r="14" spans="1:14" x14ac:dyDescent="0.45">
      <c r="A14" s="76"/>
      <c r="B14" s="76"/>
      <c r="C14" s="76"/>
      <c r="D14" s="76"/>
      <c r="E14" s="76"/>
      <c r="F14" s="80"/>
      <c r="G14" s="76"/>
      <c r="H14" s="83"/>
      <c r="I14" s="76"/>
      <c r="J14" s="76"/>
      <c r="K14" s="76"/>
    </row>
    <row r="15" spans="1:14" x14ac:dyDescent="0.45">
      <c r="A15" s="79" t="s">
        <v>21</v>
      </c>
      <c r="B15" s="76"/>
      <c r="C15" s="76"/>
      <c r="D15" s="76"/>
      <c r="E15" s="76"/>
      <c r="F15" s="80"/>
      <c r="G15" s="76"/>
      <c r="H15" s="83"/>
      <c r="I15" s="76"/>
      <c r="J15" s="76"/>
      <c r="K15" s="76"/>
    </row>
    <row r="16" spans="1:14" x14ac:dyDescent="0.45">
      <c r="A16" s="76"/>
      <c r="B16" s="76" t="s">
        <v>38</v>
      </c>
      <c r="C16" s="76"/>
      <c r="D16" s="76"/>
      <c r="E16" s="76"/>
      <c r="F16" s="80"/>
      <c r="G16" s="76"/>
      <c r="H16" s="83"/>
      <c r="I16" s="76"/>
      <c r="J16" s="76"/>
      <c r="K16" s="76"/>
    </row>
    <row r="17" spans="1:14" x14ac:dyDescent="0.45">
      <c r="A17" s="76"/>
      <c r="B17" s="76"/>
      <c r="C17" s="76" t="s">
        <v>2</v>
      </c>
      <c r="D17" s="76">
        <v>363454</v>
      </c>
      <c r="E17" s="216">
        <f>Wages!G20</f>
        <v>16553.822000000044</v>
      </c>
      <c r="F17" s="85" t="s">
        <v>296</v>
      </c>
      <c r="G17" s="76"/>
      <c r="H17" s="81"/>
      <c r="I17" s="76" t="s">
        <v>300</v>
      </c>
      <c r="J17" s="76"/>
      <c r="K17" s="76"/>
      <c r="N17" s="7" t="s">
        <v>319</v>
      </c>
    </row>
    <row r="18" spans="1:14" x14ac:dyDescent="0.45">
      <c r="A18" s="76"/>
      <c r="B18" s="76"/>
      <c r="C18" s="76"/>
      <c r="D18" s="76"/>
      <c r="E18" s="216">
        <f>-Capital!C5</f>
        <v>-3240</v>
      </c>
      <c r="F18" s="85" t="s">
        <v>204</v>
      </c>
      <c r="G18" s="76">
        <f>D17+E17+E18</f>
        <v>376767.82200000004</v>
      </c>
      <c r="H18" s="81"/>
      <c r="I18" s="76" t="s">
        <v>301</v>
      </c>
      <c r="J18" s="76"/>
      <c r="K18" s="76"/>
      <c r="N18" s="7" t="s">
        <v>322</v>
      </c>
    </row>
    <row r="19" spans="1:14" x14ac:dyDescent="0.45">
      <c r="A19" s="76"/>
      <c r="B19" s="76"/>
      <c r="C19" s="76" t="s">
        <v>3</v>
      </c>
      <c r="D19" s="76">
        <v>23850</v>
      </c>
      <c r="E19" s="216"/>
      <c r="F19" s="80"/>
      <c r="G19" s="76">
        <f t="shared" ref="G19:G33" si="0">D19+E19</f>
        <v>23850</v>
      </c>
      <c r="H19" s="81"/>
    </row>
    <row r="20" spans="1:14" x14ac:dyDescent="0.45">
      <c r="A20" s="76"/>
      <c r="B20" s="76"/>
      <c r="C20" s="76" t="s">
        <v>4</v>
      </c>
      <c r="D20" s="76">
        <v>74829</v>
      </c>
      <c r="E20" s="216">
        <f>Wages!G30</f>
        <v>354.73999999999796</v>
      </c>
      <c r="F20" s="85" t="s">
        <v>197</v>
      </c>
      <c r="G20" s="76"/>
      <c r="H20" s="81"/>
      <c r="I20" s="76" t="s">
        <v>304</v>
      </c>
      <c r="J20" s="76"/>
      <c r="K20" s="76"/>
      <c r="N20" s="7" t="s">
        <v>321</v>
      </c>
    </row>
    <row r="21" spans="1:14" x14ac:dyDescent="0.45">
      <c r="A21" s="76"/>
      <c r="B21" s="76"/>
      <c r="C21" s="76"/>
      <c r="D21" s="76"/>
      <c r="E21" s="216">
        <f>Medical!J21</f>
        <v>-2724.1899999999987</v>
      </c>
      <c r="F21" s="85" t="s">
        <v>298</v>
      </c>
      <c r="G21" s="76"/>
      <c r="H21" s="81"/>
      <c r="I21" s="76" t="s">
        <v>306</v>
      </c>
      <c r="J21" s="76"/>
      <c r="K21" s="76"/>
      <c r="N21" s="7" t="s">
        <v>325</v>
      </c>
    </row>
    <row r="22" spans="1:14" x14ac:dyDescent="0.45">
      <c r="A22" s="76"/>
      <c r="B22" s="76"/>
      <c r="C22" s="76"/>
      <c r="D22" s="76"/>
      <c r="E22" s="216">
        <f>Medical!M24</f>
        <v>-2104.5864000000006</v>
      </c>
      <c r="F22" s="85" t="s">
        <v>205</v>
      </c>
      <c r="G22" s="76">
        <f>D20+E20+E21+E22</f>
        <v>70354.963599999988</v>
      </c>
      <c r="H22" s="81"/>
      <c r="I22" s="76" t="s">
        <v>305</v>
      </c>
      <c r="J22" s="76"/>
      <c r="K22" s="76"/>
      <c r="N22" s="7" t="s">
        <v>324</v>
      </c>
    </row>
    <row r="23" spans="1:14" x14ac:dyDescent="0.45">
      <c r="A23" s="76"/>
      <c r="B23" s="76"/>
      <c r="C23" s="76" t="s">
        <v>5</v>
      </c>
      <c r="D23" s="76">
        <v>552238</v>
      </c>
      <c r="E23" s="216">
        <f>-'Water Loss'!D30</f>
        <v>-41691.268424670285</v>
      </c>
      <c r="F23" s="85" t="s">
        <v>297</v>
      </c>
      <c r="G23" s="76">
        <f t="shared" si="0"/>
        <v>510546.73157532973</v>
      </c>
      <c r="H23" s="86"/>
      <c r="I23" s="7" t="s">
        <v>310</v>
      </c>
    </row>
    <row r="24" spans="1:14" x14ac:dyDescent="0.45">
      <c r="A24" s="76"/>
      <c r="B24" s="76"/>
      <c r="C24" s="76" t="s">
        <v>6</v>
      </c>
      <c r="D24" s="76">
        <v>0</v>
      </c>
      <c r="E24" s="76"/>
      <c r="F24" s="85"/>
      <c r="G24" s="76">
        <f t="shared" si="0"/>
        <v>0</v>
      </c>
      <c r="H24" s="87"/>
      <c r="J24" s="76"/>
      <c r="K24" s="76"/>
    </row>
    <row r="25" spans="1:14" x14ac:dyDescent="0.45">
      <c r="A25" s="76"/>
      <c r="B25" s="76"/>
      <c r="C25" s="76" t="s">
        <v>94</v>
      </c>
      <c r="D25" s="76">
        <v>0</v>
      </c>
      <c r="E25" s="76"/>
      <c r="F25" s="85"/>
      <c r="G25" s="76">
        <f t="shared" si="0"/>
        <v>0</v>
      </c>
      <c r="H25" s="87"/>
      <c r="J25" s="76"/>
      <c r="K25" s="76"/>
    </row>
    <row r="26" spans="1:14" x14ac:dyDescent="0.45">
      <c r="A26" s="76"/>
      <c r="B26" s="76"/>
      <c r="C26" s="76" t="s">
        <v>7</v>
      </c>
      <c r="D26" s="76">
        <v>70450</v>
      </c>
      <c r="E26" s="76">
        <f>-Capital!C6</f>
        <v>-7559.9999999999991</v>
      </c>
      <c r="F26" s="85" t="s">
        <v>204</v>
      </c>
      <c r="G26" s="76">
        <f t="shared" si="0"/>
        <v>62890</v>
      </c>
      <c r="H26" s="81"/>
      <c r="I26" s="76" t="s">
        <v>302</v>
      </c>
      <c r="J26" s="76"/>
      <c r="K26" s="76"/>
      <c r="N26" s="7" t="s">
        <v>323</v>
      </c>
    </row>
    <row r="27" spans="1:14" x14ac:dyDescent="0.45">
      <c r="A27" s="76"/>
      <c r="B27" s="76"/>
      <c r="C27" s="76" t="s">
        <v>8</v>
      </c>
      <c r="D27" s="76">
        <f>4886+6300+3775</f>
        <v>14961</v>
      </c>
      <c r="E27" s="76"/>
      <c r="F27" s="85"/>
      <c r="G27" s="76">
        <f t="shared" si="0"/>
        <v>14961</v>
      </c>
      <c r="H27" s="81"/>
      <c r="I27" s="76"/>
      <c r="J27" s="76"/>
      <c r="K27" s="76"/>
    </row>
    <row r="28" spans="1:14" x14ac:dyDescent="0.45">
      <c r="A28" s="76"/>
      <c r="B28" s="76"/>
      <c r="C28" s="76" t="s">
        <v>75</v>
      </c>
      <c r="D28" s="76"/>
      <c r="E28" s="76"/>
      <c r="F28" s="85"/>
      <c r="G28" s="76">
        <f t="shared" si="0"/>
        <v>0</v>
      </c>
      <c r="H28" s="81"/>
      <c r="I28" s="76"/>
      <c r="J28" s="76"/>
      <c r="K28" s="76"/>
    </row>
    <row r="29" spans="1:14" x14ac:dyDescent="0.45">
      <c r="A29" s="76"/>
      <c r="B29" s="76"/>
      <c r="C29" s="76" t="s">
        <v>10</v>
      </c>
      <c r="D29" s="76">
        <v>11619</v>
      </c>
      <c r="E29" s="76"/>
      <c r="F29" s="85"/>
      <c r="G29" s="76">
        <f t="shared" si="0"/>
        <v>11619</v>
      </c>
      <c r="H29" s="83"/>
      <c r="I29" s="76"/>
      <c r="J29" s="76"/>
      <c r="K29" s="76"/>
    </row>
    <row r="30" spans="1:14" x14ac:dyDescent="0.45">
      <c r="A30" s="76"/>
      <c r="B30" s="76"/>
      <c r="C30" s="76" t="s">
        <v>39</v>
      </c>
      <c r="D30" s="76">
        <f>6612+12560</f>
        <v>19172</v>
      </c>
      <c r="E30" s="76"/>
      <c r="F30" s="85"/>
      <c r="G30" s="76">
        <f t="shared" si="0"/>
        <v>19172</v>
      </c>
      <c r="H30" s="83"/>
      <c r="I30" s="76"/>
      <c r="J30" s="76"/>
      <c r="K30" s="76"/>
    </row>
    <row r="31" spans="1:14" x14ac:dyDescent="0.45">
      <c r="A31" s="76"/>
      <c r="B31" s="76"/>
      <c r="C31" s="76" t="s">
        <v>76</v>
      </c>
      <c r="D31" s="76">
        <f>5473+10691</f>
        <v>16164</v>
      </c>
      <c r="E31" s="76"/>
      <c r="F31" s="85"/>
      <c r="G31" s="76">
        <f t="shared" si="0"/>
        <v>16164</v>
      </c>
      <c r="H31" s="83"/>
      <c r="I31" s="76"/>
      <c r="J31" s="76"/>
      <c r="K31" s="76"/>
    </row>
    <row r="32" spans="1:14" x14ac:dyDescent="0.45">
      <c r="A32" s="76"/>
      <c r="B32" s="76"/>
      <c r="C32" s="76" t="s">
        <v>77</v>
      </c>
      <c r="D32" s="76">
        <v>4577</v>
      </c>
      <c r="E32" s="76"/>
      <c r="F32" s="80"/>
      <c r="G32" s="76">
        <f t="shared" si="0"/>
        <v>4577</v>
      </c>
      <c r="H32" s="83"/>
      <c r="I32" s="76"/>
      <c r="J32" s="76"/>
      <c r="K32" s="76"/>
    </row>
    <row r="33" spans="1:14" ht="16.5" x14ac:dyDescent="0.45">
      <c r="A33" s="76"/>
      <c r="B33" s="76"/>
      <c r="C33" s="76" t="s">
        <v>9</v>
      </c>
      <c r="D33" s="102">
        <v>76063</v>
      </c>
      <c r="E33" s="101"/>
      <c r="F33" s="85"/>
      <c r="G33" s="102">
        <f t="shared" si="0"/>
        <v>76063</v>
      </c>
      <c r="H33" s="83"/>
      <c r="I33" s="76"/>
      <c r="J33" s="76"/>
      <c r="K33" s="76"/>
    </row>
    <row r="34" spans="1:14" x14ac:dyDescent="0.45">
      <c r="A34" s="76"/>
      <c r="B34" s="76" t="s">
        <v>40</v>
      </c>
      <c r="C34" s="76"/>
      <c r="D34" s="76">
        <f>SUM(D17:D33)</f>
        <v>1227377</v>
      </c>
      <c r="E34" s="76"/>
      <c r="F34" s="80"/>
      <c r="G34" s="76">
        <f>SUM(G17:G33)</f>
        <v>1186965.5171753298</v>
      </c>
      <c r="H34" s="83"/>
      <c r="I34" s="76"/>
      <c r="J34" s="76"/>
      <c r="K34" s="76"/>
    </row>
    <row r="35" spans="1:14" ht="4.05" customHeight="1" x14ac:dyDescent="0.45">
      <c r="A35" s="76"/>
      <c r="B35" s="76"/>
      <c r="C35" s="76"/>
      <c r="D35" s="76"/>
      <c r="E35" s="76"/>
      <c r="F35" s="80"/>
      <c r="G35" s="76"/>
      <c r="H35" s="83"/>
      <c r="I35" s="76"/>
      <c r="J35" s="76"/>
      <c r="K35" s="76"/>
    </row>
    <row r="36" spans="1:14" x14ac:dyDescent="0.45">
      <c r="A36" s="76"/>
      <c r="B36" s="76" t="s">
        <v>22</v>
      </c>
      <c r="C36" s="76"/>
      <c r="D36" s="76">
        <v>311352</v>
      </c>
      <c r="E36" s="76">
        <f>Depreciation!F52</f>
        <v>-120388.06390015874</v>
      </c>
      <c r="F36" s="80" t="s">
        <v>309</v>
      </c>
      <c r="G36" s="76">
        <f>D36+E36</f>
        <v>190963.93609984126</v>
      </c>
      <c r="H36" s="83"/>
      <c r="I36" s="76" t="s">
        <v>307</v>
      </c>
      <c r="J36" s="76"/>
      <c r="N36" s="7" t="s">
        <v>326</v>
      </c>
    </row>
    <row r="37" spans="1:14" ht="16.5" x14ac:dyDescent="0.45">
      <c r="A37" s="76"/>
      <c r="B37" s="76" t="s">
        <v>1</v>
      </c>
      <c r="C37" s="76"/>
      <c r="D37" s="102">
        <v>29963</v>
      </c>
      <c r="E37" s="101">
        <f>Wages!G26</f>
        <v>2185.0983830000041</v>
      </c>
      <c r="F37" s="103" t="s">
        <v>196</v>
      </c>
      <c r="G37" s="102">
        <f t="shared" ref="G37" si="1">D37+E37</f>
        <v>32148.098383000004</v>
      </c>
      <c r="H37" s="83"/>
      <c r="I37" s="76" t="s">
        <v>308</v>
      </c>
      <c r="J37" s="76"/>
      <c r="N37" s="7" t="s">
        <v>320</v>
      </c>
    </row>
    <row r="38" spans="1:14" ht="16.5" x14ac:dyDescent="0.45">
      <c r="A38" s="84" t="s">
        <v>0</v>
      </c>
      <c r="B38" s="76"/>
      <c r="C38" s="76"/>
      <c r="D38" s="102">
        <f>SUM(D34:D37)</f>
        <v>1568692</v>
      </c>
      <c r="E38" s="101"/>
      <c r="F38" s="103"/>
      <c r="G38" s="102">
        <f>SUM(G34:G37)</f>
        <v>1410077.5516581712</v>
      </c>
      <c r="H38" s="83"/>
      <c r="I38" s="76"/>
      <c r="J38" s="76"/>
      <c r="K38" s="76"/>
    </row>
    <row r="39" spans="1:14" ht="4.05" customHeight="1" x14ac:dyDescent="0.45">
      <c r="A39" s="84"/>
      <c r="B39" s="76"/>
      <c r="C39" s="76"/>
      <c r="D39" s="104"/>
      <c r="E39" s="76"/>
      <c r="F39" s="80"/>
      <c r="G39" s="76"/>
      <c r="H39" s="76"/>
      <c r="I39" s="76"/>
      <c r="J39" s="76"/>
      <c r="K39" s="76"/>
    </row>
    <row r="40" spans="1:14" x14ac:dyDescent="0.45">
      <c r="A40" s="84" t="s">
        <v>41</v>
      </c>
      <c r="B40" s="76"/>
      <c r="C40" s="76"/>
      <c r="D40" s="76">
        <f>D13-D38</f>
        <v>-80889</v>
      </c>
      <c r="E40" s="76"/>
      <c r="F40" s="80"/>
      <c r="G40" s="76">
        <f>G13-G38</f>
        <v>104462.98834182858</v>
      </c>
      <c r="H40" s="76"/>
      <c r="I40" s="76"/>
      <c r="K40" s="76"/>
    </row>
    <row r="41" spans="1:14" x14ac:dyDescent="0.45">
      <c r="A41" s="76"/>
      <c r="B41" s="76"/>
      <c r="C41" s="76"/>
      <c r="D41" s="76"/>
      <c r="E41" s="76"/>
      <c r="F41" s="80"/>
      <c r="G41" s="76"/>
      <c r="H41" s="76"/>
      <c r="I41" s="76"/>
      <c r="J41" s="76"/>
      <c r="K41" s="76"/>
    </row>
    <row r="42" spans="1:14" ht="18" x14ac:dyDescent="0.45">
      <c r="A42" s="325" t="s">
        <v>23</v>
      </c>
      <c r="B42" s="325"/>
      <c r="C42" s="325"/>
      <c r="D42" s="325"/>
      <c r="E42" s="325"/>
      <c r="F42" s="325"/>
      <c r="G42" s="325"/>
      <c r="H42" s="76"/>
      <c r="I42" s="88"/>
      <c r="J42" s="89"/>
      <c r="K42" s="76"/>
    </row>
    <row r="43" spans="1:14" x14ac:dyDescent="0.45">
      <c r="A43" s="84" t="s">
        <v>42</v>
      </c>
      <c r="B43" s="76"/>
      <c r="C43" s="76"/>
      <c r="D43" s="90"/>
      <c r="E43" s="76"/>
      <c r="F43" s="85"/>
      <c r="G43" s="7">
        <f>G38</f>
        <v>1410077.5516581712</v>
      </c>
      <c r="H43" s="76"/>
      <c r="J43" s="76"/>
      <c r="K43" s="76"/>
    </row>
    <row r="44" spans="1:14" x14ac:dyDescent="0.45">
      <c r="A44" s="76" t="s">
        <v>24</v>
      </c>
      <c r="B44" s="76"/>
      <c r="C44" s="76" t="s">
        <v>119</v>
      </c>
      <c r="D44" s="90"/>
      <c r="E44" s="76"/>
      <c r="F44" s="85" t="s">
        <v>311</v>
      </c>
      <c r="G44" s="7">
        <f>'Debt Service'!M19</f>
        <v>241512.45</v>
      </c>
      <c r="H44" s="76"/>
      <c r="I44" s="7" t="s">
        <v>313</v>
      </c>
      <c r="J44" s="76"/>
      <c r="K44" s="76"/>
      <c r="N44" s="7" t="s">
        <v>327</v>
      </c>
    </row>
    <row r="45" spans="1:14" ht="16.5" x14ac:dyDescent="0.75">
      <c r="A45" s="76"/>
      <c r="B45" s="76"/>
      <c r="C45" s="76" t="s">
        <v>120</v>
      </c>
      <c r="D45" s="90"/>
      <c r="E45" s="76"/>
      <c r="F45" s="85" t="s">
        <v>312</v>
      </c>
      <c r="G45" s="27">
        <f>'Debt Service'!M21</f>
        <v>48302.490000000005</v>
      </c>
      <c r="H45" s="76"/>
      <c r="I45" s="7" t="s">
        <v>314</v>
      </c>
      <c r="J45" s="76"/>
      <c r="K45" s="76"/>
      <c r="N45" s="7" t="s">
        <v>328</v>
      </c>
    </row>
    <row r="46" spans="1:14" x14ac:dyDescent="0.45">
      <c r="A46" s="84" t="s">
        <v>80</v>
      </c>
      <c r="B46" s="76"/>
      <c r="C46" s="76"/>
      <c r="D46" s="90"/>
      <c r="E46" s="76"/>
      <c r="F46" s="85"/>
      <c r="G46" s="7">
        <f>G43+G44+G45</f>
        <v>1699892.4916581712</v>
      </c>
      <c r="H46" s="76"/>
      <c r="J46" s="76"/>
      <c r="K46" s="76"/>
    </row>
    <row r="47" spans="1:14" x14ac:dyDescent="0.45">
      <c r="A47" s="76" t="s">
        <v>25</v>
      </c>
      <c r="B47" s="76"/>
      <c r="C47" s="76" t="s">
        <v>26</v>
      </c>
      <c r="D47" s="90"/>
      <c r="E47" s="76"/>
      <c r="F47" s="85"/>
      <c r="G47" s="7">
        <f>SUM(G10:G12)</f>
        <v>48776</v>
      </c>
      <c r="H47" s="76"/>
      <c r="J47" s="76"/>
      <c r="K47" s="76"/>
    </row>
    <row r="48" spans="1:14" x14ac:dyDescent="0.45">
      <c r="A48" s="76"/>
      <c r="B48" s="76"/>
      <c r="C48" s="76" t="s">
        <v>73</v>
      </c>
      <c r="D48" s="90"/>
      <c r="E48" s="76"/>
      <c r="F48" s="85"/>
      <c r="G48" s="7">
        <f>G7</f>
        <v>0</v>
      </c>
      <c r="H48" s="76"/>
      <c r="J48" s="76"/>
      <c r="K48" s="76"/>
    </row>
    <row r="49" spans="1:11" x14ac:dyDescent="0.45">
      <c r="A49" s="76"/>
      <c r="B49" s="76"/>
      <c r="C49" s="76" t="s">
        <v>13</v>
      </c>
      <c r="D49" s="90"/>
      <c r="E49" s="76"/>
      <c r="F49" s="85"/>
      <c r="G49" s="45">
        <v>719.72</v>
      </c>
      <c r="H49" s="76"/>
      <c r="I49" s="45"/>
      <c r="J49" s="76"/>
      <c r="K49" s="76"/>
    </row>
    <row r="50" spans="1:11" x14ac:dyDescent="0.45">
      <c r="A50" s="84" t="s">
        <v>78</v>
      </c>
      <c r="B50" s="76"/>
      <c r="C50" s="76"/>
      <c r="D50" s="90"/>
      <c r="E50" s="76"/>
      <c r="F50" s="85"/>
      <c r="G50" s="7">
        <f>G46-G47-G48-G49</f>
        <v>1650396.7716581712</v>
      </c>
      <c r="H50" s="76"/>
      <c r="J50" s="76"/>
      <c r="K50" s="76"/>
    </row>
    <row r="51" spans="1:11" ht="16.5" x14ac:dyDescent="0.75">
      <c r="A51" s="76" t="s">
        <v>25</v>
      </c>
      <c r="B51" s="76"/>
      <c r="C51" s="76" t="s">
        <v>79</v>
      </c>
      <c r="D51" s="90"/>
      <c r="E51" s="76"/>
      <c r="F51" s="85"/>
      <c r="G51" s="27">
        <f>G6+G8</f>
        <v>1465764.5399999998</v>
      </c>
      <c r="H51" s="76"/>
      <c r="I51" s="45"/>
      <c r="J51" s="76"/>
      <c r="K51" s="76"/>
    </row>
    <row r="52" spans="1:11" x14ac:dyDescent="0.45">
      <c r="A52" s="84" t="s">
        <v>81</v>
      </c>
      <c r="B52" s="76"/>
      <c r="C52" s="76"/>
      <c r="D52" s="90"/>
      <c r="E52" s="76"/>
      <c r="F52" s="85"/>
      <c r="G52" s="76">
        <f>G50-G51</f>
        <v>184632.2316581714</v>
      </c>
      <c r="H52" s="76"/>
      <c r="I52" s="76"/>
      <c r="J52" s="76"/>
      <c r="K52" s="76"/>
    </row>
    <row r="53" spans="1:11" ht="4.05" customHeight="1" x14ac:dyDescent="0.45">
      <c r="A53" s="76"/>
      <c r="B53" s="76"/>
      <c r="C53" s="76"/>
      <c r="D53" s="90"/>
      <c r="E53" s="76"/>
      <c r="F53" s="85"/>
      <c r="G53" s="76"/>
      <c r="H53" s="76"/>
      <c r="I53" s="76"/>
      <c r="J53" s="76"/>
      <c r="K53" s="76"/>
    </row>
    <row r="54" spans="1:11" x14ac:dyDescent="0.45">
      <c r="A54" s="84" t="s">
        <v>82</v>
      </c>
      <c r="B54" s="76"/>
      <c r="C54" s="76"/>
      <c r="D54" s="90"/>
      <c r="E54" s="76"/>
      <c r="F54" s="85"/>
      <c r="G54" s="92">
        <f>G52/G51</f>
        <v>0.12596309067360262</v>
      </c>
      <c r="H54" s="76"/>
      <c r="I54" s="76"/>
      <c r="J54" s="76"/>
      <c r="K54" s="76"/>
    </row>
    <row r="57" spans="1:11" x14ac:dyDescent="0.45">
      <c r="A57" s="84"/>
      <c r="B57" s="76"/>
      <c r="C57" s="76"/>
      <c r="D57" s="90"/>
      <c r="E57" s="76"/>
      <c r="F57" s="85"/>
      <c r="G57" s="76"/>
    </row>
    <row r="58" spans="1:11" x14ac:dyDescent="0.45">
      <c r="A58" s="76"/>
      <c r="B58" s="76"/>
      <c r="C58" s="76"/>
      <c r="D58" s="90"/>
      <c r="E58" s="76"/>
      <c r="F58" s="85"/>
      <c r="G58" s="76"/>
    </row>
    <row r="59" spans="1:11" x14ac:dyDescent="0.45">
      <c r="A59" s="84"/>
      <c r="B59" s="76"/>
      <c r="C59" s="76"/>
      <c r="D59" s="90"/>
      <c r="E59" s="76"/>
      <c r="F59" s="85"/>
      <c r="G59" s="76"/>
    </row>
  </sheetData>
  <mergeCells count="2">
    <mergeCell ref="A42:G42"/>
    <mergeCell ref="A1:G1"/>
  </mergeCells>
  <printOptions horizontalCentered="1"/>
  <pageMargins left="0.45" right="0.25" top="0.5" bottom="0.5" header="0.3" footer="0.3"/>
  <pageSetup scale="96" orientation="portrait" horizontalDpi="4294967293" r:id="rId1"/>
  <rowBreaks count="2" manualBreakCount="2">
    <brk id="40" max="16383" man="1"/>
    <brk id="4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45C76-0BB3-4641-8635-4C8CCF8B407C}">
  <dimension ref="B1:O28"/>
  <sheetViews>
    <sheetView showGridLines="0" workbookViewId="0">
      <selection activeCell="P24" sqref="P24"/>
    </sheetView>
  </sheetViews>
  <sheetFormatPr defaultColWidth="8.88671875" defaultRowHeight="14.25" x14ac:dyDescent="0.45"/>
  <cols>
    <col min="1" max="1" width="3" style="7" customWidth="1"/>
    <col min="2" max="2" width="1.77734375" style="7" customWidth="1"/>
    <col min="3" max="5" width="9.77734375" style="7" customWidth="1"/>
    <col min="6" max="6" width="9.77734375" style="15" customWidth="1"/>
    <col min="7" max="8" width="9.77734375" style="7" customWidth="1"/>
    <col min="9" max="9" width="1.77734375" style="7" customWidth="1"/>
    <col min="10" max="10" width="3.0546875" style="7" customWidth="1"/>
    <col min="11" max="16384" width="8.88671875" style="7"/>
  </cols>
  <sheetData>
    <row r="1" spans="2:11" x14ac:dyDescent="0.45">
      <c r="B1" s="8"/>
      <c r="C1" s="9"/>
      <c r="D1" s="9"/>
      <c r="E1" s="9"/>
      <c r="F1" s="316"/>
      <c r="G1" s="9"/>
      <c r="H1" s="9"/>
      <c r="I1" s="10"/>
    </row>
    <row r="2" spans="2:11" ht="18" x14ac:dyDescent="0.55000000000000004">
      <c r="B2" s="357" t="s">
        <v>239</v>
      </c>
      <c r="C2" s="358"/>
      <c r="D2" s="358"/>
      <c r="E2" s="358"/>
      <c r="F2" s="358"/>
      <c r="G2" s="358"/>
      <c r="H2" s="358"/>
      <c r="I2" s="359"/>
    </row>
    <row r="3" spans="2:11" ht="18" x14ac:dyDescent="0.55000000000000004">
      <c r="B3" s="360" t="s">
        <v>237</v>
      </c>
      <c r="C3" s="361"/>
      <c r="D3" s="361"/>
      <c r="E3" s="361"/>
      <c r="F3" s="361"/>
      <c r="G3" s="361"/>
      <c r="H3" s="361"/>
      <c r="I3" s="362"/>
    </row>
    <row r="4" spans="2:11" ht="18" x14ac:dyDescent="0.55000000000000004">
      <c r="B4" s="360" t="s">
        <v>315</v>
      </c>
      <c r="C4" s="366"/>
      <c r="D4" s="366"/>
      <c r="E4" s="366"/>
      <c r="F4" s="366"/>
      <c r="G4" s="366"/>
      <c r="H4" s="366"/>
      <c r="I4" s="367"/>
    </row>
    <row r="5" spans="2:11" ht="15.75" x14ac:dyDescent="0.45">
      <c r="B5" s="363" t="s">
        <v>247</v>
      </c>
      <c r="C5" s="364"/>
      <c r="D5" s="364"/>
      <c r="E5" s="364"/>
      <c r="F5" s="364"/>
      <c r="G5" s="364"/>
      <c r="H5" s="364"/>
      <c r="I5" s="365"/>
    </row>
    <row r="6" spans="2:11" x14ac:dyDescent="0.45">
      <c r="B6" s="13"/>
      <c r="C6" s="5"/>
      <c r="D6" s="5"/>
      <c r="E6" s="5"/>
      <c r="F6" s="55"/>
      <c r="G6" s="5"/>
      <c r="H6" s="5"/>
      <c r="I6" s="14"/>
    </row>
    <row r="7" spans="2:11" ht="6" customHeight="1" x14ac:dyDescent="0.45">
      <c r="B7" s="11"/>
      <c r="C7" s="6"/>
      <c r="D7" s="12"/>
      <c r="E7" s="49"/>
      <c r="F7" s="317"/>
      <c r="G7" s="251"/>
      <c r="H7" s="251"/>
      <c r="I7" s="252"/>
      <c r="J7" s="253"/>
      <c r="K7" s="253"/>
    </row>
    <row r="8" spans="2:11" ht="16.5" x14ac:dyDescent="0.75">
      <c r="B8" s="11"/>
      <c r="C8" s="16" t="s">
        <v>15</v>
      </c>
      <c r="D8" s="46" t="s">
        <v>84</v>
      </c>
      <c r="E8" s="52" t="s">
        <v>27</v>
      </c>
      <c r="F8" s="315" t="s">
        <v>11</v>
      </c>
      <c r="G8" s="16"/>
      <c r="H8" s="16"/>
      <c r="I8" s="46"/>
    </row>
    <row r="9" spans="2:11" ht="16.5" x14ac:dyDescent="0.75">
      <c r="B9" s="11"/>
      <c r="C9" s="16" t="s">
        <v>92</v>
      </c>
      <c r="D9" s="46" t="s">
        <v>88</v>
      </c>
      <c r="E9" s="52" t="s">
        <v>86</v>
      </c>
      <c r="F9" s="315" t="s">
        <v>86</v>
      </c>
      <c r="G9" s="16" t="s">
        <v>28</v>
      </c>
      <c r="H9" s="16" t="s">
        <v>87</v>
      </c>
      <c r="I9" s="46"/>
    </row>
    <row r="10" spans="2:11" x14ac:dyDescent="0.45">
      <c r="B10" s="11"/>
      <c r="C10" s="17">
        <v>0</v>
      </c>
      <c r="D10" s="53" t="s">
        <v>89</v>
      </c>
      <c r="E10" s="319">
        <f>Rates!D$11</f>
        <v>26.72</v>
      </c>
      <c r="F10" s="247">
        <f>Rates!E$11+Rates!$E$23</f>
        <v>31.658107286443386</v>
      </c>
      <c r="G10" s="64">
        <f>F10-E10</f>
        <v>4.9381072864433868</v>
      </c>
      <c r="H10" s="96">
        <f>G10/E10</f>
        <v>0.1848094044327615</v>
      </c>
      <c r="I10" s="57"/>
    </row>
    <row r="11" spans="2:11" x14ac:dyDescent="0.45">
      <c r="B11" s="11"/>
      <c r="C11" s="6">
        <v>2000</v>
      </c>
      <c r="D11" s="53" t="s">
        <v>89</v>
      </c>
      <c r="E11" s="319">
        <f>Rates!D$11</f>
        <v>26.72</v>
      </c>
      <c r="F11" s="17">
        <f>Rates!E$11+Rates!$E$23</f>
        <v>31.658107286443386</v>
      </c>
      <c r="G11" s="17">
        <f t="shared" ref="G11:G25" si="0">F11-E11</f>
        <v>4.9381072864433868</v>
      </c>
      <c r="H11" s="96">
        <f t="shared" ref="H11:H25" si="1">G11/E11</f>
        <v>0.1848094044327615</v>
      </c>
      <c r="I11" s="57"/>
    </row>
    <row r="12" spans="2:11" x14ac:dyDescent="0.45">
      <c r="B12" s="11"/>
      <c r="C12" s="58">
        <v>4000</v>
      </c>
      <c r="D12" s="59" t="s">
        <v>89</v>
      </c>
      <c r="E12" s="318">
        <f>Rates!D$11+((C12-2000)/1000)*Rates!D$12</f>
        <v>47.54</v>
      </c>
      <c r="F12" s="318">
        <f>Rates!E$11+((C12-2000)/1000)*Rates!E$12+Rates!$E$23</f>
        <v>55.098107286443387</v>
      </c>
      <c r="G12" s="60">
        <f t="shared" si="0"/>
        <v>7.5581072864433878</v>
      </c>
      <c r="H12" s="97">
        <f t="shared" si="1"/>
        <v>0.1589841667320864</v>
      </c>
      <c r="I12" s="61"/>
    </row>
    <row r="13" spans="2:11" x14ac:dyDescent="0.45">
      <c r="B13" s="11"/>
      <c r="C13" s="6">
        <v>6000</v>
      </c>
      <c r="D13" s="53" t="s">
        <v>89</v>
      </c>
      <c r="E13" s="31">
        <f>Rates!D$11+((C13-2000)/1000)*Rates!D$12</f>
        <v>68.36</v>
      </c>
      <c r="F13" s="31">
        <f>Rates!E$11+((C13-2000)/1000)*Rates!E$12+Rates!$E$23</f>
        <v>78.538107286443378</v>
      </c>
      <c r="G13" s="17">
        <f t="shared" si="0"/>
        <v>10.178107286443378</v>
      </c>
      <c r="H13" s="96">
        <f t="shared" si="1"/>
        <v>0.14888980816915415</v>
      </c>
      <c r="I13" s="57"/>
    </row>
    <row r="14" spans="2:11" x14ac:dyDescent="0.45">
      <c r="B14" s="11"/>
      <c r="C14" s="6">
        <v>8000</v>
      </c>
      <c r="D14" s="53" t="s">
        <v>89</v>
      </c>
      <c r="E14" s="31">
        <f>Rates!D$11+((C14-2000)/1000)*Rates!D$12</f>
        <v>89.18</v>
      </c>
      <c r="F14" s="31">
        <f>Rates!E$11+((C14-2000)/1000)*Rates!E$12+Rates!$E$23</f>
        <v>101.97810728644339</v>
      </c>
      <c r="G14" s="17">
        <f t="shared" si="0"/>
        <v>12.798107286443383</v>
      </c>
      <c r="H14" s="96">
        <f t="shared" si="1"/>
        <v>0.14350871592782441</v>
      </c>
      <c r="I14" s="57"/>
    </row>
    <row r="15" spans="2:11" x14ac:dyDescent="0.45">
      <c r="B15" s="11"/>
      <c r="C15" s="6">
        <v>10000</v>
      </c>
      <c r="D15" s="53" t="s">
        <v>89</v>
      </c>
      <c r="E15" s="31">
        <f>Rates!D$11+((C15-2000)/1000)*Rates!D$12</f>
        <v>110</v>
      </c>
      <c r="F15" s="31">
        <f>Rates!E$11+((C15-2000)/1000)*Rates!E$12+Rates!$E$23</f>
        <v>125.41810728644339</v>
      </c>
      <c r="G15" s="17">
        <f t="shared" si="0"/>
        <v>15.418107286443387</v>
      </c>
      <c r="H15" s="96">
        <f t="shared" si="1"/>
        <v>0.14016461169493988</v>
      </c>
      <c r="I15" s="57"/>
    </row>
    <row r="16" spans="2:11" x14ac:dyDescent="0.45">
      <c r="B16" s="11"/>
      <c r="C16" s="6">
        <v>15000</v>
      </c>
      <c r="D16" s="53" t="s">
        <v>89</v>
      </c>
      <c r="E16" s="31">
        <f>Rates!D$11+((C16-2000)/1000)*Rates!D$12</f>
        <v>162.05000000000001</v>
      </c>
      <c r="F16" s="31">
        <f>Rates!E$11+((C16-2000)/1000)*Rates!E$12+Rates!$E$23</f>
        <v>184.01810728644341</v>
      </c>
      <c r="G16" s="17">
        <f t="shared" si="0"/>
        <v>21.968107286443399</v>
      </c>
      <c r="H16" s="96">
        <f t="shared" si="1"/>
        <v>0.13556375986697561</v>
      </c>
      <c r="I16" s="57"/>
    </row>
    <row r="17" spans="2:15" x14ac:dyDescent="0.45">
      <c r="B17" s="11"/>
      <c r="C17" s="6">
        <v>20000</v>
      </c>
      <c r="D17" s="53" t="s">
        <v>89</v>
      </c>
      <c r="E17" s="31">
        <f>Rates!D$11+((C17-2000)/1000)*Rates!D$12</f>
        <v>214.1</v>
      </c>
      <c r="F17" s="31">
        <f>Rates!E$11+((C17-2000)/1000)*Rates!E$12+Rates!$E$23</f>
        <v>242.6181072864434</v>
      </c>
      <c r="G17" s="17">
        <f t="shared" si="0"/>
        <v>28.51810728644341</v>
      </c>
      <c r="H17" s="96">
        <f t="shared" si="1"/>
        <v>0.13319994061860538</v>
      </c>
      <c r="I17" s="57"/>
    </row>
    <row r="18" spans="2:15" x14ac:dyDescent="0.45">
      <c r="B18" s="11"/>
      <c r="C18" s="6">
        <v>25000</v>
      </c>
      <c r="D18" s="54" t="s">
        <v>29</v>
      </c>
      <c r="E18" s="31">
        <f>Rates!D$11+(Rates!D$12*18)+((C18-20000)/1000)*Rates!D$13</f>
        <v>256.25</v>
      </c>
      <c r="F18" s="31">
        <f>Rates!E$11+(Rates!E$12*18)+((C18-20000)/1000)*Rates!E$13+Rates!$E$23</f>
        <v>290.06810728644336</v>
      </c>
      <c r="G18" s="17">
        <f t="shared" si="0"/>
        <v>33.818107286443365</v>
      </c>
      <c r="H18" s="96">
        <f t="shared" si="1"/>
        <v>0.13197310160563264</v>
      </c>
      <c r="I18" s="57"/>
    </row>
    <row r="19" spans="2:15" x14ac:dyDescent="0.45">
      <c r="B19" s="11"/>
      <c r="C19" s="6">
        <v>30000</v>
      </c>
      <c r="D19" s="54" t="s">
        <v>29</v>
      </c>
      <c r="E19" s="31">
        <f>Rates!D$11+(Rates!D$12*18)+((C19-20000)/1000)*Rates!D$13</f>
        <v>298.39999999999998</v>
      </c>
      <c r="F19" s="31">
        <f>Rates!E$11+(Rates!E$12*18)+((C19-20000)/1000)*Rates!E$13+Rates!$E$23</f>
        <v>337.51810728644341</v>
      </c>
      <c r="G19" s="17">
        <f t="shared" si="0"/>
        <v>39.118107286443433</v>
      </c>
      <c r="H19" s="96">
        <f t="shared" si="1"/>
        <v>0.13109285283660668</v>
      </c>
      <c r="I19" s="57"/>
      <c r="O19" s="6"/>
    </row>
    <row r="20" spans="2:15" x14ac:dyDescent="0.45">
      <c r="B20" s="11"/>
      <c r="C20" s="6">
        <v>40000</v>
      </c>
      <c r="D20" s="54" t="s">
        <v>29</v>
      </c>
      <c r="E20" s="31">
        <f>Rates!D$11+(Rates!D$12*18)+((C20-20000)/1000)*Rates!D$13</f>
        <v>382.7</v>
      </c>
      <c r="F20" s="31">
        <f>Rates!E$11+(Rates!E$12*18)+((C20-20000)/1000)*Rates!E$13+Rates!$E$23</f>
        <v>432.41810728644339</v>
      </c>
      <c r="G20" s="17">
        <f t="shared" si="0"/>
        <v>49.718107286443399</v>
      </c>
      <c r="H20" s="96">
        <f t="shared" si="1"/>
        <v>0.12991405091832611</v>
      </c>
      <c r="I20" s="57"/>
    </row>
    <row r="21" spans="2:15" x14ac:dyDescent="0.45">
      <c r="B21" s="11"/>
      <c r="C21" s="6">
        <v>50000</v>
      </c>
      <c r="D21" s="54" t="s">
        <v>29</v>
      </c>
      <c r="E21" s="31">
        <f>Rates!D$11+(Rates!D$12*18)+((C21-20000)/1000)*Rates!D$13</f>
        <v>467</v>
      </c>
      <c r="F21" s="31">
        <f>Rates!E$11+(Rates!E$12*18)+((C21-20000)/1000)*Rates!E$13+Rates!$E$23</f>
        <v>527.31810728644336</v>
      </c>
      <c r="G21" s="17">
        <f t="shared" si="0"/>
        <v>60.318107286443365</v>
      </c>
      <c r="H21" s="96">
        <f t="shared" si="1"/>
        <v>0.12916082930715925</v>
      </c>
      <c r="I21" s="57"/>
    </row>
    <row r="22" spans="2:15" x14ac:dyDescent="0.45">
      <c r="B22" s="11"/>
      <c r="C22" s="6">
        <v>75000</v>
      </c>
      <c r="D22" s="54" t="s">
        <v>30</v>
      </c>
      <c r="E22" s="31">
        <f>Rates!D$11+(Rates!D$12*18)+((C22-20000)/1000)*Rates!D$13</f>
        <v>677.75</v>
      </c>
      <c r="F22" s="31">
        <f>Rates!E$11+(Rates!E$12*18)+((C22-20000)/1000)*Rates!E$13+Rates!$E$23</f>
        <v>764.56810728644336</v>
      </c>
      <c r="G22" s="17">
        <f t="shared" si="0"/>
        <v>86.818107286443365</v>
      </c>
      <c r="H22" s="96">
        <f t="shared" si="1"/>
        <v>0.128097539338168</v>
      </c>
      <c r="I22" s="57"/>
    </row>
    <row r="23" spans="2:15" x14ac:dyDescent="0.45">
      <c r="B23" s="11"/>
      <c r="C23" s="6">
        <v>100000</v>
      </c>
      <c r="D23" s="54" t="s">
        <v>30</v>
      </c>
      <c r="E23" s="31">
        <f>Rates!D$11+(Rates!D$12*18)+((C23-20000)/1000)*Rates!D$13</f>
        <v>888.5</v>
      </c>
      <c r="F23" s="31">
        <f>Rates!E$11+(Rates!E$12*18)+((C23-20000)/1000)*Rates!E$13+Rates!$E$23</f>
        <v>1001.8181072864434</v>
      </c>
      <c r="G23" s="17">
        <f t="shared" si="0"/>
        <v>113.31810728644336</v>
      </c>
      <c r="H23" s="96">
        <f t="shared" si="1"/>
        <v>0.12753866886487716</v>
      </c>
      <c r="I23" s="57"/>
    </row>
    <row r="24" spans="2:15" x14ac:dyDescent="0.45">
      <c r="B24" s="11"/>
      <c r="C24" s="6">
        <v>200000</v>
      </c>
      <c r="D24" s="54" t="s">
        <v>30</v>
      </c>
      <c r="E24" s="31">
        <f>Rates!D$11+(Rates!D$12*18)+((C24-20000)/1000)*Rates!D$13</f>
        <v>1731.4999999999998</v>
      </c>
      <c r="F24" s="31">
        <f>Rates!E$11+(Rates!E$12*18)+((C24-20000)/1000)*Rates!E$13+Rates!$E$23</f>
        <v>1950.8181072864434</v>
      </c>
      <c r="G24" s="17">
        <f t="shared" si="0"/>
        <v>219.31810728644359</v>
      </c>
      <c r="H24" s="96">
        <f t="shared" si="1"/>
        <v>0.12666364844726746</v>
      </c>
      <c r="I24" s="57"/>
    </row>
    <row r="25" spans="2:15" x14ac:dyDescent="0.45">
      <c r="B25" s="11"/>
      <c r="C25" s="6">
        <v>500000</v>
      </c>
      <c r="D25" s="54" t="s">
        <v>30</v>
      </c>
      <c r="E25" s="31">
        <f>Rates!D$11+(Rates!D$12*18)+((C25-20000)/1000)*Rates!D$13</f>
        <v>4260.5</v>
      </c>
      <c r="F25" s="31">
        <f>Rates!E$11+(Rates!E$12*18)+((C25-20000)/1000)*Rates!E$13+Rates!$E$23</f>
        <v>4797.8181072864436</v>
      </c>
      <c r="G25" s="17">
        <f t="shared" si="0"/>
        <v>537.31810728644359</v>
      </c>
      <c r="H25" s="96">
        <f t="shared" si="1"/>
        <v>0.12611620872818768</v>
      </c>
      <c r="I25" s="57"/>
    </row>
    <row r="26" spans="2:15" ht="6" customHeight="1" x14ac:dyDescent="0.45">
      <c r="B26" s="13"/>
      <c r="C26" s="5"/>
      <c r="D26" s="4"/>
      <c r="E26" s="56"/>
      <c r="F26" s="55"/>
      <c r="G26" s="55"/>
      <c r="H26" s="5"/>
      <c r="I26" s="14"/>
    </row>
    <row r="28" spans="2:15" x14ac:dyDescent="0.45">
      <c r="D28" s="65" t="s">
        <v>93</v>
      </c>
    </row>
  </sheetData>
  <mergeCells count="4">
    <mergeCell ref="B2:I2"/>
    <mergeCell ref="B3:I3"/>
    <mergeCell ref="B5:I5"/>
    <mergeCell ref="B4:I4"/>
  </mergeCells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F004-73BD-4C2A-85DA-B682B48EA656}">
  <sheetPr>
    <pageSetUpPr fitToPage="1"/>
  </sheetPr>
  <dimension ref="A1:M46"/>
  <sheetViews>
    <sheetView showGridLines="0" topLeftCell="A8" workbookViewId="0">
      <selection activeCell="E32" sqref="E32"/>
    </sheetView>
  </sheetViews>
  <sheetFormatPr defaultRowHeight="15" x14ac:dyDescent="0.4"/>
  <cols>
    <col min="1" max="1" width="7.77734375" style="174" customWidth="1"/>
    <col min="2" max="2" width="8.21875" style="174" customWidth="1"/>
    <col min="3" max="3" width="25.88671875" style="174" customWidth="1"/>
    <col min="4" max="5" width="10.5" style="174" customWidth="1"/>
    <col min="6" max="6" width="11.1640625" style="174" customWidth="1"/>
    <col min="7" max="12" width="10.5" style="174" customWidth="1"/>
    <col min="13" max="13" width="13.109375" style="174" customWidth="1"/>
    <col min="14" max="16384" width="8.88671875" style="174"/>
  </cols>
  <sheetData>
    <row r="1" spans="1:13" ht="21" x14ac:dyDescent="0.65">
      <c r="A1" s="368" t="s">
        <v>163</v>
      </c>
      <c r="B1" s="368"/>
      <c r="C1" s="368"/>
      <c r="D1" s="368"/>
      <c r="E1" s="368"/>
      <c r="F1" s="368"/>
      <c r="G1" s="368"/>
    </row>
    <row r="2" spans="1:13" ht="18" x14ac:dyDescent="0.4">
      <c r="A2" s="369" t="s">
        <v>264</v>
      </c>
      <c r="B2" s="369"/>
      <c r="C2" s="369"/>
      <c r="D2" s="369"/>
      <c r="E2" s="369"/>
      <c r="F2" s="369"/>
      <c r="G2" s="369"/>
    </row>
    <row r="3" spans="1:13" x14ac:dyDescent="0.45">
      <c r="A3" s="25"/>
      <c r="B3" s="26"/>
      <c r="C3" s="26"/>
      <c r="D3" s="26"/>
      <c r="E3" s="26"/>
      <c r="F3" s="26"/>
      <c r="G3" s="26"/>
    </row>
    <row r="4" spans="1:13" ht="15.75" x14ac:dyDescent="0.45">
      <c r="A4" s="99"/>
      <c r="B4" s="186"/>
      <c r="C4" s="370" t="s">
        <v>54</v>
      </c>
      <c r="D4" s="370"/>
      <c r="E4" s="370"/>
      <c r="F4" s="370"/>
      <c r="G4" s="99"/>
      <c r="H4" s="186"/>
      <c r="I4" s="186"/>
      <c r="J4" s="186"/>
    </row>
    <row r="5" spans="1:13" x14ac:dyDescent="0.45">
      <c r="A5" s="99"/>
      <c r="B5" s="99"/>
      <c r="C5" s="204" t="s">
        <v>198</v>
      </c>
      <c r="D5" s="292" t="s">
        <v>58</v>
      </c>
      <c r="E5" s="292" t="s">
        <v>59</v>
      </c>
      <c r="F5" s="293" t="s">
        <v>62</v>
      </c>
      <c r="G5" s="179"/>
      <c r="H5" s="180"/>
      <c r="I5" s="186"/>
      <c r="J5" s="186"/>
    </row>
    <row r="6" spans="1:13" x14ac:dyDescent="0.45">
      <c r="A6" s="99"/>
      <c r="B6" s="99"/>
      <c r="C6" s="189" t="s">
        <v>164</v>
      </c>
      <c r="D6" s="190">
        <f>C20</f>
        <v>26575</v>
      </c>
      <c r="E6" s="191">
        <f>H20</f>
        <v>94030200</v>
      </c>
      <c r="F6" s="192">
        <f>F27</f>
        <v>1256570.21</v>
      </c>
      <c r="G6" s="193"/>
      <c r="H6" s="194"/>
      <c r="I6" s="195"/>
      <c r="J6" s="186"/>
      <c r="K6" s="175"/>
      <c r="L6" s="175"/>
      <c r="M6" s="175"/>
    </row>
    <row r="7" spans="1:13" ht="16.5" x14ac:dyDescent="0.75">
      <c r="A7" s="99"/>
      <c r="B7" s="99"/>
      <c r="C7" s="196" t="s">
        <v>165</v>
      </c>
      <c r="D7" s="213">
        <f>C32</f>
        <v>12</v>
      </c>
      <c r="E7" s="295">
        <f>D32</f>
        <v>57874000</v>
      </c>
      <c r="F7" s="214">
        <f>F32</f>
        <v>234968.43999999997</v>
      </c>
      <c r="G7" s="99"/>
      <c r="H7" s="186"/>
      <c r="I7" s="186"/>
      <c r="J7" s="186"/>
      <c r="K7" s="175"/>
      <c r="L7" s="175"/>
      <c r="M7" s="176"/>
    </row>
    <row r="8" spans="1:13" ht="15.75" customHeight="1" x14ac:dyDescent="0.45">
      <c r="A8" s="99"/>
      <c r="B8" s="99"/>
      <c r="C8" s="196" t="s">
        <v>199</v>
      </c>
      <c r="D8" s="191">
        <f>SUM(D6:D7)</f>
        <v>26587</v>
      </c>
      <c r="E8" s="191">
        <f>SUM(E6:E7)</f>
        <v>151904200</v>
      </c>
      <c r="F8" s="197">
        <f>SUM(F6:F7)</f>
        <v>1491538.65</v>
      </c>
      <c r="G8" s="99"/>
      <c r="H8" s="186"/>
      <c r="I8" s="186"/>
      <c r="J8" s="186"/>
      <c r="K8" s="175"/>
      <c r="L8" s="175"/>
      <c r="M8" s="175"/>
    </row>
    <row r="9" spans="1:13" ht="15" customHeight="1" x14ac:dyDescent="0.75">
      <c r="A9" s="99"/>
      <c r="B9" s="99"/>
      <c r="C9" s="196" t="s">
        <v>200</v>
      </c>
      <c r="D9" s="191"/>
      <c r="E9" s="191"/>
      <c r="F9" s="290">
        <v>-25774.11</v>
      </c>
      <c r="G9" s="99"/>
      <c r="H9" s="186"/>
      <c r="I9" s="186"/>
      <c r="J9" s="186"/>
      <c r="K9" s="175"/>
      <c r="L9" s="175"/>
      <c r="M9" s="175"/>
    </row>
    <row r="10" spans="1:13" x14ac:dyDescent="0.45">
      <c r="A10" s="99"/>
      <c r="B10" s="99"/>
      <c r="C10" s="198" t="s">
        <v>274</v>
      </c>
      <c r="D10" s="191"/>
      <c r="E10" s="191"/>
      <c r="F10" s="197">
        <f>F8+F9</f>
        <v>1465764.5399999998</v>
      </c>
      <c r="G10" s="99"/>
      <c r="H10" s="186"/>
      <c r="I10" s="186"/>
      <c r="J10" s="186"/>
    </row>
    <row r="11" spans="1:13" ht="16.5" x14ac:dyDescent="0.75">
      <c r="A11" s="99"/>
      <c r="B11" s="99"/>
      <c r="C11" s="198" t="s">
        <v>201</v>
      </c>
      <c r="D11" s="191"/>
      <c r="E11" s="191"/>
      <c r="F11" s="215">
        <f>SAO!D6</f>
        <v>1444027</v>
      </c>
      <c r="G11" s="99"/>
      <c r="H11" s="186"/>
      <c r="I11" s="186"/>
      <c r="J11" s="186"/>
    </row>
    <row r="12" spans="1:13" x14ac:dyDescent="0.45">
      <c r="A12" s="99"/>
      <c r="B12" s="99"/>
      <c r="C12" s="198" t="s">
        <v>202</v>
      </c>
      <c r="D12" s="191"/>
      <c r="E12" s="191"/>
      <c r="F12" s="197">
        <f>F10-F11</f>
        <v>21737.539999999804</v>
      </c>
      <c r="G12" s="99" t="s">
        <v>203</v>
      </c>
      <c r="H12" s="186"/>
      <c r="I12" s="186"/>
      <c r="J12" s="291"/>
    </row>
    <row r="13" spans="1:13" x14ac:dyDescent="0.45">
      <c r="A13" s="99"/>
      <c r="B13" s="99"/>
      <c r="C13" s="199"/>
      <c r="D13" s="192"/>
      <c r="E13" s="99"/>
      <c r="F13" s="99"/>
      <c r="G13" s="99"/>
      <c r="H13" s="186"/>
      <c r="I13" s="186"/>
      <c r="J13" s="186"/>
    </row>
    <row r="14" spans="1:13" x14ac:dyDescent="0.45">
      <c r="A14" s="177" t="s">
        <v>166</v>
      </c>
      <c r="B14" s="99"/>
      <c r="C14" s="99"/>
      <c r="D14" s="99"/>
      <c r="E14" s="99"/>
      <c r="F14" s="99"/>
      <c r="G14" s="99"/>
      <c r="H14" s="186"/>
      <c r="I14" s="186"/>
      <c r="J14" s="186"/>
    </row>
    <row r="15" spans="1:13" x14ac:dyDescent="0.45">
      <c r="A15" s="99"/>
      <c r="B15" s="99"/>
      <c r="C15" s="99"/>
      <c r="D15" s="179" t="s">
        <v>167</v>
      </c>
      <c r="E15" s="179" t="s">
        <v>55</v>
      </c>
      <c r="F15" s="179" t="s">
        <v>168</v>
      </c>
      <c r="G15" s="179" t="s">
        <v>56</v>
      </c>
      <c r="H15" s="99"/>
      <c r="I15" s="186"/>
    </row>
    <row r="16" spans="1:13" x14ac:dyDescent="0.45">
      <c r="A16" s="99"/>
      <c r="B16" s="179" t="s">
        <v>57</v>
      </c>
      <c r="C16" s="188" t="s">
        <v>58</v>
      </c>
      <c r="D16" s="200" t="s">
        <v>59</v>
      </c>
      <c r="E16" s="188">
        <f>B17</f>
        <v>2000</v>
      </c>
      <c r="F16" s="188">
        <f>B18</f>
        <v>18000</v>
      </c>
      <c r="G16" s="188">
        <f>B19</f>
        <v>20000</v>
      </c>
      <c r="H16" s="179" t="s">
        <v>60</v>
      </c>
      <c r="I16" s="186"/>
    </row>
    <row r="17" spans="1:10" x14ac:dyDescent="0.45">
      <c r="A17" s="201" t="s">
        <v>55</v>
      </c>
      <c r="B17" s="202">
        <v>2000</v>
      </c>
      <c r="C17" s="24">
        <v>11579</v>
      </c>
      <c r="D17" s="24">
        <v>9596600</v>
      </c>
      <c r="E17" s="24">
        <f>D17</f>
        <v>9596600</v>
      </c>
      <c r="F17" s="24">
        <v>0</v>
      </c>
      <c r="G17" s="24">
        <v>0</v>
      </c>
      <c r="H17" s="24">
        <f>SUM(E17:G17)</f>
        <v>9596600</v>
      </c>
      <c r="I17" s="186"/>
    </row>
    <row r="18" spans="1:10" x14ac:dyDescent="0.45">
      <c r="A18" s="201" t="s">
        <v>168</v>
      </c>
      <c r="B18" s="203">
        <v>18000</v>
      </c>
      <c r="C18" s="24">
        <v>14643</v>
      </c>
      <c r="D18" s="24">
        <v>67145900</v>
      </c>
      <c r="E18" s="24">
        <f>C18*2000</f>
        <v>29286000</v>
      </c>
      <c r="F18" s="24">
        <f>D18-E18</f>
        <v>37859900</v>
      </c>
      <c r="G18" s="24">
        <v>0</v>
      </c>
      <c r="H18" s="24">
        <f>SUM(E18:G18)</f>
        <v>67145900</v>
      </c>
      <c r="I18" s="186"/>
    </row>
    <row r="19" spans="1:10" x14ac:dyDescent="0.45">
      <c r="A19" s="201" t="s">
        <v>56</v>
      </c>
      <c r="B19" s="203">
        <v>20000</v>
      </c>
      <c r="C19" s="24">
        <v>353</v>
      </c>
      <c r="D19" s="24">
        <v>17287700</v>
      </c>
      <c r="E19" s="24">
        <f>C19*2000</f>
        <v>706000</v>
      </c>
      <c r="F19" s="24">
        <f>C19*18000</f>
        <v>6354000</v>
      </c>
      <c r="G19" s="24">
        <f>D19-E19-F19</f>
        <v>10227700</v>
      </c>
      <c r="H19" s="24">
        <f>SUM(E19:G19)</f>
        <v>17287700</v>
      </c>
      <c r="I19" s="186"/>
    </row>
    <row r="20" spans="1:10" x14ac:dyDescent="0.45">
      <c r="A20" s="201"/>
      <c r="B20" s="203"/>
      <c r="C20" s="24">
        <f t="shared" ref="C20:H20" si="0">SUM(C17:C19)</f>
        <v>26575</v>
      </c>
      <c r="D20" s="24">
        <f t="shared" si="0"/>
        <v>94030200</v>
      </c>
      <c r="E20" s="24">
        <f t="shared" si="0"/>
        <v>39588600</v>
      </c>
      <c r="F20" s="24">
        <f t="shared" si="0"/>
        <v>44213900</v>
      </c>
      <c r="G20" s="24">
        <f t="shared" si="0"/>
        <v>10227700</v>
      </c>
      <c r="H20" s="24">
        <f t="shared" si="0"/>
        <v>94030200</v>
      </c>
      <c r="I20" s="186"/>
    </row>
    <row r="21" spans="1:10" x14ac:dyDescent="0.45">
      <c r="A21" s="201"/>
      <c r="B21" s="203"/>
      <c r="C21" s="99"/>
      <c r="D21" s="203"/>
      <c r="E21" s="203"/>
      <c r="F21" s="203"/>
      <c r="G21" s="203"/>
      <c r="H21" s="186"/>
      <c r="I21" s="186"/>
      <c r="J21" s="186"/>
    </row>
    <row r="22" spans="1:10" x14ac:dyDescent="0.45">
      <c r="A22" s="204" t="s">
        <v>169</v>
      </c>
      <c r="B22" s="204"/>
      <c r="C22" s="99"/>
      <c r="D22" s="203"/>
      <c r="E22" s="203"/>
      <c r="F22" s="203"/>
      <c r="G22" s="203"/>
      <c r="H22" s="186"/>
      <c r="I22" s="186"/>
      <c r="J22" s="186"/>
    </row>
    <row r="23" spans="1:10" ht="28.5" x14ac:dyDescent="0.45">
      <c r="A23" s="201"/>
      <c r="B23" s="99"/>
      <c r="C23" s="188" t="s">
        <v>58</v>
      </c>
      <c r="D23" s="205" t="s">
        <v>170</v>
      </c>
      <c r="E23" s="205" t="s">
        <v>61</v>
      </c>
      <c r="F23" s="205" t="s">
        <v>62</v>
      </c>
      <c r="G23" s="99"/>
      <c r="H23" s="186"/>
      <c r="I23" s="186"/>
      <c r="J23" s="186"/>
    </row>
    <row r="24" spans="1:10" x14ac:dyDescent="0.45">
      <c r="A24" s="201" t="s">
        <v>55</v>
      </c>
      <c r="B24" s="203">
        <v>2000</v>
      </c>
      <c r="C24" s="207">
        <f>26575</f>
        <v>26575</v>
      </c>
      <c r="D24" s="24">
        <f>E20</f>
        <v>39588600</v>
      </c>
      <c r="E24" s="40">
        <f>Rates!D11</f>
        <v>26.72</v>
      </c>
      <c r="F24" s="40">
        <f>C24*E24</f>
        <v>710084</v>
      </c>
      <c r="G24" s="99"/>
      <c r="H24" s="186"/>
      <c r="I24" s="186"/>
      <c r="J24" s="186"/>
    </row>
    <row r="25" spans="1:10" x14ac:dyDescent="0.45">
      <c r="A25" s="201" t="s">
        <v>168</v>
      </c>
      <c r="B25" s="203">
        <v>18000</v>
      </c>
      <c r="C25" s="207"/>
      <c r="D25" s="24">
        <f>F20</f>
        <v>44213900</v>
      </c>
      <c r="E25" s="40">
        <f>Rates!D12</f>
        <v>10.41</v>
      </c>
      <c r="F25" s="40">
        <f>(D25/1000)*E25</f>
        <v>460266.69900000002</v>
      </c>
      <c r="G25" s="99"/>
      <c r="H25" s="186"/>
      <c r="I25" s="186"/>
      <c r="J25" s="186"/>
    </row>
    <row r="26" spans="1:10" x14ac:dyDescent="0.45">
      <c r="A26" s="201" t="s">
        <v>56</v>
      </c>
      <c r="B26" s="203">
        <v>20000</v>
      </c>
      <c r="C26" s="208"/>
      <c r="D26" s="190">
        <f>G20</f>
        <v>10227700</v>
      </c>
      <c r="E26" s="40">
        <f>Rates!D13</f>
        <v>8.43</v>
      </c>
      <c r="F26" s="40">
        <f>(D26/1000)*E26</f>
        <v>86219.510999999999</v>
      </c>
      <c r="G26" s="99"/>
      <c r="H26" s="186"/>
      <c r="I26" s="186"/>
      <c r="J26" s="186"/>
    </row>
    <row r="27" spans="1:10" x14ac:dyDescent="0.45">
      <c r="A27" s="201"/>
      <c r="B27" s="206" t="s">
        <v>60</v>
      </c>
      <c r="C27" s="24">
        <f>SUM(C24:C26)</f>
        <v>26575</v>
      </c>
      <c r="D27" s="24">
        <f>SUM(D24:D26)</f>
        <v>94030200</v>
      </c>
      <c r="E27" s="24"/>
      <c r="F27" s="209">
        <f>SUM(F24:F26)</f>
        <v>1256570.21</v>
      </c>
      <c r="G27" s="99"/>
      <c r="H27" s="186"/>
      <c r="I27" s="186"/>
      <c r="J27" s="186"/>
    </row>
    <row r="28" spans="1:10" x14ac:dyDescent="0.45">
      <c r="A28" s="99"/>
      <c r="B28" s="99"/>
      <c r="C28" s="99"/>
      <c r="D28" s="99"/>
      <c r="E28" s="99"/>
      <c r="F28" s="99"/>
      <c r="G28" s="99"/>
      <c r="H28" s="186"/>
      <c r="I28" s="186"/>
      <c r="J28" s="186"/>
    </row>
    <row r="29" spans="1:10" x14ac:dyDescent="0.45">
      <c r="A29" s="177" t="s">
        <v>91</v>
      </c>
      <c r="B29" s="99"/>
      <c r="C29" s="99"/>
      <c r="D29" s="99"/>
      <c r="E29" s="99"/>
      <c r="F29" s="99"/>
      <c r="G29" s="99"/>
      <c r="H29" s="186"/>
      <c r="I29" s="186"/>
      <c r="J29" s="186"/>
    </row>
    <row r="30" spans="1:10" x14ac:dyDescent="0.45">
      <c r="A30" s="99"/>
      <c r="B30" s="99"/>
      <c r="C30" s="99"/>
      <c r="D30" s="99"/>
      <c r="E30" s="99"/>
      <c r="F30" s="99"/>
      <c r="G30" s="99"/>
      <c r="H30" s="186"/>
      <c r="I30" s="186"/>
      <c r="J30" s="186"/>
    </row>
    <row r="31" spans="1:10" ht="28.5" x14ac:dyDescent="0.45">
      <c r="A31" s="99"/>
      <c r="B31" s="99"/>
      <c r="C31" s="179" t="s">
        <v>58</v>
      </c>
      <c r="D31" s="205" t="s">
        <v>170</v>
      </c>
      <c r="E31" s="188" t="s">
        <v>61</v>
      </c>
      <c r="F31" s="188" t="s">
        <v>62</v>
      </c>
      <c r="G31" s="99"/>
      <c r="H31" s="99"/>
      <c r="I31" s="186"/>
      <c r="J31" s="186"/>
    </row>
    <row r="32" spans="1:10" s="178" customFormat="1" ht="14.25" x14ac:dyDescent="0.4">
      <c r="A32" s="210" t="s">
        <v>171</v>
      </c>
      <c r="B32" s="210"/>
      <c r="C32" s="211">
        <v>12</v>
      </c>
      <c r="D32" s="294">
        <v>57874000</v>
      </c>
      <c r="E32" s="212">
        <f>Rates!D18</f>
        <v>4.0599999999999996</v>
      </c>
      <c r="F32" s="212">
        <f>(D32/1000)*E32</f>
        <v>234968.43999999997</v>
      </c>
      <c r="G32" s="210"/>
      <c r="H32" s="210"/>
      <c r="I32" s="210"/>
      <c r="J32" s="210"/>
    </row>
    <row r="33" spans="1:10" x14ac:dyDescent="0.4">
      <c r="A33" s="186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x14ac:dyDescent="0.4">
      <c r="A34" s="186"/>
      <c r="B34" s="186"/>
      <c r="C34" s="186"/>
      <c r="D34" s="186"/>
      <c r="E34" s="186"/>
      <c r="F34" s="186"/>
      <c r="G34" s="186"/>
      <c r="H34" s="186"/>
      <c r="I34" s="186"/>
      <c r="J34" s="186"/>
    </row>
    <row r="35" spans="1:10" x14ac:dyDescent="0.4">
      <c r="A35" s="186"/>
      <c r="B35" s="186"/>
      <c r="C35" s="186"/>
      <c r="D35" s="186"/>
      <c r="E35" s="186"/>
      <c r="F35" s="186"/>
      <c r="G35" s="186"/>
      <c r="H35" s="186"/>
      <c r="I35" s="186"/>
      <c r="J35" s="186"/>
    </row>
    <row r="36" spans="1:10" x14ac:dyDescent="0.4">
      <c r="A36" s="186"/>
      <c r="B36" s="186"/>
      <c r="C36" s="186"/>
      <c r="D36" s="186"/>
      <c r="E36" s="186"/>
      <c r="F36" s="186"/>
      <c r="G36" s="186"/>
      <c r="H36" s="186"/>
      <c r="I36" s="186"/>
      <c r="J36" s="186"/>
    </row>
    <row r="37" spans="1:10" x14ac:dyDescent="0.4">
      <c r="A37" s="186"/>
      <c r="B37" s="186"/>
      <c r="C37" s="186"/>
      <c r="D37" s="186"/>
      <c r="E37" s="186"/>
      <c r="F37" s="186"/>
      <c r="G37" s="186"/>
      <c r="H37" s="186"/>
      <c r="I37" s="186"/>
      <c r="J37" s="186"/>
    </row>
    <row r="38" spans="1:10" x14ac:dyDescent="0.4">
      <c r="A38" s="186"/>
      <c r="B38" s="186"/>
      <c r="C38" s="186"/>
      <c r="D38" s="186"/>
      <c r="E38" s="186"/>
      <c r="F38" s="186"/>
      <c r="G38" s="186"/>
      <c r="H38" s="186"/>
      <c r="I38" s="186"/>
      <c r="J38" s="186"/>
    </row>
    <row r="39" spans="1:10" x14ac:dyDescent="0.4">
      <c r="A39" s="186"/>
      <c r="B39" s="186"/>
      <c r="C39" s="186"/>
      <c r="D39" s="186"/>
      <c r="E39" s="186"/>
      <c r="F39" s="186"/>
      <c r="G39" s="186"/>
      <c r="H39" s="186"/>
      <c r="I39" s="186"/>
      <c r="J39" s="186"/>
    </row>
    <row r="40" spans="1:10" x14ac:dyDescent="0.4">
      <c r="A40" s="186"/>
      <c r="B40" s="186"/>
      <c r="C40" s="186"/>
      <c r="D40" s="186"/>
      <c r="E40" s="186"/>
      <c r="F40" s="186"/>
      <c r="G40" s="186"/>
      <c r="H40" s="186"/>
      <c r="I40" s="186"/>
      <c r="J40" s="186"/>
    </row>
    <row r="41" spans="1:10" x14ac:dyDescent="0.4">
      <c r="A41" s="186"/>
      <c r="B41" s="186"/>
      <c r="C41" s="186"/>
      <c r="D41" s="186"/>
      <c r="E41" s="186"/>
      <c r="F41" s="186"/>
      <c r="G41" s="186"/>
      <c r="H41" s="186"/>
      <c r="I41" s="186"/>
      <c r="J41" s="186"/>
    </row>
    <row r="42" spans="1:10" x14ac:dyDescent="0.4">
      <c r="A42" s="186"/>
      <c r="B42" s="186"/>
      <c r="C42" s="186"/>
      <c r="D42" s="186"/>
      <c r="E42" s="186"/>
      <c r="F42" s="186"/>
      <c r="G42" s="186"/>
      <c r="H42" s="186"/>
      <c r="I42" s="186"/>
      <c r="J42" s="186"/>
    </row>
    <row r="43" spans="1:10" x14ac:dyDescent="0.4">
      <c r="A43" s="186"/>
      <c r="B43" s="186"/>
      <c r="C43" s="186"/>
      <c r="D43" s="186"/>
      <c r="E43" s="186"/>
      <c r="F43" s="186"/>
      <c r="G43" s="186"/>
      <c r="H43" s="186"/>
      <c r="I43" s="186"/>
      <c r="J43" s="186"/>
    </row>
    <row r="44" spans="1:10" x14ac:dyDescent="0.4">
      <c r="A44" s="186"/>
      <c r="B44" s="186"/>
      <c r="C44" s="186"/>
      <c r="D44" s="186"/>
      <c r="E44" s="186"/>
      <c r="F44" s="186"/>
      <c r="G44" s="186"/>
      <c r="H44" s="186"/>
      <c r="I44" s="186"/>
      <c r="J44" s="186"/>
    </row>
    <row r="45" spans="1:10" x14ac:dyDescent="0.4">
      <c r="A45" s="186"/>
      <c r="B45" s="186"/>
      <c r="C45" s="186"/>
      <c r="D45" s="186"/>
      <c r="E45" s="186"/>
      <c r="F45" s="186"/>
      <c r="G45" s="186"/>
      <c r="H45" s="186"/>
      <c r="I45" s="186"/>
      <c r="J45" s="186"/>
    </row>
    <row r="46" spans="1:10" x14ac:dyDescent="0.4">
      <c r="A46" s="186"/>
      <c r="B46" s="186"/>
      <c r="C46" s="186"/>
      <c r="D46" s="186"/>
      <c r="E46" s="186"/>
      <c r="F46" s="186"/>
      <c r="G46" s="186"/>
      <c r="H46" s="186"/>
      <c r="I46" s="186"/>
      <c r="J46" s="186"/>
    </row>
  </sheetData>
  <mergeCells count="3">
    <mergeCell ref="A1:G1"/>
    <mergeCell ref="A2:G2"/>
    <mergeCell ref="C4:F4"/>
  </mergeCells>
  <pageMargins left="0.7" right="0.7" top="0.75" bottom="0.75" header="0.3" footer="0.3"/>
  <pageSetup scale="88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1388-AB01-4CAE-A21B-D2708C228A39}">
  <sheetPr>
    <pageSetUpPr fitToPage="1"/>
  </sheetPr>
  <dimension ref="A1:L46"/>
  <sheetViews>
    <sheetView showGridLines="0" topLeftCell="A6" workbookViewId="0">
      <selection activeCell="J12" sqref="J12"/>
    </sheetView>
  </sheetViews>
  <sheetFormatPr defaultRowHeight="15" x14ac:dyDescent="0.4"/>
  <cols>
    <col min="1" max="1" width="7.77734375" style="174" customWidth="1"/>
    <col min="2" max="2" width="8.21875" style="174" customWidth="1"/>
    <col min="3" max="3" width="25.88671875" style="174" customWidth="1"/>
    <col min="4" max="5" width="10.5" style="174" customWidth="1"/>
    <col min="6" max="6" width="11.1640625" style="174" customWidth="1"/>
    <col min="7" max="11" width="10.5" style="174" customWidth="1"/>
    <col min="12" max="12" width="13.109375" style="174" customWidth="1"/>
    <col min="13" max="16384" width="8.88671875" style="174"/>
  </cols>
  <sheetData>
    <row r="1" spans="1:12" ht="21" x14ac:dyDescent="0.65">
      <c r="A1" s="368" t="s">
        <v>263</v>
      </c>
      <c r="B1" s="368"/>
      <c r="C1" s="368"/>
      <c r="D1" s="368"/>
      <c r="E1" s="368"/>
      <c r="F1" s="368"/>
      <c r="G1" s="368"/>
    </row>
    <row r="2" spans="1:12" ht="18" x14ac:dyDescent="0.4">
      <c r="A2" s="369" t="s">
        <v>265</v>
      </c>
      <c r="B2" s="369"/>
      <c r="C2" s="369"/>
      <c r="D2" s="369"/>
      <c r="E2" s="369"/>
      <c r="F2" s="369"/>
      <c r="G2" s="369"/>
    </row>
    <row r="3" spans="1:12" x14ac:dyDescent="0.45">
      <c r="A3" s="25"/>
      <c r="B3" s="26"/>
      <c r="C3" s="26"/>
      <c r="D3" s="26"/>
      <c r="E3" s="26"/>
      <c r="F3" s="26"/>
      <c r="G3" s="26"/>
    </row>
    <row r="4" spans="1:12" ht="15.75" x14ac:dyDescent="0.45">
      <c r="A4" s="99"/>
      <c r="B4" s="186"/>
      <c r="C4" s="370" t="s">
        <v>54</v>
      </c>
      <c r="D4" s="370"/>
      <c r="E4" s="370"/>
      <c r="F4" s="370"/>
      <c r="G4" s="99"/>
      <c r="H4" s="186"/>
      <c r="I4" s="186"/>
    </row>
    <row r="5" spans="1:12" x14ac:dyDescent="0.45">
      <c r="A5" s="99"/>
      <c r="B5" s="99"/>
      <c r="C5" s="187" t="s">
        <v>198</v>
      </c>
      <c r="D5" s="188" t="s">
        <v>58</v>
      </c>
      <c r="E5" s="188" t="s">
        <v>59</v>
      </c>
      <c r="F5" s="179" t="s">
        <v>62</v>
      </c>
      <c r="G5" s="179"/>
      <c r="H5" s="180"/>
      <c r="I5" s="186"/>
    </row>
    <row r="6" spans="1:12" x14ac:dyDescent="0.45">
      <c r="A6" s="99"/>
      <c r="B6" s="99"/>
      <c r="C6" s="189" t="s">
        <v>164</v>
      </c>
      <c r="D6" s="190">
        <f>C20</f>
        <v>26575</v>
      </c>
      <c r="E6" s="191">
        <f>H20</f>
        <v>94030200</v>
      </c>
      <c r="F6" s="192">
        <f>F27</f>
        <v>1414889.531</v>
      </c>
      <c r="G6" s="193"/>
      <c r="H6" s="194"/>
      <c r="I6" s="195"/>
      <c r="J6" s="175"/>
      <c r="K6" s="175"/>
      <c r="L6" s="175"/>
    </row>
    <row r="7" spans="1:12" ht="16.5" x14ac:dyDescent="0.75">
      <c r="A7" s="99"/>
      <c r="B7" s="99"/>
      <c r="C7" s="196" t="s">
        <v>165</v>
      </c>
      <c r="D7" s="213">
        <f>C32</f>
        <v>12</v>
      </c>
      <c r="E7" s="213">
        <f>D32</f>
        <v>57874000</v>
      </c>
      <c r="F7" s="214">
        <f>F32</f>
        <v>264484.18</v>
      </c>
      <c r="G7" s="99"/>
      <c r="H7" s="186"/>
      <c r="I7" s="186"/>
      <c r="J7" s="175"/>
      <c r="K7" s="175"/>
      <c r="L7" s="176"/>
    </row>
    <row r="8" spans="1:12" ht="15.75" customHeight="1" x14ac:dyDescent="0.45">
      <c r="A8" s="99"/>
      <c r="B8" s="99"/>
      <c r="C8" s="196" t="s">
        <v>199</v>
      </c>
      <c r="D8" s="191">
        <f>SUM(D6:D7)</f>
        <v>26587</v>
      </c>
      <c r="E8" s="191">
        <f>SUM(E6:E7)</f>
        <v>151904200</v>
      </c>
      <c r="F8" s="197">
        <f>SUM(F6:F7)</f>
        <v>1679373.7109999999</v>
      </c>
      <c r="G8" s="99"/>
      <c r="H8" s="186"/>
      <c r="I8" s="186"/>
      <c r="J8" s="175"/>
      <c r="K8" s="175"/>
      <c r="L8" s="175"/>
    </row>
    <row r="9" spans="1:12" ht="15.75" customHeight="1" x14ac:dyDescent="0.75">
      <c r="A9" s="99"/>
      <c r="B9" s="99"/>
      <c r="C9" s="196" t="s">
        <v>266</v>
      </c>
      <c r="D9" s="191"/>
      <c r="E9" s="191"/>
      <c r="F9" s="215">
        <f>ExBA!F9</f>
        <v>-25774.11</v>
      </c>
      <c r="G9" s="99"/>
      <c r="H9" s="186"/>
      <c r="I9" s="186"/>
      <c r="J9" s="175"/>
      <c r="K9" s="175"/>
      <c r="L9" s="175"/>
    </row>
    <row r="10" spans="1:12" ht="15.75" customHeight="1" x14ac:dyDescent="0.75">
      <c r="A10" s="99"/>
      <c r="B10" s="99"/>
      <c r="C10" s="196" t="s">
        <v>267</v>
      </c>
      <c r="E10" s="191"/>
      <c r="F10" s="213">
        <f>F8+F9</f>
        <v>1653599.6009999998</v>
      </c>
      <c r="G10" s="282">
        <f>SAO!G50</f>
        <v>1650396.7716581712</v>
      </c>
      <c r="H10" s="210" t="s">
        <v>268</v>
      </c>
      <c r="I10" s="210"/>
      <c r="J10" s="280">
        <f>F10-G10</f>
        <v>3202.8293418285903</v>
      </c>
      <c r="K10" s="281">
        <f>J10/G10</f>
        <v>1.9406420303468442E-3</v>
      </c>
      <c r="L10" s="175"/>
    </row>
    <row r="11" spans="1:12" ht="15.75" customHeight="1" x14ac:dyDescent="0.45">
      <c r="A11" s="99"/>
      <c r="B11" s="99"/>
      <c r="C11" s="196"/>
      <c r="D11" s="191"/>
      <c r="E11" s="191"/>
      <c r="F11" s="197"/>
      <c r="G11" s="99"/>
      <c r="H11" s="186"/>
      <c r="I11" s="186"/>
      <c r="J11" s="175"/>
      <c r="K11" s="175"/>
      <c r="L11" s="175"/>
    </row>
    <row r="12" spans="1:12" x14ac:dyDescent="0.45">
      <c r="A12" s="99"/>
      <c r="B12" s="99"/>
      <c r="C12" s="198"/>
      <c r="D12" s="191"/>
      <c r="E12" s="191"/>
      <c r="F12" s="197"/>
      <c r="G12" s="99"/>
      <c r="H12" s="186"/>
      <c r="I12" s="186"/>
    </row>
    <row r="13" spans="1:12" x14ac:dyDescent="0.45">
      <c r="A13" s="99"/>
      <c r="B13" s="99"/>
      <c r="C13" s="199"/>
      <c r="D13" s="192"/>
      <c r="E13" s="99"/>
      <c r="F13" s="99"/>
      <c r="G13" s="99"/>
      <c r="H13" s="186"/>
      <c r="I13" s="186"/>
    </row>
    <row r="14" spans="1:12" x14ac:dyDescent="0.45">
      <c r="A14" s="177" t="s">
        <v>166</v>
      </c>
      <c r="B14" s="99"/>
      <c r="C14" s="99"/>
      <c r="D14" s="99"/>
      <c r="E14" s="99"/>
      <c r="F14" s="99"/>
      <c r="G14" s="99"/>
      <c r="H14" s="186"/>
      <c r="I14" s="186"/>
    </row>
    <row r="15" spans="1:12" x14ac:dyDescent="0.45">
      <c r="A15" s="99"/>
      <c r="B15" s="99"/>
      <c r="C15" s="99"/>
      <c r="D15" s="179" t="s">
        <v>167</v>
      </c>
      <c r="E15" s="179" t="s">
        <v>55</v>
      </c>
      <c r="F15" s="179" t="s">
        <v>168</v>
      </c>
      <c r="G15" s="179" t="s">
        <v>56</v>
      </c>
      <c r="H15" s="99"/>
      <c r="I15" s="186"/>
    </row>
    <row r="16" spans="1:12" x14ac:dyDescent="0.45">
      <c r="A16" s="99"/>
      <c r="B16" s="179" t="s">
        <v>57</v>
      </c>
      <c r="C16" s="188" t="s">
        <v>58</v>
      </c>
      <c r="D16" s="200" t="s">
        <v>59</v>
      </c>
      <c r="E16" s="188">
        <f>B17</f>
        <v>2000</v>
      </c>
      <c r="F16" s="188">
        <f>B18</f>
        <v>18000</v>
      </c>
      <c r="G16" s="188">
        <f>B19</f>
        <v>20000</v>
      </c>
      <c r="H16" s="179" t="s">
        <v>60</v>
      </c>
      <c r="I16" s="186"/>
    </row>
    <row r="17" spans="1:9" x14ac:dyDescent="0.45">
      <c r="A17" s="201" t="s">
        <v>55</v>
      </c>
      <c r="B17" s="202">
        <v>2000</v>
      </c>
      <c r="C17" s="24">
        <f>ExBA!C17</f>
        <v>11579</v>
      </c>
      <c r="D17" s="24">
        <f>ExBA!D17</f>
        <v>9596600</v>
      </c>
      <c r="E17" s="24">
        <f>D17</f>
        <v>9596600</v>
      </c>
      <c r="F17" s="24">
        <v>0</v>
      </c>
      <c r="G17" s="24">
        <v>0</v>
      </c>
      <c r="H17" s="24">
        <f>SUM(E17:G17)</f>
        <v>9596600</v>
      </c>
      <c r="I17" s="186"/>
    </row>
    <row r="18" spans="1:9" x14ac:dyDescent="0.45">
      <c r="A18" s="201" t="s">
        <v>168</v>
      </c>
      <c r="B18" s="203">
        <v>18000</v>
      </c>
      <c r="C18" s="24">
        <f>ExBA!C18</f>
        <v>14643</v>
      </c>
      <c r="D18" s="24">
        <f>ExBA!D18</f>
        <v>67145900</v>
      </c>
      <c r="E18" s="24">
        <f>C18*2000</f>
        <v>29286000</v>
      </c>
      <c r="F18" s="24">
        <f>D18-E18</f>
        <v>37859900</v>
      </c>
      <c r="G18" s="24">
        <v>0</v>
      </c>
      <c r="H18" s="24">
        <f>SUM(E18:G18)</f>
        <v>67145900</v>
      </c>
      <c r="I18" s="186"/>
    </row>
    <row r="19" spans="1:9" x14ac:dyDescent="0.45">
      <c r="A19" s="201" t="s">
        <v>56</v>
      </c>
      <c r="B19" s="203">
        <v>20000</v>
      </c>
      <c r="C19" s="24">
        <f>ExBA!C19</f>
        <v>353</v>
      </c>
      <c r="D19" s="24">
        <f>ExBA!D19</f>
        <v>17287700</v>
      </c>
      <c r="E19" s="24">
        <f>C19*2000</f>
        <v>706000</v>
      </c>
      <c r="F19" s="24">
        <f>C19*18000</f>
        <v>6354000</v>
      </c>
      <c r="G19" s="24">
        <f>D19-E19-F19</f>
        <v>10227700</v>
      </c>
      <c r="H19" s="24">
        <f>SUM(E19:G19)</f>
        <v>17287700</v>
      </c>
      <c r="I19" s="186"/>
    </row>
    <row r="20" spans="1:9" x14ac:dyDescent="0.45">
      <c r="A20" s="201"/>
      <c r="B20" s="203"/>
      <c r="C20" s="24">
        <f t="shared" ref="C20:H20" si="0">SUM(C17:C19)</f>
        <v>26575</v>
      </c>
      <c r="D20" s="24">
        <f t="shared" si="0"/>
        <v>94030200</v>
      </c>
      <c r="E20" s="24">
        <f t="shared" si="0"/>
        <v>39588600</v>
      </c>
      <c r="F20" s="24">
        <f t="shared" si="0"/>
        <v>44213900</v>
      </c>
      <c r="G20" s="24">
        <f t="shared" si="0"/>
        <v>10227700</v>
      </c>
      <c r="H20" s="24">
        <f t="shared" si="0"/>
        <v>94030200</v>
      </c>
      <c r="I20" s="186"/>
    </row>
    <row r="21" spans="1:9" x14ac:dyDescent="0.45">
      <c r="A21" s="201"/>
      <c r="B21" s="203"/>
      <c r="C21" s="99"/>
      <c r="D21" s="203"/>
      <c r="E21" s="203"/>
      <c r="F21" s="203"/>
      <c r="G21" s="203"/>
      <c r="H21" s="186"/>
      <c r="I21" s="186"/>
    </row>
    <row r="22" spans="1:9" x14ac:dyDescent="0.45">
      <c r="A22" s="204" t="s">
        <v>169</v>
      </c>
      <c r="B22" s="204"/>
      <c r="C22" s="99"/>
      <c r="D22" s="203"/>
      <c r="E22" s="203"/>
      <c r="F22" s="203"/>
      <c r="G22" s="203"/>
      <c r="H22" s="186"/>
      <c r="I22" s="186"/>
    </row>
    <row r="23" spans="1:9" ht="28.5" x14ac:dyDescent="0.45">
      <c r="A23" s="201"/>
      <c r="B23" s="99"/>
      <c r="C23" s="188" t="s">
        <v>58</v>
      </c>
      <c r="D23" s="205" t="s">
        <v>170</v>
      </c>
      <c r="E23" s="205" t="s">
        <v>61</v>
      </c>
      <c r="F23" s="205" t="s">
        <v>62</v>
      </c>
      <c r="G23" s="99"/>
      <c r="H23" s="186"/>
      <c r="I23" s="186"/>
    </row>
    <row r="24" spans="1:9" x14ac:dyDescent="0.45">
      <c r="A24" s="201" t="s">
        <v>55</v>
      </c>
      <c r="B24" s="203">
        <v>2000</v>
      </c>
      <c r="C24" s="207">
        <f>C20</f>
        <v>26575</v>
      </c>
      <c r="D24" s="24">
        <f>E20</f>
        <v>39588600</v>
      </c>
      <c r="E24" s="40">
        <f>Rates!E11</f>
        <v>30.09</v>
      </c>
      <c r="F24" s="40">
        <f>C24*E24</f>
        <v>799641.75</v>
      </c>
      <c r="G24" s="99"/>
      <c r="H24" s="186"/>
      <c r="I24" s="186"/>
    </row>
    <row r="25" spans="1:9" x14ac:dyDescent="0.45">
      <c r="A25" s="201" t="s">
        <v>168</v>
      </c>
      <c r="B25" s="203">
        <v>18000</v>
      </c>
      <c r="C25" s="207"/>
      <c r="D25" s="24">
        <f>F20</f>
        <v>44213900</v>
      </c>
      <c r="E25" s="40">
        <f>Rates!E12</f>
        <v>11.72</v>
      </c>
      <c r="F25" s="40">
        <f>(D25/1000)*E25</f>
        <v>518186.90800000005</v>
      </c>
      <c r="G25" s="99"/>
      <c r="H25" s="186"/>
      <c r="I25" s="186"/>
    </row>
    <row r="26" spans="1:9" x14ac:dyDescent="0.45">
      <c r="A26" s="201" t="s">
        <v>56</v>
      </c>
      <c r="B26" s="203">
        <v>20000</v>
      </c>
      <c r="C26" s="208"/>
      <c r="D26" s="190">
        <f>G20</f>
        <v>10227700</v>
      </c>
      <c r="E26" s="40">
        <f>Rates!E13</f>
        <v>9.49</v>
      </c>
      <c r="F26" s="40">
        <f>(D26/1000)*E26</f>
        <v>97060.873000000007</v>
      </c>
      <c r="G26" s="99"/>
      <c r="H26" s="186"/>
      <c r="I26" s="186"/>
    </row>
    <row r="27" spans="1:9" x14ac:dyDescent="0.45">
      <c r="A27" s="201"/>
      <c r="B27" s="206" t="s">
        <v>60</v>
      </c>
      <c r="C27" s="24">
        <f>SUM(C24:C26)</f>
        <v>26575</v>
      </c>
      <c r="D27" s="24">
        <f>SUM(D24:D26)</f>
        <v>94030200</v>
      </c>
      <c r="E27" s="24"/>
      <c r="F27" s="209">
        <f>SUM(F24:F26)</f>
        <v>1414889.531</v>
      </c>
      <c r="G27" s="99"/>
      <c r="H27" s="186"/>
      <c r="I27" s="186"/>
    </row>
    <row r="28" spans="1:9" x14ac:dyDescent="0.45">
      <c r="A28" s="99"/>
      <c r="B28" s="99"/>
      <c r="C28" s="99"/>
      <c r="D28" s="99"/>
      <c r="E28" s="99"/>
      <c r="F28" s="99"/>
      <c r="G28" s="99"/>
      <c r="H28" s="186"/>
      <c r="I28" s="186"/>
    </row>
    <row r="29" spans="1:9" x14ac:dyDescent="0.45">
      <c r="A29" s="177" t="s">
        <v>91</v>
      </c>
      <c r="B29" s="99"/>
      <c r="C29" s="99"/>
      <c r="D29" s="99"/>
      <c r="E29" s="99"/>
      <c r="F29" s="99"/>
      <c r="G29" s="99"/>
      <c r="H29" s="186"/>
      <c r="I29" s="186"/>
    </row>
    <row r="30" spans="1:9" x14ac:dyDescent="0.45">
      <c r="A30" s="99"/>
      <c r="B30" s="99"/>
      <c r="C30" s="99"/>
      <c r="D30" s="99"/>
      <c r="E30" s="99"/>
      <c r="F30" s="99"/>
      <c r="G30" s="99"/>
      <c r="H30" s="186"/>
      <c r="I30" s="186"/>
    </row>
    <row r="31" spans="1:9" ht="28.5" x14ac:dyDescent="0.45">
      <c r="A31" s="99"/>
      <c r="B31" s="99"/>
      <c r="C31" s="179" t="s">
        <v>58</v>
      </c>
      <c r="D31" s="205" t="s">
        <v>170</v>
      </c>
      <c r="E31" s="188" t="s">
        <v>61</v>
      </c>
      <c r="F31" s="188" t="s">
        <v>62</v>
      </c>
      <c r="G31" s="99"/>
      <c r="H31" s="99"/>
      <c r="I31" s="186"/>
    </row>
    <row r="32" spans="1:9" s="178" customFormat="1" ht="14.25" x14ac:dyDescent="0.4">
      <c r="A32" s="210" t="s">
        <v>171</v>
      </c>
      <c r="B32" s="210"/>
      <c r="C32" s="211">
        <f>ExBA!C32</f>
        <v>12</v>
      </c>
      <c r="D32" s="211">
        <f>ExBA!D32</f>
        <v>57874000</v>
      </c>
      <c r="E32" s="212">
        <f>Rates!E18</f>
        <v>4.57</v>
      </c>
      <c r="F32" s="212">
        <f>(D32/1000)*E32</f>
        <v>264484.18</v>
      </c>
      <c r="G32" s="210"/>
      <c r="H32" s="210"/>
      <c r="I32" s="210"/>
    </row>
    <row r="33" spans="1:9" x14ac:dyDescent="0.4">
      <c r="A33" s="186"/>
      <c r="B33" s="186"/>
      <c r="C33" s="186"/>
      <c r="D33" s="186"/>
      <c r="E33" s="186"/>
      <c r="F33" s="186"/>
      <c r="G33" s="186"/>
      <c r="H33" s="186"/>
      <c r="I33" s="186"/>
    </row>
    <row r="34" spans="1:9" x14ac:dyDescent="0.4">
      <c r="A34" s="186"/>
      <c r="B34" s="186"/>
      <c r="C34" s="186"/>
      <c r="D34" s="186"/>
      <c r="E34" s="186"/>
      <c r="F34" s="186"/>
      <c r="G34" s="186"/>
      <c r="H34" s="186"/>
      <c r="I34" s="186"/>
    </row>
    <row r="35" spans="1:9" x14ac:dyDescent="0.4">
      <c r="A35" s="186"/>
      <c r="B35" s="186"/>
      <c r="C35" s="186"/>
      <c r="D35" s="186"/>
      <c r="E35" s="186"/>
      <c r="F35" s="186"/>
      <c r="G35" s="186"/>
      <c r="H35" s="186"/>
      <c r="I35" s="186"/>
    </row>
    <row r="36" spans="1:9" x14ac:dyDescent="0.4">
      <c r="A36" s="186"/>
      <c r="B36" s="186"/>
      <c r="C36" s="186"/>
      <c r="D36" s="186"/>
      <c r="E36" s="186"/>
      <c r="F36" s="186"/>
      <c r="G36" s="186"/>
      <c r="H36" s="186"/>
      <c r="I36" s="186"/>
    </row>
    <row r="37" spans="1:9" x14ac:dyDescent="0.4">
      <c r="A37" s="186"/>
      <c r="B37" s="186"/>
      <c r="C37" s="186"/>
      <c r="D37" s="186"/>
      <c r="E37" s="186"/>
      <c r="F37" s="186"/>
      <c r="G37" s="186"/>
      <c r="H37" s="186"/>
      <c r="I37" s="186"/>
    </row>
    <row r="38" spans="1:9" x14ac:dyDescent="0.4">
      <c r="A38" s="186"/>
      <c r="B38" s="186"/>
      <c r="C38" s="186"/>
      <c r="D38" s="186"/>
      <c r="E38" s="186"/>
      <c r="F38" s="186"/>
      <c r="G38" s="186"/>
      <c r="H38" s="186"/>
      <c r="I38" s="186"/>
    </row>
    <row r="39" spans="1:9" x14ac:dyDescent="0.4">
      <c r="A39" s="186"/>
      <c r="B39" s="186"/>
      <c r="C39" s="186"/>
      <c r="D39" s="186"/>
      <c r="E39" s="186"/>
      <c r="F39" s="186"/>
      <c r="G39" s="186"/>
      <c r="H39" s="186"/>
      <c r="I39" s="186"/>
    </row>
    <row r="40" spans="1:9" x14ac:dyDescent="0.4">
      <c r="A40" s="186"/>
      <c r="B40" s="186"/>
      <c r="C40" s="186"/>
      <c r="D40" s="186"/>
      <c r="E40" s="186"/>
      <c r="F40" s="186"/>
      <c r="G40" s="186"/>
      <c r="H40" s="186"/>
      <c r="I40" s="186"/>
    </row>
    <row r="41" spans="1:9" x14ac:dyDescent="0.4">
      <c r="A41" s="186"/>
      <c r="B41" s="186"/>
      <c r="C41" s="186"/>
      <c r="D41" s="186"/>
      <c r="E41" s="186"/>
      <c r="F41" s="186"/>
      <c r="G41" s="186"/>
      <c r="H41" s="186"/>
      <c r="I41" s="186"/>
    </row>
    <row r="42" spans="1:9" x14ac:dyDescent="0.4">
      <c r="A42" s="186"/>
      <c r="B42" s="186"/>
      <c r="C42" s="186"/>
      <c r="D42" s="186"/>
      <c r="E42" s="186"/>
      <c r="F42" s="186"/>
      <c r="G42" s="186"/>
      <c r="H42" s="186"/>
      <c r="I42" s="186"/>
    </row>
    <row r="43" spans="1:9" x14ac:dyDescent="0.4">
      <c r="A43" s="186"/>
      <c r="B43" s="186"/>
      <c r="C43" s="186"/>
      <c r="D43" s="186"/>
      <c r="E43" s="186"/>
      <c r="F43" s="186"/>
      <c r="G43" s="186"/>
      <c r="H43" s="186"/>
      <c r="I43" s="186"/>
    </row>
    <row r="44" spans="1:9" x14ac:dyDescent="0.4">
      <c r="A44" s="186"/>
      <c r="B44" s="186"/>
      <c r="C44" s="186"/>
      <c r="D44" s="186"/>
      <c r="E44" s="186"/>
      <c r="F44" s="186"/>
      <c r="G44" s="186"/>
      <c r="H44" s="186"/>
      <c r="I44" s="186"/>
    </row>
    <row r="45" spans="1:9" x14ac:dyDescent="0.4">
      <c r="A45" s="186"/>
      <c r="B45" s="186"/>
      <c r="C45" s="186"/>
      <c r="D45" s="186"/>
      <c r="E45" s="186"/>
      <c r="F45" s="186"/>
      <c r="G45" s="186"/>
      <c r="H45" s="186"/>
      <c r="I45" s="186"/>
    </row>
    <row r="46" spans="1:9" x14ac:dyDescent="0.4">
      <c r="A46" s="186"/>
      <c r="B46" s="186"/>
      <c r="C46" s="186"/>
      <c r="D46" s="186"/>
      <c r="E46" s="186"/>
      <c r="F46" s="186"/>
      <c r="G46" s="186"/>
      <c r="H46" s="186"/>
      <c r="I46" s="186"/>
    </row>
  </sheetData>
  <mergeCells count="3">
    <mergeCell ref="A1:G1"/>
    <mergeCell ref="A2:G2"/>
    <mergeCell ref="C4:F4"/>
  </mergeCells>
  <pageMargins left="0.7" right="0.7" top="0.75" bottom="0.75" header="0.3" footer="0.3"/>
  <pageSetup scale="81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I49"/>
  <sheetViews>
    <sheetView workbookViewId="0">
      <selection activeCell="L19" sqref="L19"/>
    </sheetView>
  </sheetViews>
  <sheetFormatPr defaultColWidth="8.88671875" defaultRowHeight="14.25" x14ac:dyDescent="0.45"/>
  <cols>
    <col min="1" max="1" width="8.88671875" style="1"/>
    <col min="2" max="2" width="5.88671875" style="1" customWidth="1"/>
    <col min="3" max="3" width="13.6640625" style="1" customWidth="1"/>
    <col min="4" max="4" width="8.44140625" style="1" customWidth="1"/>
    <col min="5" max="5" width="9.6640625" style="1" customWidth="1"/>
    <col min="6" max="6" width="0" style="1" hidden="1" customWidth="1"/>
    <col min="7" max="7" width="9.6640625" style="1" customWidth="1"/>
    <col min="8" max="8" width="10.44140625" style="1" customWidth="1"/>
    <col min="9" max="9" width="2.77734375" style="1" customWidth="1"/>
    <col min="10" max="16384" width="8.88671875" style="1"/>
  </cols>
  <sheetData>
    <row r="4" spans="2:9" ht="15" customHeight="1" x14ac:dyDescent="0.5">
      <c r="B4" s="373" t="s">
        <v>66</v>
      </c>
      <c r="C4" s="373"/>
      <c r="D4" s="373"/>
      <c r="E4" s="373"/>
      <c r="F4" s="373"/>
      <c r="G4" s="373"/>
      <c r="H4" s="373"/>
      <c r="I4" s="29"/>
    </row>
    <row r="5" spans="2:9" ht="15" customHeight="1" x14ac:dyDescent="0.45">
      <c r="B5" s="374" t="s">
        <v>162</v>
      </c>
      <c r="C5" s="374"/>
      <c r="D5" s="374"/>
      <c r="E5" s="374"/>
      <c r="F5" s="374"/>
      <c r="G5" s="374"/>
      <c r="H5" s="374"/>
      <c r="I5" s="29"/>
    </row>
    <row r="6" spans="2:9" ht="15" customHeight="1" x14ac:dyDescent="0.45">
      <c r="B6" s="372" t="s">
        <v>96</v>
      </c>
      <c r="C6" s="372"/>
      <c r="D6" s="372"/>
      <c r="E6" s="372"/>
      <c r="F6" s="372"/>
      <c r="G6" s="372"/>
      <c r="H6" s="372"/>
      <c r="I6" s="66"/>
    </row>
    <row r="7" spans="2:9" ht="15" customHeight="1" x14ac:dyDescent="0.45">
      <c r="B7" s="29"/>
      <c r="C7" s="29"/>
      <c r="D7" s="29"/>
      <c r="E7" s="29"/>
      <c r="F7" s="29"/>
      <c r="G7" s="67" t="s">
        <v>67</v>
      </c>
      <c r="H7" s="67" t="s">
        <v>12</v>
      </c>
      <c r="I7" s="29"/>
    </row>
    <row r="8" spans="2:9" ht="15" customHeight="1" x14ac:dyDescent="0.75">
      <c r="B8" s="47" t="s">
        <v>31</v>
      </c>
      <c r="D8" s="32" t="s">
        <v>65</v>
      </c>
      <c r="E8" s="32" t="s">
        <v>11</v>
      </c>
      <c r="F8" s="32"/>
      <c r="G8" s="32" t="s">
        <v>63</v>
      </c>
      <c r="H8" s="32" t="s">
        <v>63</v>
      </c>
      <c r="I8" s="32"/>
    </row>
    <row r="9" spans="2:9" ht="15" customHeight="1" x14ac:dyDescent="0.45">
      <c r="B9" s="371" t="str">
        <f>Rates!C11</f>
        <v>First 2,000 Gallons</v>
      </c>
      <c r="C9" s="371"/>
      <c r="D9" s="69">
        <f>Rates!D11</f>
        <v>26.72</v>
      </c>
      <c r="E9" s="69">
        <f>Rates!E11</f>
        <v>30.09</v>
      </c>
      <c r="F9" s="69" t="e">
        <f>#REF!*(1+#REF!)</f>
        <v>#REF!</v>
      </c>
      <c r="G9" s="69">
        <f>Rates!G11</f>
        <v>3.370000000000001</v>
      </c>
      <c r="H9" s="68">
        <f>Rates!K11</f>
        <v>0</v>
      </c>
      <c r="I9" s="40"/>
    </row>
    <row r="10" spans="2:9" ht="15" customHeight="1" x14ac:dyDescent="0.45">
      <c r="B10" s="371" t="str">
        <f>Rates!C12</f>
        <v>Next 18,000 Gallons</v>
      </c>
      <c r="C10" s="371"/>
      <c r="D10" s="69">
        <f>Rates!D12</f>
        <v>10.41</v>
      </c>
      <c r="E10" s="69">
        <f>Rates!E12</f>
        <v>11.72</v>
      </c>
      <c r="F10" s="71" t="e">
        <f>#REF!*(1+#REF!)</f>
        <v>#REF!</v>
      </c>
      <c r="G10" s="69">
        <f>Rates!G12</f>
        <v>1.3100000000000005</v>
      </c>
      <c r="H10" s="68">
        <f>Rates!K12</f>
        <v>0</v>
      </c>
      <c r="I10" s="29"/>
    </row>
    <row r="11" spans="2:9" ht="15" customHeight="1" x14ac:dyDescent="0.45">
      <c r="B11" s="371" t="e">
        <f>Rates!#REF!</f>
        <v>#REF!</v>
      </c>
      <c r="C11" s="371"/>
      <c r="D11" s="69" t="e">
        <f>Rates!#REF!</f>
        <v>#REF!</v>
      </c>
      <c r="E11" s="69" t="e">
        <f>Rates!#REF!</f>
        <v>#REF!</v>
      </c>
      <c r="F11" s="29"/>
      <c r="G11" s="69" t="e">
        <f>Rates!#REF!</f>
        <v>#REF!</v>
      </c>
      <c r="H11" s="68" t="e">
        <f>Rates!#REF!</f>
        <v>#REF!</v>
      </c>
      <c r="I11" s="29"/>
    </row>
    <row r="12" spans="2:9" ht="15" customHeight="1" x14ac:dyDescent="0.75">
      <c r="B12" s="371" t="str">
        <f>Rates!C13</f>
        <v>Over 20,000 Gallons</v>
      </c>
      <c r="C12" s="371"/>
      <c r="D12" s="69">
        <f>Rates!D13</f>
        <v>8.43</v>
      </c>
      <c r="E12" s="69">
        <f>Rates!E13</f>
        <v>9.49</v>
      </c>
      <c r="F12" s="32"/>
      <c r="G12" s="69">
        <f>Rates!G13</f>
        <v>1.0600000000000005</v>
      </c>
      <c r="H12" s="68">
        <f>Rates!K13</f>
        <v>0</v>
      </c>
      <c r="I12" s="32"/>
    </row>
    <row r="13" spans="2:9" ht="15" customHeight="1" x14ac:dyDescent="0.45">
      <c r="B13" s="17"/>
      <c r="C13" s="30"/>
      <c r="D13" s="69"/>
      <c r="E13" s="69"/>
      <c r="F13" s="69"/>
      <c r="G13" s="69"/>
      <c r="H13" s="68"/>
      <c r="I13" s="40"/>
    </row>
    <row r="14" spans="2:9" ht="15" customHeight="1" x14ac:dyDescent="0.45">
      <c r="B14" s="17"/>
      <c r="C14" s="30"/>
      <c r="D14" s="70"/>
      <c r="E14" s="71"/>
      <c r="F14" s="71"/>
      <c r="G14" s="71"/>
      <c r="H14" s="68"/>
      <c r="I14" s="29"/>
    </row>
    <row r="15" spans="2:9" ht="15" customHeight="1" x14ac:dyDescent="0.45">
      <c r="B15" s="17"/>
      <c r="C15" s="30"/>
      <c r="D15" s="70"/>
      <c r="E15" s="71"/>
      <c r="F15" s="71"/>
      <c r="G15" s="71"/>
      <c r="H15" s="68"/>
      <c r="I15" s="29"/>
    </row>
    <row r="16" spans="2:9" ht="15" customHeight="1" x14ac:dyDescent="0.45">
      <c r="B16" s="17"/>
      <c r="C16" s="30"/>
      <c r="D16" s="70"/>
      <c r="E16" s="71"/>
      <c r="F16" s="71"/>
      <c r="G16" s="71"/>
      <c r="H16" s="68"/>
      <c r="I16" s="29"/>
    </row>
    <row r="17" spans="2:9" ht="15" customHeight="1" x14ac:dyDescent="0.45">
      <c r="B17" s="17"/>
      <c r="C17" s="30"/>
      <c r="D17" s="70"/>
      <c r="E17" s="71"/>
      <c r="F17" s="71"/>
      <c r="G17" s="71"/>
      <c r="H17" s="68"/>
      <c r="I17" s="29"/>
    </row>
    <row r="18" spans="2:9" ht="15" customHeight="1" x14ac:dyDescent="0.45">
      <c r="B18" s="17"/>
      <c r="C18" s="30"/>
      <c r="D18" s="70"/>
      <c r="E18" s="71"/>
      <c r="F18" s="71"/>
      <c r="G18" s="71"/>
      <c r="H18" s="68"/>
      <c r="I18" s="29"/>
    </row>
    <row r="19" spans="2:9" ht="15" customHeight="1" x14ac:dyDescent="0.45">
      <c r="B19" s="17"/>
      <c r="C19" s="30"/>
      <c r="D19" s="70"/>
      <c r="E19" s="71"/>
      <c r="F19" s="71"/>
      <c r="G19" s="71"/>
      <c r="H19" s="68"/>
      <c r="I19" s="29"/>
    </row>
    <row r="20" spans="2:9" ht="15" customHeight="1" x14ac:dyDescent="0.45">
      <c r="B20" s="17"/>
      <c r="C20" s="30"/>
      <c r="D20" s="70"/>
      <c r="E20" s="71"/>
      <c r="F20" s="71"/>
      <c r="G20" s="71"/>
      <c r="H20" s="68"/>
      <c r="I20" s="29"/>
    </row>
    <row r="21" spans="2:9" ht="15" customHeight="1" x14ac:dyDescent="0.45"/>
    <row r="22" spans="2:9" ht="15" customHeight="1" x14ac:dyDescent="0.45"/>
    <row r="23" spans="2:9" ht="15" customHeight="1" x14ac:dyDescent="0.45"/>
    <row r="24" spans="2:9" ht="15" customHeight="1" x14ac:dyDescent="0.45"/>
    <row r="25" spans="2:9" ht="15" customHeight="1" x14ac:dyDescent="0.45"/>
    <row r="26" spans="2:9" ht="15" customHeight="1" x14ac:dyDescent="0.45"/>
    <row r="27" spans="2:9" ht="15" customHeight="1" x14ac:dyDescent="0.45"/>
    <row r="28" spans="2:9" ht="15" customHeight="1" x14ac:dyDescent="0.45"/>
    <row r="29" spans="2:9" ht="15" customHeight="1" x14ac:dyDescent="0.45"/>
    <row r="30" spans="2:9" ht="15" customHeight="1" x14ac:dyDescent="0.45"/>
    <row r="31" spans="2:9" ht="15" customHeight="1" x14ac:dyDescent="0.45"/>
    <row r="32" spans="2:9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  <row r="48" ht="15" customHeight="1" x14ac:dyDescent="0.45"/>
    <row r="49" ht="15" customHeight="1" x14ac:dyDescent="0.45"/>
  </sheetData>
  <mergeCells count="7">
    <mergeCell ref="B12:C12"/>
    <mergeCell ref="B6:H6"/>
    <mergeCell ref="B4:H4"/>
    <mergeCell ref="B9:C9"/>
    <mergeCell ref="B10:C10"/>
    <mergeCell ref="B11:C11"/>
    <mergeCell ref="B5:H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F15"/>
  <sheetViews>
    <sheetView workbookViewId="0">
      <selection activeCell="J18" sqref="J18"/>
    </sheetView>
  </sheetViews>
  <sheetFormatPr defaultRowHeight="15" x14ac:dyDescent="0.4"/>
  <cols>
    <col min="2" max="2" width="17.6640625" customWidth="1"/>
    <col min="3" max="6" width="7.77734375" customWidth="1"/>
  </cols>
  <sheetData>
    <row r="3" spans="2:6" ht="15.75" x14ac:dyDescent="0.5">
      <c r="B3" s="373" t="s">
        <v>66</v>
      </c>
      <c r="C3" s="373"/>
      <c r="D3" s="373"/>
      <c r="E3" s="373"/>
      <c r="F3" s="373"/>
    </row>
    <row r="4" spans="2:6" x14ac:dyDescent="0.4">
      <c r="B4" s="377" t="s">
        <v>172</v>
      </c>
      <c r="C4" s="377"/>
      <c r="D4" s="377"/>
      <c r="E4" s="377"/>
      <c r="F4" s="377"/>
    </row>
    <row r="5" spans="2:6" ht="5.0999999999999996" customHeight="1" x14ac:dyDescent="0.4">
      <c r="B5" s="34"/>
      <c r="C5" s="34"/>
      <c r="D5" s="34"/>
      <c r="E5" s="34"/>
      <c r="F5" s="34"/>
    </row>
    <row r="6" spans="2:6" ht="15.75" x14ac:dyDescent="0.5">
      <c r="B6" s="375" t="s">
        <v>71</v>
      </c>
      <c r="C6" s="375"/>
      <c r="D6" s="375"/>
      <c r="E6" s="375"/>
      <c r="F6" s="375"/>
    </row>
    <row r="7" spans="2:6" x14ac:dyDescent="0.4">
      <c r="B7" s="21"/>
      <c r="C7" s="376" t="s">
        <v>68</v>
      </c>
      <c r="D7" s="376"/>
      <c r="E7" s="35" t="s">
        <v>67</v>
      </c>
      <c r="F7" s="35" t="s">
        <v>12</v>
      </c>
    </row>
    <row r="8" spans="2:6" ht="17.649999999999999" x14ac:dyDescent="0.75">
      <c r="B8" s="38" t="s">
        <v>69</v>
      </c>
      <c r="C8" s="35" t="s">
        <v>65</v>
      </c>
      <c r="D8" s="32" t="s">
        <v>11</v>
      </c>
      <c r="E8" s="35" t="s">
        <v>63</v>
      </c>
      <c r="F8" s="35" t="s">
        <v>63</v>
      </c>
    </row>
    <row r="9" spans="2:6" x14ac:dyDescent="0.4">
      <c r="B9" s="21" t="s">
        <v>70</v>
      </c>
      <c r="C9" s="36">
        <f>Rates!D18</f>
        <v>4.0599999999999996</v>
      </c>
      <c r="D9" s="36">
        <f>Rates!E18</f>
        <v>4.57</v>
      </c>
      <c r="E9" s="42">
        <f>D9-C9</f>
        <v>0.51000000000000068</v>
      </c>
      <c r="F9" s="37">
        <f>ROUND(E9/C9,4)</f>
        <v>0.12559999999999999</v>
      </c>
    </row>
    <row r="10" spans="2:6" ht="5.0999999999999996" customHeight="1" x14ac:dyDescent="0.4">
      <c r="B10" s="33"/>
      <c r="C10" s="33"/>
      <c r="D10" s="33"/>
      <c r="E10" s="33"/>
      <c r="F10" s="33"/>
    </row>
    <row r="15" spans="2:6" x14ac:dyDescent="0.4">
      <c r="C15" s="72"/>
      <c r="D15" s="72"/>
      <c r="E15" s="42"/>
      <c r="F15" s="37"/>
    </row>
  </sheetData>
  <mergeCells count="4">
    <mergeCell ref="B3:F3"/>
    <mergeCell ref="B6:F6"/>
    <mergeCell ref="C7:D7"/>
    <mergeCell ref="B4:F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A01C-7852-4E95-BD91-257134D74ABD}">
  <dimension ref="A1:J30"/>
  <sheetViews>
    <sheetView topLeftCell="A3" workbookViewId="0">
      <selection activeCell="H20" sqref="H20:H30"/>
    </sheetView>
  </sheetViews>
  <sheetFormatPr defaultRowHeight="14.25" x14ac:dyDescent="0.45"/>
  <cols>
    <col min="1" max="1" width="20.609375" style="1" customWidth="1"/>
    <col min="2" max="7" width="12.609375" style="15" customWidth="1"/>
    <col min="8" max="8" width="8.88671875" style="23"/>
    <col min="9" max="16384" width="8.88671875" style="1"/>
  </cols>
  <sheetData>
    <row r="1" spans="1:10" x14ac:dyDescent="0.45">
      <c r="A1" s="1" t="s">
        <v>97</v>
      </c>
    </row>
    <row r="2" spans="1:10" x14ac:dyDescent="0.45">
      <c r="B2" s="183"/>
      <c r="C2" s="183"/>
      <c r="D2" s="183"/>
      <c r="E2" s="183"/>
      <c r="F2" s="183"/>
      <c r="G2" s="183" t="s">
        <v>14</v>
      </c>
      <c r="H2" s="23" t="s">
        <v>281</v>
      </c>
    </row>
    <row r="3" spans="1:10" x14ac:dyDescent="0.45">
      <c r="B3" s="183" t="s">
        <v>98</v>
      </c>
      <c r="C3" s="183" t="s">
        <v>98</v>
      </c>
      <c r="D3" s="183" t="s">
        <v>99</v>
      </c>
      <c r="E3" s="183" t="s">
        <v>98</v>
      </c>
      <c r="F3" s="183" t="s">
        <v>98</v>
      </c>
      <c r="G3" s="183" t="s">
        <v>98</v>
      </c>
      <c r="H3" s="23" t="s">
        <v>229</v>
      </c>
    </row>
    <row r="4" spans="1:10" x14ac:dyDescent="0.45">
      <c r="A4" s="1" t="s">
        <v>100</v>
      </c>
      <c r="B4" s="183" t="s">
        <v>101</v>
      </c>
      <c r="C4" s="183" t="s">
        <v>102</v>
      </c>
      <c r="D4" s="183" t="s">
        <v>103</v>
      </c>
      <c r="E4" s="183" t="s">
        <v>104</v>
      </c>
      <c r="F4" s="183" t="s">
        <v>105</v>
      </c>
      <c r="G4" s="183" t="s">
        <v>106</v>
      </c>
      <c r="H4" s="23" t="s">
        <v>230</v>
      </c>
    </row>
    <row r="5" spans="1:10" x14ac:dyDescent="0.45">
      <c r="A5" s="1" t="s">
        <v>251</v>
      </c>
      <c r="B5" s="15">
        <v>2080</v>
      </c>
      <c r="C5" s="15">
        <v>0</v>
      </c>
      <c r="D5" s="275">
        <f>1908.88/40</f>
        <v>47.722000000000001</v>
      </c>
      <c r="E5" s="15">
        <f>B5*D5</f>
        <v>99261.760000000009</v>
      </c>
      <c r="F5" s="15">
        <f>C5*D5*1.5</f>
        <v>0</v>
      </c>
      <c r="G5" s="15">
        <f>E5+F5</f>
        <v>99261.760000000009</v>
      </c>
      <c r="H5" s="303" t="s">
        <v>282</v>
      </c>
    </row>
    <row r="6" spans="1:10" x14ac:dyDescent="0.45">
      <c r="A6" s="1" t="s">
        <v>252</v>
      </c>
      <c r="B6" s="15">
        <v>1820</v>
      </c>
      <c r="C6" s="15">
        <v>0</v>
      </c>
      <c r="D6" s="275">
        <f>1139.97/35</f>
        <v>32.570571428571427</v>
      </c>
      <c r="E6" s="15">
        <f t="shared" ref="E6:E11" si="0">B6*D6</f>
        <v>59278.439999999995</v>
      </c>
      <c r="F6" s="15">
        <f t="shared" ref="F6:F11" si="1">C6*D6*1.5</f>
        <v>0</v>
      </c>
      <c r="G6" s="15">
        <f t="shared" ref="G6:G11" si="2">E6+F6</f>
        <v>59278.439999999995</v>
      </c>
      <c r="H6" s="303" t="s">
        <v>282</v>
      </c>
    </row>
    <row r="7" spans="1:10" x14ac:dyDescent="0.45">
      <c r="A7" s="1" t="s">
        <v>253</v>
      </c>
      <c r="B7" s="306">
        <v>2080</v>
      </c>
      <c r="C7" s="306">
        <v>9</v>
      </c>
      <c r="D7" s="275">
        <v>33.229999999999997</v>
      </c>
      <c r="E7" s="15">
        <f t="shared" si="0"/>
        <v>69118.399999999994</v>
      </c>
      <c r="F7" s="15">
        <f t="shared" si="1"/>
        <v>448.60500000000002</v>
      </c>
      <c r="G7" s="15">
        <f t="shared" si="2"/>
        <v>69567.00499999999</v>
      </c>
      <c r="H7" s="303" t="s">
        <v>282</v>
      </c>
    </row>
    <row r="8" spans="1:10" x14ac:dyDescent="0.45">
      <c r="A8" s="1" t="s">
        <v>254</v>
      </c>
      <c r="B8" s="306">
        <v>2080</v>
      </c>
      <c r="C8" s="306">
        <v>218.1</v>
      </c>
      <c r="D8" s="275">
        <v>26.38</v>
      </c>
      <c r="E8" s="15">
        <f t="shared" si="0"/>
        <v>54870.400000000001</v>
      </c>
      <c r="F8" s="15">
        <f t="shared" si="1"/>
        <v>8630.2170000000006</v>
      </c>
      <c r="G8" s="15">
        <f t="shared" si="2"/>
        <v>63500.616999999998</v>
      </c>
      <c r="H8" s="303" t="s">
        <v>282</v>
      </c>
      <c r="J8" s="185"/>
    </row>
    <row r="9" spans="1:10" x14ac:dyDescent="0.45">
      <c r="A9" s="1" t="s">
        <v>255</v>
      </c>
      <c r="B9" s="306">
        <v>1820</v>
      </c>
      <c r="C9" s="306">
        <v>0</v>
      </c>
      <c r="D9" s="275">
        <v>16</v>
      </c>
      <c r="E9" s="15">
        <f t="shared" si="0"/>
        <v>29120</v>
      </c>
      <c r="F9" s="15">
        <f t="shared" si="1"/>
        <v>0</v>
      </c>
      <c r="G9" s="15">
        <f t="shared" si="2"/>
        <v>29120</v>
      </c>
      <c r="H9" s="303" t="s">
        <v>282</v>
      </c>
    </row>
    <row r="10" spans="1:10" x14ac:dyDescent="0.45">
      <c r="A10" s="1" t="s">
        <v>256</v>
      </c>
      <c r="B10" s="306">
        <v>2080</v>
      </c>
      <c r="C10" s="306">
        <v>0</v>
      </c>
      <c r="D10" s="275">
        <v>16.5</v>
      </c>
      <c r="E10" s="15">
        <f t="shared" si="0"/>
        <v>34320</v>
      </c>
      <c r="F10" s="15">
        <f t="shared" si="1"/>
        <v>0</v>
      </c>
      <c r="G10" s="15">
        <f t="shared" si="2"/>
        <v>34320</v>
      </c>
      <c r="H10" s="303" t="s">
        <v>282</v>
      </c>
    </row>
    <row r="11" spans="1:10" x14ac:dyDescent="0.45">
      <c r="A11" s="1" t="s">
        <v>256</v>
      </c>
      <c r="B11" s="306">
        <v>2080</v>
      </c>
      <c r="C11" s="307">
        <v>0</v>
      </c>
      <c r="D11" s="275">
        <v>12</v>
      </c>
      <c r="E11" s="17">
        <f t="shared" si="0"/>
        <v>24960</v>
      </c>
      <c r="F11" s="17">
        <f t="shared" si="1"/>
        <v>0</v>
      </c>
      <c r="G11" s="17">
        <f t="shared" si="2"/>
        <v>24960</v>
      </c>
      <c r="H11" s="303" t="s">
        <v>282</v>
      </c>
    </row>
    <row r="12" spans="1:10" x14ac:dyDescent="0.45">
      <c r="D12" s="275"/>
    </row>
    <row r="13" spans="1:10" x14ac:dyDescent="0.45">
      <c r="A13" s="1" t="s">
        <v>194</v>
      </c>
      <c r="D13" s="275"/>
      <c r="G13" s="15">
        <f>SUM(G5:G11)</f>
        <v>380007.82200000004</v>
      </c>
    </row>
    <row r="15" spans="1:10" x14ac:dyDescent="0.45">
      <c r="A15" s="1" t="s">
        <v>195</v>
      </c>
      <c r="G15" s="15">
        <v>0</v>
      </c>
    </row>
    <row r="17" spans="4:8" x14ac:dyDescent="0.45">
      <c r="G17" s="183" t="s">
        <v>35</v>
      </c>
    </row>
    <row r="18" spans="4:8" x14ac:dyDescent="0.45">
      <c r="D18" s="15" t="s">
        <v>107</v>
      </c>
      <c r="G18" s="15">
        <f>G13</f>
        <v>380007.82200000004</v>
      </c>
    </row>
    <row r="19" spans="4:8" x14ac:dyDescent="0.45">
      <c r="D19" s="15" t="s">
        <v>108</v>
      </c>
      <c r="G19" s="55">
        <f>-SAO!D17</f>
        <v>-363454</v>
      </c>
    </row>
    <row r="20" spans="4:8" x14ac:dyDescent="0.45">
      <c r="D20" s="15" t="s">
        <v>109</v>
      </c>
      <c r="G20" s="15">
        <f>G18+G19</f>
        <v>16553.822000000044</v>
      </c>
      <c r="H20" s="22" t="s">
        <v>296</v>
      </c>
    </row>
    <row r="21" spans="4:8" x14ac:dyDescent="0.45">
      <c r="G21" s="15" t="s">
        <v>110</v>
      </c>
      <c r="H21" s="22"/>
    </row>
    <row r="22" spans="4:8" x14ac:dyDescent="0.45">
      <c r="D22" s="15" t="s">
        <v>111</v>
      </c>
      <c r="G22" s="15">
        <f>G13</f>
        <v>380007.82200000004</v>
      </c>
      <c r="H22" s="22"/>
    </row>
    <row r="23" spans="4:8" x14ac:dyDescent="0.45">
      <c r="D23" s="15" t="s">
        <v>112</v>
      </c>
      <c r="G23" s="184">
        <v>7.6499999999999999E-2</v>
      </c>
      <c r="H23" s="22"/>
    </row>
    <row r="24" spans="4:8" x14ac:dyDescent="0.45">
      <c r="D24" s="15" t="s">
        <v>113</v>
      </c>
      <c r="G24" s="15">
        <f>G22*G23</f>
        <v>29070.598383000004</v>
      </c>
      <c r="H24" s="22"/>
    </row>
    <row r="25" spans="4:8" x14ac:dyDescent="0.45">
      <c r="D25" s="15" t="s">
        <v>114</v>
      </c>
      <c r="G25" s="310">
        <v>-26885.5</v>
      </c>
      <c r="H25" s="22"/>
    </row>
    <row r="26" spans="4:8" x14ac:dyDescent="0.45">
      <c r="D26" s="15" t="s">
        <v>115</v>
      </c>
      <c r="G26" s="15">
        <f>G24+G25</f>
        <v>2185.0983830000041</v>
      </c>
      <c r="H26" s="22" t="s">
        <v>196</v>
      </c>
    </row>
    <row r="27" spans="4:8" x14ac:dyDescent="0.45">
      <c r="H27" s="22"/>
    </row>
    <row r="28" spans="4:8" x14ac:dyDescent="0.45">
      <c r="D28" s="15" t="s">
        <v>116</v>
      </c>
      <c r="G28" s="15">
        <v>38250</v>
      </c>
      <c r="H28" s="22"/>
    </row>
    <row r="29" spans="4:8" x14ac:dyDescent="0.45">
      <c r="D29" s="15" t="s">
        <v>117</v>
      </c>
      <c r="G29" s="55">
        <v>-37895.26</v>
      </c>
      <c r="H29" s="22"/>
    </row>
    <row r="30" spans="4:8" x14ac:dyDescent="0.45">
      <c r="D30" s="15" t="s">
        <v>118</v>
      </c>
      <c r="G30" s="15">
        <f>G28+G29</f>
        <v>354.73999999999796</v>
      </c>
      <c r="H30" s="22" t="s">
        <v>197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topLeftCell="B1" workbookViewId="0">
      <selection activeCell="L24" sqref="L24"/>
    </sheetView>
  </sheetViews>
  <sheetFormatPr defaultColWidth="8.88671875" defaultRowHeight="14.25" x14ac:dyDescent="0.45"/>
  <cols>
    <col min="1" max="1" width="12.6640625" style="219" customWidth="1"/>
    <col min="2" max="2" width="11.5546875" style="284" bestFit="1" customWidth="1"/>
    <col min="3" max="4" width="11.5546875" style="284" customWidth="1"/>
    <col min="5" max="5" width="9.88671875" style="284" customWidth="1"/>
    <col min="6" max="6" width="9.77734375" style="224" customWidth="1"/>
    <col min="7" max="7" width="9.77734375" style="223" customWidth="1"/>
    <col min="8" max="9" width="11.44140625" style="222" customWidth="1"/>
    <col min="10" max="10" width="10.6640625" style="284" customWidth="1"/>
    <col min="11" max="11" width="10.109375" style="222" customWidth="1"/>
    <col min="12" max="12" width="10.5546875" style="284" customWidth="1"/>
    <col min="13" max="13" width="10.44140625" style="301" customWidth="1"/>
    <col min="14" max="14" width="8.88671875" style="219"/>
    <col min="15" max="15" width="10.109375" style="219" customWidth="1"/>
    <col min="16" max="16" width="9" style="219" bestFit="1" customWidth="1"/>
    <col min="17" max="17" width="9.77734375" style="219" bestFit="1" customWidth="1"/>
    <col min="18" max="16384" width="8.88671875" style="219"/>
  </cols>
  <sheetData>
    <row r="1" spans="1:15" x14ac:dyDescent="0.45">
      <c r="A1" s="299" t="s">
        <v>210</v>
      </c>
    </row>
    <row r="2" spans="1:15" x14ac:dyDescent="0.45">
      <c r="B2" s="286"/>
      <c r="C2" s="286"/>
      <c r="D2" s="286"/>
    </row>
    <row r="3" spans="1:15" x14ac:dyDescent="0.45">
      <c r="B3" s="284" t="s">
        <v>211</v>
      </c>
      <c r="C3" s="284" t="s">
        <v>211</v>
      </c>
      <c r="D3" s="284" t="s">
        <v>60</v>
      </c>
      <c r="E3" s="284" t="s">
        <v>211</v>
      </c>
      <c r="I3" s="222" t="s">
        <v>14</v>
      </c>
      <c r="J3" s="284" t="s">
        <v>272</v>
      </c>
      <c r="K3" s="222" t="s">
        <v>212</v>
      </c>
      <c r="L3" s="284" t="s">
        <v>212</v>
      </c>
      <c r="M3" s="301" t="s">
        <v>273</v>
      </c>
    </row>
    <row r="4" spans="1:15" x14ac:dyDescent="0.45">
      <c r="B4" s="304" t="s">
        <v>286</v>
      </c>
      <c r="C4" s="297" t="s">
        <v>279</v>
      </c>
      <c r="D4" s="297" t="s">
        <v>211</v>
      </c>
      <c r="E4" s="284" t="s">
        <v>213</v>
      </c>
      <c r="F4" s="224" t="s">
        <v>213</v>
      </c>
      <c r="G4" s="223" t="s">
        <v>269</v>
      </c>
      <c r="H4" s="222" t="s">
        <v>260</v>
      </c>
      <c r="I4" s="222" t="s">
        <v>271</v>
      </c>
      <c r="J4" s="284" t="s">
        <v>271</v>
      </c>
      <c r="K4" s="222" t="s">
        <v>214</v>
      </c>
      <c r="L4" s="284" t="s">
        <v>214</v>
      </c>
      <c r="M4" s="301" t="s">
        <v>214</v>
      </c>
    </row>
    <row r="5" spans="1:15" x14ac:dyDescent="0.45">
      <c r="A5" s="299" t="s">
        <v>277</v>
      </c>
      <c r="B5" s="284" t="s">
        <v>215</v>
      </c>
      <c r="C5" s="284" t="s">
        <v>215</v>
      </c>
      <c r="D5" s="284" t="s">
        <v>215</v>
      </c>
      <c r="E5" s="284" t="s">
        <v>216</v>
      </c>
      <c r="F5" s="224" t="s">
        <v>217</v>
      </c>
      <c r="G5" s="223" t="s">
        <v>217</v>
      </c>
      <c r="H5" s="222" t="s">
        <v>261</v>
      </c>
      <c r="I5" s="222" t="s">
        <v>219</v>
      </c>
      <c r="J5" s="284" t="s">
        <v>219</v>
      </c>
      <c r="K5" s="222" t="s">
        <v>218</v>
      </c>
      <c r="L5" s="284" t="s">
        <v>219</v>
      </c>
      <c r="M5" s="301" t="s">
        <v>219</v>
      </c>
    </row>
    <row r="6" spans="1:15" x14ac:dyDescent="0.45">
      <c r="A6" s="219" t="s">
        <v>284</v>
      </c>
      <c r="B6" s="308">
        <v>455.08</v>
      </c>
      <c r="C6" s="308">
        <v>106.86</v>
      </c>
      <c r="D6" s="284">
        <f>B6+C6</f>
        <v>561.93999999999994</v>
      </c>
      <c r="E6" s="284">
        <f>C6</f>
        <v>106.86</v>
      </c>
      <c r="F6" s="224">
        <f t="shared" ref="F6:F8" si="0">E6/D6</f>
        <v>0.19016265081681319</v>
      </c>
      <c r="G6" s="283">
        <f t="shared" ref="G6:G8" si="1">1-F6</f>
        <v>0.80983734918318684</v>
      </c>
      <c r="H6" s="296">
        <v>1</v>
      </c>
      <c r="I6" s="222">
        <f>D6*H6*12</f>
        <v>6743.2799999999988</v>
      </c>
      <c r="J6" s="284">
        <f>D6*G6*H6*12</f>
        <v>5460.96</v>
      </c>
      <c r="K6" s="223">
        <v>0.79</v>
      </c>
      <c r="L6" s="284">
        <f>D6*H6*12*K6</f>
        <v>5327.1911999999993</v>
      </c>
      <c r="M6" s="222">
        <f>IF(J6&lt;L6,0,L6-J6)</f>
        <v>-133.76880000000074</v>
      </c>
    </row>
    <row r="7" spans="1:15" x14ac:dyDescent="0.45">
      <c r="A7" s="219" t="s">
        <v>285</v>
      </c>
      <c r="B7" s="308">
        <v>455.08</v>
      </c>
      <c r="C7" s="308">
        <v>140.79</v>
      </c>
      <c r="D7" s="284">
        <f t="shared" ref="D7:D8" si="2">B7+C7</f>
        <v>595.87</v>
      </c>
      <c r="E7" s="284">
        <f t="shared" ref="E7:E8" si="3">C7</f>
        <v>140.79</v>
      </c>
      <c r="F7" s="224">
        <f t="shared" si="0"/>
        <v>0.23627636900666252</v>
      </c>
      <c r="G7" s="283">
        <f t="shared" si="1"/>
        <v>0.76372363099333751</v>
      </c>
      <c r="H7" s="296">
        <v>1</v>
      </c>
      <c r="I7" s="222">
        <f t="shared" ref="I7:I8" si="4">D7*H7*12</f>
        <v>7150.4400000000005</v>
      </c>
      <c r="J7" s="284">
        <f t="shared" ref="J7:J8" si="5">D7*G7*H7*12</f>
        <v>5460.9600000000009</v>
      </c>
      <c r="K7" s="223">
        <v>0.79</v>
      </c>
      <c r="L7" s="284">
        <f t="shared" ref="L7:L8" si="6">D7*H7*12*K7</f>
        <v>5648.847600000001</v>
      </c>
      <c r="M7" s="222">
        <f t="shared" ref="M7:M8" si="7">IF(J7&lt;L7,0,L7-J7)</f>
        <v>0</v>
      </c>
    </row>
    <row r="8" spans="1:15" x14ac:dyDescent="0.45">
      <c r="A8" s="219" t="s">
        <v>290</v>
      </c>
      <c r="B8" s="308">
        <v>455.08</v>
      </c>
      <c r="C8" s="308">
        <v>0</v>
      </c>
      <c r="D8" s="284">
        <f t="shared" si="2"/>
        <v>455.08</v>
      </c>
      <c r="E8" s="284">
        <f t="shared" si="3"/>
        <v>0</v>
      </c>
      <c r="F8" s="224">
        <f t="shared" si="0"/>
        <v>0</v>
      </c>
      <c r="G8" s="283">
        <f t="shared" si="1"/>
        <v>1</v>
      </c>
      <c r="H8" s="296">
        <v>1</v>
      </c>
      <c r="I8" s="222">
        <f t="shared" si="4"/>
        <v>5460.96</v>
      </c>
      <c r="J8" s="284">
        <f t="shared" si="5"/>
        <v>5460.96</v>
      </c>
      <c r="K8" s="223">
        <v>0.79</v>
      </c>
      <c r="L8" s="284">
        <f t="shared" si="6"/>
        <v>4314.1584000000003</v>
      </c>
      <c r="M8" s="222">
        <f t="shared" si="7"/>
        <v>-1146.8015999999998</v>
      </c>
    </row>
    <row r="9" spans="1:15" x14ac:dyDescent="0.45">
      <c r="A9" s="219" t="s">
        <v>283</v>
      </c>
      <c r="B9" s="309">
        <v>819.14</v>
      </c>
      <c r="C9" s="309">
        <v>88.53</v>
      </c>
      <c r="D9" s="287">
        <f t="shared" ref="D9" si="8">B9+C9</f>
        <v>907.67</v>
      </c>
      <c r="E9" s="309">
        <f>C9+819.14-455.08</f>
        <v>452.59</v>
      </c>
      <c r="F9" s="224">
        <f>E9/D9</f>
        <v>0.49862835612061651</v>
      </c>
      <c r="G9" s="283">
        <f>1-F9</f>
        <v>0.50137164387938349</v>
      </c>
      <c r="H9" s="296">
        <v>1</v>
      </c>
      <c r="I9" s="289">
        <f t="shared" ref="I9" si="9">D9*H9*12</f>
        <v>10892.039999999999</v>
      </c>
      <c r="J9" s="287">
        <f t="shared" ref="J9" si="10">D9*G9*H9*12</f>
        <v>5460.96</v>
      </c>
      <c r="K9" s="223">
        <v>0.66</v>
      </c>
      <c r="L9" s="284">
        <f>D9*H9*12*K9</f>
        <v>7188.7464</v>
      </c>
      <c r="M9" s="289">
        <f t="shared" ref="M9" si="11">IF(J9&lt;L9,0,L9-J9)</f>
        <v>0</v>
      </c>
    </row>
    <row r="10" spans="1:15" x14ac:dyDescent="0.45">
      <c r="A10" s="219" t="s">
        <v>60</v>
      </c>
      <c r="B10" s="284">
        <f>SUM(B6:B9)</f>
        <v>2184.38</v>
      </c>
      <c r="C10" s="284">
        <f>SUM(C6:C9)</f>
        <v>336.17999999999995</v>
      </c>
      <c r="D10" s="284">
        <f>SUM(D6:D9)</f>
        <v>2520.56</v>
      </c>
      <c r="E10" s="284">
        <f>SUM(E6:E9)</f>
        <v>700.24</v>
      </c>
      <c r="G10" s="225"/>
      <c r="I10" s="284">
        <f>SUM(I6:I9)</f>
        <v>30246.720000000001</v>
      </c>
      <c r="J10" s="284">
        <f>SUM(J6:J9)</f>
        <v>21843.84</v>
      </c>
      <c r="M10" s="284">
        <f>SUM(M6:M9)</f>
        <v>-1280.5704000000005</v>
      </c>
      <c r="N10" s="220"/>
      <c r="O10" s="221"/>
    </row>
    <row r="11" spans="1:15" x14ac:dyDescent="0.45">
      <c r="G11" s="225"/>
    </row>
    <row r="12" spans="1:15" x14ac:dyDescent="0.45">
      <c r="A12" s="300" t="s">
        <v>278</v>
      </c>
      <c r="J12" s="285"/>
      <c r="K12" s="226"/>
      <c r="L12" s="285"/>
    </row>
    <row r="13" spans="1:15" x14ac:dyDescent="0.45">
      <c r="A13" s="288" t="s">
        <v>292</v>
      </c>
      <c r="B13" s="284">
        <v>40.44</v>
      </c>
      <c r="D13" s="284">
        <f>B13</f>
        <v>40.44</v>
      </c>
      <c r="E13" s="284">
        <v>0</v>
      </c>
      <c r="F13" s="224">
        <f t="shared" ref="F13:F15" si="12">E13/D13</f>
        <v>0</v>
      </c>
      <c r="G13" s="283">
        <f t="shared" ref="G13:G16" si="13">1-F13</f>
        <v>1</v>
      </c>
      <c r="H13" s="296">
        <v>1</v>
      </c>
      <c r="I13" s="222">
        <f>D13*H13*12</f>
        <v>485.28</v>
      </c>
      <c r="J13" s="284">
        <f>D13*G13*H13*12</f>
        <v>485.28</v>
      </c>
      <c r="K13" s="298">
        <v>0.6</v>
      </c>
      <c r="L13" s="284">
        <f>D13*H13*12*K13</f>
        <v>291.16799999999995</v>
      </c>
      <c r="M13" s="222">
        <f t="shared" ref="M13" si="14">IF(J13&lt;L13,0,L13-J13)</f>
        <v>-194.11200000000002</v>
      </c>
    </row>
    <row r="14" spans="1:15" x14ac:dyDescent="0.45">
      <c r="A14" s="288" t="s">
        <v>285</v>
      </c>
      <c r="B14" s="284">
        <v>19.829999999999998</v>
      </c>
      <c r="D14" s="284">
        <f t="shared" ref="D14:D16" si="15">B14</f>
        <v>19.829999999999998</v>
      </c>
      <c r="E14" s="284">
        <v>0</v>
      </c>
      <c r="F14" s="224">
        <f t="shared" ref="F14" si="16">E14/D14</f>
        <v>0</v>
      </c>
      <c r="G14" s="283">
        <f t="shared" ref="G14" si="17">1-F14</f>
        <v>1</v>
      </c>
      <c r="H14" s="296">
        <v>1</v>
      </c>
      <c r="I14" s="222">
        <f>D14*H14*12</f>
        <v>237.95999999999998</v>
      </c>
      <c r="J14" s="284">
        <f>D14*G14*H14*12</f>
        <v>237.95999999999998</v>
      </c>
      <c r="K14" s="298">
        <v>0.6</v>
      </c>
      <c r="L14" s="284">
        <f>D14*H14*12*K14</f>
        <v>142.77599999999998</v>
      </c>
      <c r="M14" s="222">
        <f t="shared" ref="M14" si="18">IF(J14&lt;L14,0,L14-J14)</f>
        <v>-95.183999999999997</v>
      </c>
    </row>
    <row r="15" spans="1:15" x14ac:dyDescent="0.45">
      <c r="A15" s="288" t="s">
        <v>293</v>
      </c>
      <c r="B15" s="284">
        <v>40.44</v>
      </c>
      <c r="D15" s="284">
        <f t="shared" si="15"/>
        <v>40.44</v>
      </c>
      <c r="E15" s="284">
        <v>0</v>
      </c>
      <c r="F15" s="224">
        <f t="shared" si="12"/>
        <v>0</v>
      </c>
      <c r="G15" s="283">
        <f t="shared" si="13"/>
        <v>1</v>
      </c>
      <c r="H15" s="296">
        <v>1</v>
      </c>
      <c r="I15" s="222">
        <f>D15*H15*12</f>
        <v>485.28</v>
      </c>
      <c r="J15" s="284">
        <f>D15*G15*H15*12</f>
        <v>485.28</v>
      </c>
      <c r="K15" s="298">
        <v>0.6</v>
      </c>
      <c r="L15" s="284">
        <f>D15*H15*12*K15</f>
        <v>291.16799999999995</v>
      </c>
      <c r="M15" s="222">
        <f t="shared" ref="M15" si="19">IF(J15&lt;L15,0,L15-J15)</f>
        <v>-194.11200000000002</v>
      </c>
    </row>
    <row r="16" spans="1:15" x14ac:dyDescent="0.45">
      <c r="A16" s="219" t="s">
        <v>291</v>
      </c>
      <c r="B16" s="284">
        <v>70.959999999999994</v>
      </c>
      <c r="D16" s="284">
        <f t="shared" si="15"/>
        <v>70.959999999999994</v>
      </c>
      <c r="E16" s="284">
        <v>0</v>
      </c>
      <c r="F16" s="224">
        <f>E16/D16</f>
        <v>0</v>
      </c>
      <c r="G16" s="283">
        <f t="shared" si="13"/>
        <v>1</v>
      </c>
      <c r="H16" s="296">
        <v>1</v>
      </c>
      <c r="I16" s="289">
        <f>D16*H16*12</f>
        <v>851.52</v>
      </c>
      <c r="J16" s="287">
        <f>D16*G16*H16*12</f>
        <v>851.52</v>
      </c>
      <c r="K16" s="225">
        <v>0.6</v>
      </c>
      <c r="L16" s="284">
        <f>D16*H16*12*K16</f>
        <v>510.91199999999998</v>
      </c>
      <c r="M16" s="289">
        <f>IF(J16&lt;L16,0,L16-J16)</f>
        <v>-340.608</v>
      </c>
    </row>
    <row r="17" spans="1:14" x14ac:dyDescent="0.45">
      <c r="A17" s="219" t="s">
        <v>270</v>
      </c>
      <c r="I17" s="284">
        <f>SUM(I13:I16)</f>
        <v>2060.04</v>
      </c>
      <c r="J17" s="284">
        <f>SUM(J13:J16)</f>
        <v>2060.04</v>
      </c>
      <c r="M17" s="284">
        <f>SUM(M13:M16)</f>
        <v>-824.01600000000008</v>
      </c>
    </row>
    <row r="19" spans="1:14" x14ac:dyDescent="0.45">
      <c r="A19" s="299" t="s">
        <v>287</v>
      </c>
      <c r="J19" s="305">
        <f>J10+J17</f>
        <v>23903.88</v>
      </c>
    </row>
    <row r="20" spans="1:14" x14ac:dyDescent="0.45">
      <c r="A20" s="299" t="s">
        <v>288</v>
      </c>
      <c r="J20" s="311">
        <v>-26628.07</v>
      </c>
    </row>
    <row r="21" spans="1:14" x14ac:dyDescent="0.45">
      <c r="A21" s="299" t="s">
        <v>289</v>
      </c>
      <c r="J21" s="305">
        <f>J19+J20</f>
        <v>-2724.1899999999987</v>
      </c>
      <c r="K21" s="312" t="s">
        <v>205</v>
      </c>
    </row>
    <row r="24" spans="1:14" ht="14.65" thickBot="1" x14ac:dyDescent="0.5">
      <c r="A24" s="299" t="s">
        <v>280</v>
      </c>
      <c r="M24" s="302">
        <f>M10+M17</f>
        <v>-2104.5864000000006</v>
      </c>
      <c r="N24" s="313" t="s">
        <v>297</v>
      </c>
    </row>
    <row r="25" spans="1:14" ht="14.65" thickTop="1" x14ac:dyDescent="0.45"/>
    <row r="26" spans="1:14" x14ac:dyDescent="0.45">
      <c r="A26" s="219" t="s">
        <v>262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30B1-5320-458A-B984-AF0BD6A9981A}">
  <sheetPr>
    <pageSetUpPr fitToPage="1"/>
  </sheetPr>
  <dimension ref="B1:P22"/>
  <sheetViews>
    <sheetView showGridLines="0" workbookViewId="0">
      <selection activeCell="M21" sqref="M21"/>
    </sheetView>
  </sheetViews>
  <sheetFormatPr defaultRowHeight="15" x14ac:dyDescent="0.4"/>
  <cols>
    <col min="1" max="1" width="1.77734375" customWidth="1"/>
    <col min="2" max="2" width="17.77734375" customWidth="1"/>
    <col min="3" max="12" width="7.77734375" customWidth="1"/>
    <col min="13" max="13" width="10.6640625" customWidth="1"/>
    <col min="14" max="14" width="0.77734375" customWidth="1"/>
    <col min="15" max="15" width="2.33203125" customWidth="1"/>
    <col min="16" max="16" width="9.6640625" customWidth="1"/>
  </cols>
  <sheetData>
    <row r="1" spans="2:16" ht="15.4" x14ac:dyDescent="0.4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.4" x14ac:dyDescent="0.45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8"/>
      <c r="P2" s="18"/>
    </row>
    <row r="3" spans="2:16" ht="18" x14ac:dyDescent="0.55000000000000004">
      <c r="B3" s="108" t="s">
        <v>121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98"/>
      <c r="O3" s="18"/>
      <c r="P3" s="18"/>
    </row>
    <row r="4" spans="2:16" ht="18" x14ac:dyDescent="0.55000000000000004">
      <c r="B4" s="110" t="s">
        <v>122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98"/>
      <c r="O4" s="18"/>
      <c r="P4" s="18"/>
    </row>
    <row r="5" spans="2:16" ht="15.75" x14ac:dyDescent="0.45">
      <c r="B5" s="112" t="s">
        <v>242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98"/>
      <c r="O5" s="18"/>
      <c r="P5" s="18"/>
    </row>
    <row r="6" spans="2:16" ht="15.75" x14ac:dyDescent="0.5">
      <c r="B6" s="113" t="s">
        <v>123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98"/>
      <c r="O6" s="18"/>
      <c r="P6" s="18"/>
    </row>
    <row r="7" spans="2:16" ht="15.4" x14ac:dyDescent="0.45">
      <c r="B7" s="115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98"/>
      <c r="O7" s="18"/>
      <c r="P7" s="18"/>
    </row>
    <row r="8" spans="2:16" ht="15.4" x14ac:dyDescent="0.45">
      <c r="B8" s="116"/>
      <c r="C8" s="117"/>
      <c r="D8" s="118"/>
      <c r="E8" s="117"/>
      <c r="F8" s="119"/>
      <c r="G8" s="117"/>
      <c r="H8" s="119"/>
      <c r="I8" s="117"/>
      <c r="J8" s="119"/>
      <c r="K8" s="117"/>
      <c r="L8" s="119"/>
      <c r="M8" s="118"/>
      <c r="N8" s="107"/>
      <c r="O8" s="18"/>
      <c r="P8" s="18"/>
    </row>
    <row r="9" spans="2:16" ht="16.5" x14ac:dyDescent="0.45">
      <c r="B9" s="120"/>
      <c r="C9" s="326" t="s">
        <v>124</v>
      </c>
      <c r="D9" s="327"/>
      <c r="E9" s="326" t="s">
        <v>125</v>
      </c>
      <c r="F9" s="327"/>
      <c r="G9" s="326" t="s">
        <v>126</v>
      </c>
      <c r="H9" s="327"/>
      <c r="I9" s="326" t="s">
        <v>127</v>
      </c>
      <c r="J9" s="327"/>
      <c r="K9" s="326" t="s">
        <v>128</v>
      </c>
      <c r="L9" s="327"/>
      <c r="M9" s="18"/>
      <c r="N9" s="98"/>
      <c r="O9" s="18"/>
      <c r="P9" s="18"/>
    </row>
    <row r="10" spans="2:16" ht="16.5" x14ac:dyDescent="0.45">
      <c r="B10" s="120"/>
      <c r="C10" s="121"/>
      <c r="D10" s="122" t="s">
        <v>129</v>
      </c>
      <c r="E10" s="123"/>
      <c r="F10" s="122" t="s">
        <v>129</v>
      </c>
      <c r="G10" s="123"/>
      <c r="H10" s="122" t="s">
        <v>129</v>
      </c>
      <c r="I10" s="123"/>
      <c r="J10" s="122" t="s">
        <v>129</v>
      </c>
      <c r="K10" s="123"/>
      <c r="L10" s="122" t="s">
        <v>129</v>
      </c>
      <c r="M10" s="18"/>
      <c r="N10" s="98"/>
      <c r="O10" s="18"/>
      <c r="P10" s="18"/>
    </row>
    <row r="11" spans="2:16" ht="16.5" x14ac:dyDescent="0.45">
      <c r="B11" s="120"/>
      <c r="C11" s="121" t="s">
        <v>130</v>
      </c>
      <c r="D11" s="124" t="s">
        <v>131</v>
      </c>
      <c r="E11" s="121" t="s">
        <v>130</v>
      </c>
      <c r="F11" s="124" t="s">
        <v>131</v>
      </c>
      <c r="G11" s="121" t="s">
        <v>130</v>
      </c>
      <c r="H11" s="124" t="s">
        <v>131</v>
      </c>
      <c r="I11" s="121" t="s">
        <v>130</v>
      </c>
      <c r="J11" s="124" t="s">
        <v>131</v>
      </c>
      <c r="K11" s="121" t="s">
        <v>130</v>
      </c>
      <c r="L11" s="124" t="s">
        <v>131</v>
      </c>
      <c r="M11" s="125" t="s">
        <v>90</v>
      </c>
      <c r="N11" s="98"/>
      <c r="O11" s="18"/>
      <c r="P11" s="18"/>
    </row>
    <row r="12" spans="2:16" ht="15.4" customHeight="1" x14ac:dyDescent="0.45">
      <c r="B12" s="120" t="s">
        <v>258</v>
      </c>
      <c r="C12" s="276">
        <v>60000</v>
      </c>
      <c r="D12" s="277">
        <f>450+15456.25+14556.25</f>
        <v>30462.5</v>
      </c>
      <c r="E12" s="276">
        <v>60000</v>
      </c>
      <c r="F12" s="278">
        <f>450+14556.25+13656.25</f>
        <v>28662.5</v>
      </c>
      <c r="G12" s="276">
        <v>65000</v>
      </c>
      <c r="H12" s="278">
        <f>450+13656.25+12681.25</f>
        <v>26787.5</v>
      </c>
      <c r="I12" s="276">
        <v>65000</v>
      </c>
      <c r="J12" s="278">
        <f>450+12681.25+11706.25</f>
        <v>24837.5</v>
      </c>
      <c r="K12" s="276">
        <v>70000</v>
      </c>
      <c r="L12" s="278">
        <f>450+11706.25+10358.75</f>
        <v>22515</v>
      </c>
      <c r="M12" s="130">
        <f t="shared" ref="M12:M14" si="0">SUM(C12:L12)</f>
        <v>453265</v>
      </c>
      <c r="N12" s="98"/>
      <c r="O12" s="18"/>
      <c r="P12" s="18"/>
    </row>
    <row r="13" spans="2:16" ht="15.4" customHeight="1" x14ac:dyDescent="0.45">
      <c r="B13" s="126" t="s">
        <v>250</v>
      </c>
      <c r="C13" s="127">
        <v>10852</v>
      </c>
      <c r="D13" s="128">
        <v>17191.759999999998</v>
      </c>
      <c r="E13" s="127">
        <v>11151</v>
      </c>
      <c r="F13" s="129">
        <v>16893.330000000002</v>
      </c>
      <c r="G13" s="127">
        <v>11457</v>
      </c>
      <c r="H13" s="129">
        <v>16586.68</v>
      </c>
      <c r="I13" s="127">
        <v>11772</v>
      </c>
      <c r="J13" s="129">
        <v>16271.61</v>
      </c>
      <c r="K13" s="127">
        <v>12096</v>
      </c>
      <c r="L13" s="129">
        <v>15947.88</v>
      </c>
      <c r="M13" s="130">
        <f t="shared" si="0"/>
        <v>140219.25999999998</v>
      </c>
      <c r="N13" s="98"/>
      <c r="O13" s="18"/>
      <c r="P13" s="18"/>
    </row>
    <row r="14" spans="2:16" ht="15.4" customHeight="1" x14ac:dyDescent="0.45">
      <c r="B14" s="126" t="s">
        <v>257</v>
      </c>
      <c r="C14" s="127">
        <v>50000</v>
      </c>
      <c r="D14" s="128">
        <f>450+33349.24+33488.75</f>
        <v>67287.989999999991</v>
      </c>
      <c r="E14" s="127">
        <v>60000</v>
      </c>
      <c r="F14" s="129">
        <f>450+32688.75+32688.75</f>
        <v>65827.5</v>
      </c>
      <c r="G14" s="127">
        <v>60000</v>
      </c>
      <c r="H14" s="129">
        <f>450+31728.75+31728.75</f>
        <v>63907.5</v>
      </c>
      <c r="I14" s="127">
        <v>60000</v>
      </c>
      <c r="J14" s="129">
        <f>450+30768.75+30768.75</f>
        <v>61987.5</v>
      </c>
      <c r="K14" s="127">
        <v>65000</v>
      </c>
      <c r="L14" s="129">
        <f>450+29808.75+29808.75</f>
        <v>60067.5</v>
      </c>
      <c r="M14" s="130">
        <f t="shared" si="0"/>
        <v>614077.99</v>
      </c>
      <c r="N14" s="98"/>
      <c r="O14" s="18"/>
      <c r="P14" s="18"/>
    </row>
    <row r="15" spans="2:16" ht="15.4" x14ac:dyDescent="0.45">
      <c r="B15" s="131"/>
      <c r="C15" s="132"/>
      <c r="D15" s="133"/>
      <c r="E15" s="132"/>
      <c r="F15" s="133"/>
      <c r="G15" s="132"/>
      <c r="H15" s="133"/>
      <c r="I15" s="132"/>
      <c r="J15" s="133"/>
      <c r="K15" s="132"/>
      <c r="L15" s="134"/>
      <c r="M15" s="130"/>
      <c r="N15" s="98"/>
      <c r="O15" s="18"/>
      <c r="P15" s="18"/>
    </row>
    <row r="16" spans="2:16" ht="15.4" x14ac:dyDescent="0.45">
      <c r="B16" s="100" t="s">
        <v>90</v>
      </c>
      <c r="C16" s="135">
        <f>SUM(C12:C14)</f>
        <v>120852</v>
      </c>
      <c r="D16" s="135">
        <f t="shared" ref="D16:M16" si="1">SUM(D12:D14)</f>
        <v>114942.24999999999</v>
      </c>
      <c r="E16" s="135">
        <f t="shared" si="1"/>
        <v>131151</v>
      </c>
      <c r="F16" s="135">
        <f t="shared" si="1"/>
        <v>111383.33</v>
      </c>
      <c r="G16" s="135">
        <f t="shared" si="1"/>
        <v>136457</v>
      </c>
      <c r="H16" s="135">
        <f t="shared" si="1"/>
        <v>107281.68</v>
      </c>
      <c r="I16" s="135">
        <f t="shared" si="1"/>
        <v>136772</v>
      </c>
      <c r="J16" s="135">
        <f t="shared" si="1"/>
        <v>103096.61</v>
      </c>
      <c r="K16" s="135">
        <f t="shared" si="1"/>
        <v>147096</v>
      </c>
      <c r="L16" s="135">
        <f t="shared" si="1"/>
        <v>98530.38</v>
      </c>
      <c r="M16" s="135">
        <f t="shared" si="1"/>
        <v>1207562.25</v>
      </c>
      <c r="N16" s="98"/>
      <c r="O16" s="18"/>
      <c r="P16" s="18">
        <f>SUM(C16:L16)</f>
        <v>1207562.25</v>
      </c>
    </row>
    <row r="17" spans="2:16" ht="15.4" x14ac:dyDescent="0.45">
      <c r="B17" s="136"/>
      <c r="C17" s="137"/>
      <c r="D17" s="138"/>
      <c r="E17" s="137"/>
      <c r="F17" s="139"/>
      <c r="G17" s="137"/>
      <c r="H17" s="139"/>
      <c r="I17" s="137"/>
      <c r="J17" s="140"/>
      <c r="K17" s="137"/>
      <c r="L17" s="139"/>
      <c r="M17" s="138"/>
      <c r="N17" s="93"/>
      <c r="O17" s="18"/>
      <c r="P17" s="18"/>
    </row>
    <row r="18" spans="2:16" ht="15.4" x14ac:dyDescent="0.45">
      <c r="B18" s="141"/>
      <c r="C18" s="142"/>
      <c r="D18" s="142"/>
      <c r="E18" s="142"/>
      <c r="F18" s="142"/>
      <c r="G18" s="142"/>
      <c r="H18" s="142"/>
      <c r="I18" s="142"/>
      <c r="J18" s="143"/>
      <c r="K18" s="143"/>
      <c r="L18" s="143"/>
      <c r="M18" s="142"/>
      <c r="N18" s="98"/>
      <c r="O18" s="18"/>
      <c r="P18" s="18"/>
    </row>
    <row r="19" spans="2:16" ht="15.4" x14ac:dyDescent="0.45">
      <c r="B19" s="144"/>
      <c r="C19" s="145"/>
      <c r="D19" s="146"/>
      <c r="E19" s="145"/>
      <c r="F19" s="145"/>
      <c r="G19" s="145"/>
      <c r="H19" s="145"/>
      <c r="I19" s="146" t="s">
        <v>132</v>
      </c>
      <c r="J19" s="18"/>
      <c r="K19" s="147"/>
      <c r="L19" s="148"/>
      <c r="M19" s="145">
        <f>M16/5</f>
        <v>241512.45</v>
      </c>
      <c r="N19" s="98"/>
      <c r="O19" s="18"/>
      <c r="P19" s="18"/>
    </row>
    <row r="20" spans="2:16" ht="15.4" x14ac:dyDescent="0.45">
      <c r="B20" s="20"/>
      <c r="C20" s="146"/>
      <c r="D20" s="18"/>
      <c r="E20" s="146"/>
      <c r="F20" s="146"/>
      <c r="G20" s="146"/>
      <c r="H20" s="146"/>
      <c r="I20" s="146"/>
      <c r="J20" s="18"/>
      <c r="K20" s="24"/>
      <c r="L20" s="147"/>
      <c r="M20" s="44"/>
      <c r="N20" s="98"/>
      <c r="O20" s="18"/>
      <c r="P20" s="18"/>
    </row>
    <row r="21" spans="2:16" ht="15.4" x14ac:dyDescent="0.45">
      <c r="B21" s="144"/>
      <c r="C21" s="146"/>
      <c r="D21" s="146"/>
      <c r="E21" s="146"/>
      <c r="F21" s="146"/>
      <c r="G21" s="146"/>
      <c r="H21" s="146"/>
      <c r="I21" s="146" t="s">
        <v>133</v>
      </c>
      <c r="J21" s="18"/>
      <c r="K21" s="147"/>
      <c r="L21" s="146"/>
      <c r="M21" s="145">
        <f>M19*0.2</f>
        <v>48302.490000000005</v>
      </c>
      <c r="N21" s="98"/>
      <c r="O21" s="18"/>
      <c r="P21" s="18">
        <f>M21+M19</f>
        <v>289814.94</v>
      </c>
    </row>
    <row r="22" spans="2:16" ht="15.4" x14ac:dyDescent="0.45">
      <c r="B22" s="149"/>
      <c r="C22" s="150"/>
      <c r="D22" s="150"/>
      <c r="E22" s="150"/>
      <c r="F22" s="150" t="s">
        <v>228</v>
      </c>
      <c r="G22" s="150"/>
      <c r="H22" s="150"/>
      <c r="I22" s="150"/>
      <c r="J22" s="150"/>
      <c r="K22" s="150"/>
      <c r="L22" s="150"/>
      <c r="M22" s="150"/>
      <c r="N22" s="93"/>
      <c r="O22" s="18"/>
      <c r="P22" s="18"/>
    </row>
  </sheetData>
  <mergeCells count="5">
    <mergeCell ref="C9:D9"/>
    <mergeCell ref="E9:F9"/>
    <mergeCell ref="G9:H9"/>
    <mergeCell ref="I9:J9"/>
    <mergeCell ref="K9:L9"/>
  </mergeCells>
  <pageMargins left="0.7" right="0.7" top="0.75" bottom="0.75" header="0.3" footer="0.3"/>
  <pageSetup scale="92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0D3-A7C3-4727-A9D4-F5C014E94ADB}">
  <sheetPr>
    <pageSetUpPr fitToPage="1"/>
  </sheetPr>
  <dimension ref="A1:R52"/>
  <sheetViews>
    <sheetView showGridLines="0" topLeftCell="A34" workbookViewId="0">
      <selection activeCell="M48" sqref="A1:M48"/>
    </sheetView>
  </sheetViews>
  <sheetFormatPr defaultRowHeight="15.4" x14ac:dyDescent="0.45"/>
  <cols>
    <col min="1" max="1" width="2" customWidth="1"/>
    <col min="2" max="2" width="1.88671875" customWidth="1"/>
    <col min="3" max="3" width="1.77734375" customWidth="1"/>
    <col min="4" max="4" width="27.44140625" style="1" customWidth="1"/>
    <col min="5" max="5" width="8.33203125" style="1" customWidth="1"/>
    <col min="6" max="6" width="10.6640625" style="234" customWidth="1"/>
    <col min="7" max="7" width="6.109375" style="1" customWidth="1"/>
    <col min="8" max="8" width="9.33203125" style="230" customWidth="1"/>
    <col min="9" max="9" width="6.109375" customWidth="1"/>
    <col min="10" max="10" width="9.33203125" style="230" customWidth="1"/>
    <col min="11" max="11" width="10.6640625" customWidth="1"/>
    <col min="12" max="12" width="1.88671875" customWidth="1"/>
    <col min="13" max="13" width="2.44140625" customWidth="1"/>
    <col min="15" max="18" width="8.88671875" style="1"/>
  </cols>
  <sheetData>
    <row r="1" spans="1:13" x14ac:dyDescent="0.45">
      <c r="A1" s="1"/>
      <c r="B1" s="1"/>
      <c r="C1" s="3"/>
      <c r="D1" s="3"/>
      <c r="E1" s="3"/>
      <c r="G1" s="161"/>
      <c r="H1" s="19"/>
      <c r="I1" s="161"/>
      <c r="J1" s="19"/>
      <c r="K1" s="3"/>
      <c r="L1" s="3"/>
      <c r="M1" s="3"/>
    </row>
    <row r="2" spans="1:13" x14ac:dyDescent="0.45">
      <c r="A2" s="1"/>
      <c r="B2" s="151"/>
      <c r="C2" s="153"/>
      <c r="D2" s="153"/>
      <c r="E2" s="153"/>
      <c r="F2" s="235"/>
      <c r="G2" s="162"/>
      <c r="H2" s="227"/>
      <c r="I2" s="162"/>
      <c r="J2" s="227"/>
      <c r="K2" s="153"/>
      <c r="L2" s="169"/>
      <c r="M2" s="172"/>
    </row>
    <row r="3" spans="1:13" ht="18" x14ac:dyDescent="0.55000000000000004">
      <c r="A3" s="1"/>
      <c r="B3" s="73"/>
      <c r="C3" s="328" t="s">
        <v>32</v>
      </c>
      <c r="D3" s="328"/>
      <c r="E3" s="328"/>
      <c r="F3" s="328"/>
      <c r="G3" s="328"/>
      <c r="H3" s="328"/>
      <c r="I3" s="328"/>
      <c r="J3" s="328"/>
      <c r="K3" s="328"/>
      <c r="L3" s="170"/>
      <c r="M3" s="172"/>
    </row>
    <row r="4" spans="1:13" ht="18" x14ac:dyDescent="0.55000000000000004">
      <c r="A4" s="1"/>
      <c r="B4" s="73"/>
      <c r="C4" s="329" t="s">
        <v>46</v>
      </c>
      <c r="D4" s="329"/>
      <c r="E4" s="329"/>
      <c r="F4" s="329"/>
      <c r="G4" s="329"/>
      <c r="H4" s="329"/>
      <c r="I4" s="329"/>
      <c r="J4" s="329"/>
      <c r="K4" s="329"/>
      <c r="L4" s="170"/>
      <c r="M4" s="172"/>
    </row>
    <row r="5" spans="1:13" ht="15.75" x14ac:dyDescent="0.45">
      <c r="A5" s="1"/>
      <c r="B5" s="73"/>
      <c r="C5" s="330" t="s">
        <v>242</v>
      </c>
      <c r="D5" s="330"/>
      <c r="E5" s="330"/>
      <c r="F5" s="330"/>
      <c r="G5" s="330"/>
      <c r="H5" s="330"/>
      <c r="I5" s="330"/>
      <c r="J5" s="330"/>
      <c r="K5" s="330"/>
      <c r="L5" s="170"/>
      <c r="M5" s="172"/>
    </row>
    <row r="6" spans="1:13" x14ac:dyDescent="0.45">
      <c r="A6" s="1"/>
      <c r="B6" s="73"/>
      <c r="C6" s="3"/>
      <c r="D6" s="3"/>
      <c r="E6" s="3"/>
      <c r="G6" s="163"/>
      <c r="H6" s="19"/>
      <c r="I6" s="163"/>
      <c r="J6" s="19"/>
      <c r="K6" s="155" t="s">
        <v>47</v>
      </c>
      <c r="L6" s="170"/>
      <c r="M6" s="172"/>
    </row>
    <row r="7" spans="1:13" x14ac:dyDescent="0.45">
      <c r="A7" s="1"/>
      <c r="B7" s="73"/>
      <c r="C7" s="154"/>
      <c r="D7" s="154"/>
      <c r="E7" s="154" t="s">
        <v>48</v>
      </c>
      <c r="F7" s="236" t="s">
        <v>49</v>
      </c>
      <c r="G7" s="331" t="s">
        <v>160</v>
      </c>
      <c r="H7" s="331"/>
      <c r="I7" s="331" t="s">
        <v>37</v>
      </c>
      <c r="J7" s="331"/>
      <c r="K7" s="155" t="s">
        <v>50</v>
      </c>
      <c r="L7" s="170"/>
      <c r="M7" s="172"/>
    </row>
    <row r="8" spans="1:13" ht="17.649999999999999" x14ac:dyDescent="0.75">
      <c r="A8" s="1"/>
      <c r="B8" s="73"/>
      <c r="C8" s="155"/>
      <c r="D8" s="159" t="s">
        <v>139</v>
      </c>
      <c r="E8" s="155" t="s">
        <v>51</v>
      </c>
      <c r="F8" s="237" t="s">
        <v>159</v>
      </c>
      <c r="G8" s="241" t="s">
        <v>52</v>
      </c>
      <c r="H8" s="155" t="s">
        <v>53</v>
      </c>
      <c r="I8" s="28" t="s">
        <v>52</v>
      </c>
      <c r="J8" s="155" t="s">
        <v>53</v>
      </c>
      <c r="K8" s="155" t="s">
        <v>43</v>
      </c>
      <c r="L8" s="170"/>
      <c r="M8" s="172"/>
    </row>
    <row r="9" spans="1:13" x14ac:dyDescent="0.45">
      <c r="A9" s="1"/>
      <c r="B9" s="73"/>
      <c r="C9" s="156" t="s">
        <v>134</v>
      </c>
      <c r="D9" s="3"/>
      <c r="E9" s="160"/>
      <c r="G9" s="163"/>
      <c r="H9" s="229"/>
      <c r="I9" s="163"/>
      <c r="J9" s="229"/>
      <c r="K9" s="2"/>
      <c r="L9" s="170"/>
      <c r="M9" s="172"/>
    </row>
    <row r="10" spans="1:13" x14ac:dyDescent="0.45">
      <c r="A10" s="1"/>
      <c r="B10" s="73"/>
      <c r="C10" s="156"/>
      <c r="D10" s="3" t="s">
        <v>140</v>
      </c>
      <c r="E10" s="160" t="s">
        <v>83</v>
      </c>
      <c r="F10" s="239">
        <v>110060</v>
      </c>
      <c r="G10" s="94" t="s">
        <v>161</v>
      </c>
      <c r="H10" s="207">
        <v>5740</v>
      </c>
      <c r="I10" s="163">
        <v>37.5</v>
      </c>
      <c r="J10" s="207">
        <f>F10/I10</f>
        <v>2934.9333333333334</v>
      </c>
      <c r="K10" s="24">
        <f>J10-H10</f>
        <v>-2805.0666666666666</v>
      </c>
      <c r="L10" s="170"/>
      <c r="M10" s="172"/>
    </row>
    <row r="11" spans="1:13" x14ac:dyDescent="0.45">
      <c r="A11" s="1"/>
      <c r="B11" s="73"/>
      <c r="C11" s="156"/>
      <c r="D11" s="3" t="s">
        <v>141</v>
      </c>
      <c r="E11" s="160"/>
      <c r="F11" s="239"/>
      <c r="G11" s="94"/>
      <c r="H11" s="207"/>
      <c r="I11" s="163">
        <v>10</v>
      </c>
      <c r="J11" s="207">
        <f>F11/I11</f>
        <v>0</v>
      </c>
      <c r="K11" s="24">
        <f>J11-H11</f>
        <v>0</v>
      </c>
      <c r="L11" s="170"/>
      <c r="M11" s="172"/>
    </row>
    <row r="12" spans="1:13" x14ac:dyDescent="0.45">
      <c r="A12" s="1"/>
      <c r="B12" s="73"/>
      <c r="C12" s="3"/>
      <c r="D12" s="3" t="s">
        <v>142</v>
      </c>
      <c r="E12" s="160" t="s">
        <v>83</v>
      </c>
      <c r="F12" s="239">
        <v>4010.96</v>
      </c>
      <c r="G12" s="94" t="s">
        <v>161</v>
      </c>
      <c r="H12" s="207">
        <v>364</v>
      </c>
      <c r="I12" s="163">
        <v>22.5</v>
      </c>
      <c r="J12" s="207">
        <f>F12/I12</f>
        <v>178.26488888888889</v>
      </c>
      <c r="K12" s="24">
        <f>J12-H12</f>
        <v>-185.73511111111111</v>
      </c>
      <c r="L12" s="170"/>
      <c r="M12" s="172"/>
    </row>
    <row r="13" spans="1:13" x14ac:dyDescent="0.45">
      <c r="A13" s="1"/>
      <c r="B13" s="73"/>
      <c r="C13" s="3"/>
      <c r="D13" s="3" t="s">
        <v>143</v>
      </c>
      <c r="E13" s="160" t="s">
        <v>83</v>
      </c>
      <c r="F13" s="239">
        <v>42060.37</v>
      </c>
      <c r="G13" s="94" t="s">
        <v>161</v>
      </c>
      <c r="H13" s="207">
        <v>4070</v>
      </c>
      <c r="I13" s="163">
        <v>12.5</v>
      </c>
      <c r="J13" s="207">
        <f t="shared" ref="J13:J15" si="0">F13/I13</f>
        <v>3364.8296</v>
      </c>
      <c r="K13" s="24">
        <f t="shared" ref="K13:K15" si="1">J13-H13</f>
        <v>-705.17039999999997</v>
      </c>
      <c r="L13" s="170"/>
      <c r="M13" s="172"/>
    </row>
    <row r="14" spans="1:13" x14ac:dyDescent="0.45">
      <c r="A14" s="1"/>
      <c r="B14" s="73"/>
      <c r="C14" s="3"/>
      <c r="D14" s="3" t="s">
        <v>144</v>
      </c>
      <c r="E14" s="160"/>
      <c r="F14" s="239"/>
      <c r="G14" s="94"/>
      <c r="H14" s="207"/>
      <c r="I14" s="163">
        <v>17.5</v>
      </c>
      <c r="J14" s="207">
        <f t="shared" si="0"/>
        <v>0</v>
      </c>
      <c r="K14" s="24">
        <f t="shared" si="1"/>
        <v>0</v>
      </c>
      <c r="L14" s="170"/>
      <c r="M14" s="172"/>
    </row>
    <row r="15" spans="1:13" x14ac:dyDescent="0.45">
      <c r="A15" s="1"/>
      <c r="B15" s="73"/>
      <c r="C15" s="3"/>
      <c r="D15" s="3" t="s">
        <v>145</v>
      </c>
      <c r="E15" s="160"/>
      <c r="F15" s="239"/>
      <c r="G15" s="94"/>
      <c r="H15" s="207"/>
      <c r="I15" s="163">
        <v>15</v>
      </c>
      <c r="J15" s="207">
        <f t="shared" si="0"/>
        <v>0</v>
      </c>
      <c r="K15" s="24">
        <f t="shared" si="1"/>
        <v>0</v>
      </c>
      <c r="L15" s="170"/>
      <c r="M15" s="172"/>
    </row>
    <row r="16" spans="1:13" x14ac:dyDescent="0.45">
      <c r="A16" s="1"/>
      <c r="B16" s="73"/>
      <c r="C16" s="3"/>
      <c r="D16" s="3"/>
      <c r="E16" s="160"/>
      <c r="F16" s="239"/>
      <c r="G16" s="94"/>
      <c r="H16" s="207"/>
      <c r="I16" s="163"/>
      <c r="J16" s="207"/>
      <c r="K16" s="24"/>
      <c r="L16" s="170"/>
      <c r="M16" s="172"/>
    </row>
    <row r="17" spans="1:13" x14ac:dyDescent="0.45">
      <c r="A17" s="1"/>
      <c r="B17" s="73"/>
      <c r="C17" s="156" t="s">
        <v>222</v>
      </c>
      <c r="D17" s="3"/>
      <c r="E17" s="160"/>
      <c r="F17" s="239"/>
      <c r="G17" s="94"/>
      <c r="H17" s="207"/>
      <c r="I17" s="163"/>
      <c r="J17" s="207"/>
      <c r="K17" s="24"/>
      <c r="L17" s="170"/>
      <c r="M17" s="172"/>
    </row>
    <row r="18" spans="1:13" x14ac:dyDescent="0.45">
      <c r="A18" s="1"/>
      <c r="B18" s="73"/>
      <c r="C18" s="3"/>
      <c r="D18" s="3" t="s">
        <v>223</v>
      </c>
      <c r="E18" s="160"/>
      <c r="F18" s="239"/>
      <c r="G18" s="94"/>
      <c r="H18" s="207"/>
      <c r="I18" s="163">
        <v>62.5</v>
      </c>
      <c r="J18" s="207">
        <f t="shared" ref="J18:J19" si="2">F18/I18</f>
        <v>0</v>
      </c>
      <c r="K18" s="24">
        <f t="shared" ref="K18:K19" si="3">J18-H18</f>
        <v>0</v>
      </c>
      <c r="L18" s="170"/>
      <c r="M18" s="172"/>
    </row>
    <row r="19" spans="1:13" x14ac:dyDescent="0.45">
      <c r="A19" s="1"/>
      <c r="B19" s="73"/>
      <c r="C19" s="3"/>
      <c r="D19" s="3" t="s">
        <v>224</v>
      </c>
      <c r="E19" s="160" t="s">
        <v>83</v>
      </c>
      <c r="F19" s="239">
        <v>15500</v>
      </c>
      <c r="G19" s="94" t="s">
        <v>161</v>
      </c>
      <c r="H19" s="207">
        <v>469</v>
      </c>
      <c r="I19" s="163">
        <v>62.5</v>
      </c>
      <c r="J19" s="207">
        <f t="shared" si="2"/>
        <v>248</v>
      </c>
      <c r="K19" s="24">
        <f t="shared" si="3"/>
        <v>-221</v>
      </c>
      <c r="L19" s="170"/>
      <c r="M19" s="172"/>
    </row>
    <row r="20" spans="1:13" x14ac:dyDescent="0.45">
      <c r="A20" s="1"/>
      <c r="B20" s="73"/>
      <c r="C20" s="155"/>
      <c r="D20" s="155"/>
      <c r="E20" s="155"/>
      <c r="F20" s="238"/>
      <c r="G20" s="241"/>
      <c r="H20" s="228"/>
      <c r="I20" s="28"/>
      <c r="J20" s="228"/>
      <c r="K20" s="155"/>
      <c r="L20" s="170"/>
      <c r="M20" s="172"/>
    </row>
    <row r="21" spans="1:13" x14ac:dyDescent="0.45">
      <c r="A21" s="1"/>
      <c r="B21" s="73"/>
      <c r="C21" s="156" t="s">
        <v>135</v>
      </c>
      <c r="D21" s="3"/>
      <c r="E21" s="160"/>
      <c r="G21" s="164"/>
      <c r="H21" s="229"/>
      <c r="I21" s="164"/>
      <c r="J21" s="229"/>
      <c r="K21" s="2"/>
      <c r="L21" s="170"/>
      <c r="M21" s="172"/>
    </row>
    <row r="22" spans="1:13" x14ac:dyDescent="0.45">
      <c r="A22" s="1"/>
      <c r="B22" s="73"/>
      <c r="C22" s="156"/>
      <c r="D22" s="3" t="s">
        <v>140</v>
      </c>
      <c r="E22" s="160" t="s">
        <v>83</v>
      </c>
      <c r="F22" s="239">
        <v>87224.76</v>
      </c>
      <c r="G22" s="94" t="s">
        <v>161</v>
      </c>
      <c r="H22" s="207">
        <v>4501</v>
      </c>
      <c r="I22" s="163">
        <v>37.5</v>
      </c>
      <c r="J22" s="207">
        <f>F22/I22</f>
        <v>2325.9935999999998</v>
      </c>
      <c r="K22" s="24">
        <f>J22-H22</f>
        <v>-2175.0064000000002</v>
      </c>
      <c r="L22" s="170"/>
      <c r="M22" s="172"/>
    </row>
    <row r="23" spans="1:13" x14ac:dyDescent="0.45">
      <c r="A23" s="1"/>
      <c r="B23" s="73"/>
      <c r="C23" s="3"/>
      <c r="D23" s="3" t="s">
        <v>146</v>
      </c>
      <c r="E23" s="160"/>
      <c r="G23" s="164"/>
      <c r="H23" s="207"/>
      <c r="I23" s="163">
        <v>10</v>
      </c>
      <c r="J23" s="229">
        <f>F23/I23</f>
        <v>0</v>
      </c>
      <c r="K23" s="24">
        <f>J23-H23</f>
        <v>0</v>
      </c>
      <c r="L23" s="170"/>
      <c r="M23" s="172"/>
    </row>
    <row r="24" spans="1:13" x14ac:dyDescent="0.45">
      <c r="A24" s="1"/>
      <c r="B24" s="73"/>
      <c r="C24" s="3"/>
      <c r="D24" s="3" t="s">
        <v>147</v>
      </c>
      <c r="E24" s="160" t="s">
        <v>83</v>
      </c>
      <c r="F24" s="234">
        <v>200430.56</v>
      </c>
      <c r="G24" s="164" t="s">
        <v>161</v>
      </c>
      <c r="H24" s="207">
        <v>6074</v>
      </c>
      <c r="I24" s="163">
        <v>20</v>
      </c>
      <c r="J24" s="229">
        <f>F24/I24</f>
        <v>10021.528</v>
      </c>
      <c r="K24" s="24">
        <f>J24-H24</f>
        <v>3947.5280000000002</v>
      </c>
      <c r="L24" s="170"/>
      <c r="M24" s="172"/>
    </row>
    <row r="25" spans="1:13" x14ac:dyDescent="0.45">
      <c r="A25" s="1"/>
      <c r="B25" s="73"/>
      <c r="C25" s="155"/>
      <c r="D25" s="155"/>
      <c r="E25" s="155"/>
      <c r="G25" s="164"/>
      <c r="H25" s="229"/>
      <c r="I25" s="164"/>
      <c r="J25" s="229"/>
      <c r="K25" s="2"/>
      <c r="L25" s="170"/>
      <c r="M25" s="172"/>
    </row>
    <row r="26" spans="1:13" x14ac:dyDescent="0.45">
      <c r="A26" s="1"/>
      <c r="B26" s="73"/>
      <c r="C26" s="156" t="s">
        <v>136</v>
      </c>
      <c r="D26" s="3"/>
      <c r="E26" s="160"/>
      <c r="G26" s="163"/>
      <c r="H26" s="229"/>
      <c r="I26" s="163"/>
      <c r="J26" s="229"/>
      <c r="K26" s="2"/>
      <c r="L26" s="170"/>
      <c r="M26" s="172"/>
    </row>
    <row r="27" spans="1:13" x14ac:dyDescent="0.45">
      <c r="A27" s="1"/>
      <c r="B27" s="73"/>
      <c r="C27" s="156"/>
      <c r="D27" s="3" t="s">
        <v>148</v>
      </c>
      <c r="E27" s="160" t="s">
        <v>83</v>
      </c>
      <c r="F27" s="239"/>
      <c r="G27" s="94" t="s">
        <v>161</v>
      </c>
      <c r="H27" s="207">
        <v>0</v>
      </c>
      <c r="I27" s="163">
        <v>50</v>
      </c>
      <c r="J27" s="207">
        <f t="shared" ref="J27:J35" si="4">F27/I27</f>
        <v>0</v>
      </c>
      <c r="K27" s="24">
        <f>J27-H27</f>
        <v>0</v>
      </c>
      <c r="L27" s="170"/>
      <c r="M27" s="172"/>
    </row>
    <row r="28" spans="1:13" x14ac:dyDescent="0.45">
      <c r="A28" s="1"/>
      <c r="B28" s="73"/>
      <c r="C28" s="156"/>
      <c r="D28" s="3" t="s">
        <v>149</v>
      </c>
      <c r="E28" s="160" t="s">
        <v>83</v>
      </c>
      <c r="F28" s="239">
        <v>6265249.9299999997</v>
      </c>
      <c r="G28" s="94" t="s">
        <v>161</v>
      </c>
      <c r="H28" s="207">
        <v>189856</v>
      </c>
      <c r="I28" s="163">
        <v>62.5</v>
      </c>
      <c r="J28" s="207">
        <f t="shared" si="4"/>
        <v>100243.99888</v>
      </c>
      <c r="K28" s="24">
        <f t="shared" ref="K28:K35" si="5">J28-H28</f>
        <v>-89612.001120000001</v>
      </c>
      <c r="L28" s="170"/>
      <c r="M28" s="172"/>
    </row>
    <row r="29" spans="1:13" x14ac:dyDescent="0.45">
      <c r="A29" s="1"/>
      <c r="B29" s="73"/>
      <c r="C29" s="156"/>
      <c r="D29" s="3" t="s">
        <v>150</v>
      </c>
      <c r="E29" s="160" t="s">
        <v>83</v>
      </c>
      <c r="F29" s="239">
        <v>232522.99</v>
      </c>
      <c r="G29" s="94" t="s">
        <v>161</v>
      </c>
      <c r="H29" s="207">
        <v>9961</v>
      </c>
      <c r="I29" s="163">
        <v>45</v>
      </c>
      <c r="J29" s="207">
        <f t="shared" si="4"/>
        <v>5167.177555555555</v>
      </c>
      <c r="K29" s="24">
        <f t="shared" si="5"/>
        <v>-4793.822444444445</v>
      </c>
      <c r="L29" s="170"/>
      <c r="M29" s="172"/>
    </row>
    <row r="30" spans="1:13" x14ac:dyDescent="0.45">
      <c r="A30" s="1"/>
      <c r="B30" s="73"/>
      <c r="C30" s="156"/>
      <c r="D30" s="3" t="s">
        <v>151</v>
      </c>
      <c r="E30" s="160"/>
      <c r="F30" s="239"/>
      <c r="G30" s="94"/>
      <c r="H30" s="207"/>
      <c r="I30" s="163">
        <v>15</v>
      </c>
      <c r="J30" s="207">
        <f t="shared" si="4"/>
        <v>0</v>
      </c>
      <c r="K30" s="24">
        <f t="shared" si="5"/>
        <v>0</v>
      </c>
      <c r="L30" s="170"/>
      <c r="M30" s="172"/>
    </row>
    <row r="31" spans="1:13" x14ac:dyDescent="0.45">
      <c r="A31" s="1"/>
      <c r="B31" s="73"/>
      <c r="C31" s="156"/>
      <c r="D31" s="3" t="s">
        <v>152</v>
      </c>
      <c r="E31" s="160"/>
      <c r="F31" s="239"/>
      <c r="G31" s="94"/>
      <c r="H31" s="207"/>
      <c r="I31" s="163">
        <v>20</v>
      </c>
      <c r="J31" s="207">
        <f t="shared" si="4"/>
        <v>0</v>
      </c>
      <c r="K31" s="24">
        <f t="shared" si="5"/>
        <v>0</v>
      </c>
      <c r="L31" s="170"/>
      <c r="M31" s="172"/>
    </row>
    <row r="32" spans="1:13" x14ac:dyDescent="0.45">
      <c r="A32" s="1"/>
      <c r="B32" s="73"/>
      <c r="C32" s="156"/>
      <c r="D32" s="3" t="s">
        <v>153</v>
      </c>
      <c r="E32" s="160"/>
      <c r="F32" s="239"/>
      <c r="G32" s="94"/>
      <c r="H32" s="207"/>
      <c r="I32" s="163">
        <v>37.5</v>
      </c>
      <c r="J32" s="207">
        <f t="shared" si="4"/>
        <v>0</v>
      </c>
      <c r="K32" s="24">
        <f t="shared" si="5"/>
        <v>0</v>
      </c>
      <c r="L32" s="170"/>
      <c r="M32" s="172"/>
    </row>
    <row r="33" spans="1:14" x14ac:dyDescent="0.45">
      <c r="A33" s="1"/>
      <c r="B33" s="73"/>
      <c r="C33" s="156"/>
      <c r="D33" s="3" t="s">
        <v>154</v>
      </c>
      <c r="E33" s="160" t="s">
        <v>83</v>
      </c>
      <c r="F33" s="239">
        <v>189926.11</v>
      </c>
      <c r="G33" s="94" t="s">
        <v>161</v>
      </c>
      <c r="H33" s="207">
        <v>5755</v>
      </c>
      <c r="I33" s="163">
        <v>40</v>
      </c>
      <c r="J33" s="207">
        <f t="shared" si="4"/>
        <v>4748.1527499999993</v>
      </c>
      <c r="K33" s="24">
        <f t="shared" si="5"/>
        <v>-1006.8472500000007</v>
      </c>
      <c r="L33" s="170"/>
      <c r="M33" s="172"/>
    </row>
    <row r="34" spans="1:14" x14ac:dyDescent="0.45">
      <c r="A34" s="1"/>
      <c r="B34" s="73"/>
      <c r="C34" s="156"/>
      <c r="D34" s="3" t="s">
        <v>155</v>
      </c>
      <c r="E34" s="160" t="s">
        <v>83</v>
      </c>
      <c r="F34" s="239">
        <v>2433477.23</v>
      </c>
      <c r="G34" s="94" t="s">
        <v>161</v>
      </c>
      <c r="H34" s="207">
        <v>74313</v>
      </c>
      <c r="I34" s="163">
        <v>45</v>
      </c>
      <c r="J34" s="207">
        <f t="shared" si="4"/>
        <v>54077.27177777778</v>
      </c>
      <c r="K34" s="24">
        <f t="shared" si="5"/>
        <v>-20235.72822222222</v>
      </c>
      <c r="L34" s="170"/>
      <c r="M34" s="172"/>
    </row>
    <row r="35" spans="1:14" x14ac:dyDescent="0.45">
      <c r="A35" s="1"/>
      <c r="B35" s="73"/>
      <c r="C35" s="156"/>
      <c r="D35" s="3" t="s">
        <v>156</v>
      </c>
      <c r="E35" s="160"/>
      <c r="F35" s="239"/>
      <c r="G35" s="94"/>
      <c r="H35" s="207"/>
      <c r="I35" s="163">
        <v>15</v>
      </c>
      <c r="J35" s="207">
        <f t="shared" si="4"/>
        <v>0</v>
      </c>
      <c r="K35" s="24">
        <f t="shared" si="5"/>
        <v>0</v>
      </c>
      <c r="L35" s="170"/>
      <c r="M35" s="172"/>
    </row>
    <row r="36" spans="1:14" x14ac:dyDescent="0.45">
      <c r="A36" s="1"/>
      <c r="B36" s="73"/>
      <c r="C36" s="156"/>
      <c r="E36" s="160"/>
      <c r="G36" s="164"/>
      <c r="H36" s="229"/>
      <c r="I36" s="164"/>
      <c r="J36" s="229"/>
      <c r="K36" s="24"/>
      <c r="L36" s="170"/>
      <c r="M36" s="172"/>
    </row>
    <row r="37" spans="1:14" x14ac:dyDescent="0.45">
      <c r="A37" s="1"/>
      <c r="B37" s="73"/>
      <c r="C37" s="156" t="s">
        <v>137</v>
      </c>
      <c r="E37" s="160"/>
      <c r="G37" s="163"/>
      <c r="H37" s="229"/>
      <c r="I37" s="168"/>
      <c r="J37" s="229"/>
      <c r="K37" s="2"/>
      <c r="L37" s="170"/>
      <c r="M37" s="172"/>
    </row>
    <row r="38" spans="1:14" x14ac:dyDescent="0.45">
      <c r="A38" s="1"/>
      <c r="B38" s="73"/>
      <c r="C38" s="3"/>
      <c r="D38" s="1" t="s">
        <v>157</v>
      </c>
      <c r="E38" s="160" t="s">
        <v>83</v>
      </c>
      <c r="F38" s="234">
        <v>53576.5</v>
      </c>
      <c r="G38" s="163" t="s">
        <v>161</v>
      </c>
      <c r="H38" s="229">
        <v>10249</v>
      </c>
      <c r="I38" s="168">
        <v>7</v>
      </c>
      <c r="J38" s="229">
        <f>F38/I38</f>
        <v>7653.7857142857147</v>
      </c>
      <c r="K38" s="2">
        <f>J38-H38</f>
        <v>-2595.2142857142853</v>
      </c>
      <c r="L38" s="170"/>
      <c r="M38" s="172"/>
    </row>
    <row r="39" spans="1:14" x14ac:dyDescent="0.45">
      <c r="A39" s="1"/>
      <c r="B39" s="73"/>
      <c r="C39" s="155"/>
      <c r="D39" s="155"/>
      <c r="E39" s="155"/>
      <c r="G39" s="164"/>
      <c r="H39" s="229"/>
      <c r="I39" s="164"/>
      <c r="J39" s="229"/>
      <c r="K39" s="2"/>
      <c r="L39" s="170"/>
      <c r="M39" s="172"/>
    </row>
    <row r="40" spans="1:14" x14ac:dyDescent="0.45">
      <c r="A40" s="1"/>
      <c r="B40" s="73"/>
      <c r="C40" s="156" t="s">
        <v>138</v>
      </c>
      <c r="D40" s="3"/>
      <c r="E40" s="160"/>
      <c r="G40" s="165"/>
      <c r="H40" s="229"/>
      <c r="I40" s="163"/>
      <c r="J40" s="229"/>
      <c r="K40" s="2"/>
      <c r="L40" s="170"/>
      <c r="M40" s="172"/>
    </row>
    <row r="41" spans="1:14" x14ac:dyDescent="0.45">
      <c r="A41" s="1"/>
      <c r="B41" s="73"/>
      <c r="C41" s="156"/>
      <c r="D41" s="1" t="s">
        <v>220</v>
      </c>
      <c r="E41" s="160"/>
      <c r="G41" s="163"/>
      <c r="H41" s="229"/>
      <c r="I41" s="168">
        <v>62.5</v>
      </c>
      <c r="J41" s="229">
        <f>F41/I41</f>
        <v>0</v>
      </c>
      <c r="K41" s="2">
        <f>J41-H41</f>
        <v>0</v>
      </c>
      <c r="L41" s="170"/>
      <c r="M41" s="172"/>
    </row>
    <row r="42" spans="1:14" x14ac:dyDescent="0.45">
      <c r="A42" s="1"/>
      <c r="B42" s="73"/>
      <c r="C42" s="156"/>
      <c r="D42" s="1" t="s">
        <v>221</v>
      </c>
      <c r="E42" s="160"/>
      <c r="G42" s="163"/>
      <c r="H42" s="229"/>
      <c r="I42" s="168">
        <v>27.5</v>
      </c>
      <c r="J42" s="229">
        <f>F42/I42</f>
        <v>0</v>
      </c>
      <c r="K42" s="2">
        <f>J42-H42</f>
        <v>0</v>
      </c>
      <c r="L42" s="170"/>
      <c r="M42" s="172"/>
    </row>
    <row r="43" spans="1:14" x14ac:dyDescent="0.45">
      <c r="A43" s="1"/>
      <c r="B43" s="73"/>
      <c r="C43" s="3"/>
      <c r="D43" s="3"/>
      <c r="E43" s="3"/>
      <c r="G43" s="2"/>
      <c r="H43" s="207"/>
      <c r="I43" s="2"/>
      <c r="J43" s="233"/>
      <c r="K43" s="2"/>
      <c r="L43" s="170"/>
      <c r="M43" s="172"/>
    </row>
    <row r="44" spans="1:14" x14ac:dyDescent="0.45">
      <c r="A44" s="1"/>
      <c r="B44" s="73"/>
      <c r="C44" s="157" t="s">
        <v>90</v>
      </c>
      <c r="F44" s="231">
        <f>SUM(F10:F43)</f>
        <v>9634039.4100000001</v>
      </c>
      <c r="G44" s="166"/>
      <c r="H44" s="231">
        <f>SUM(H10:H43)</f>
        <v>311352</v>
      </c>
      <c r="I44" s="167"/>
      <c r="J44" s="231">
        <f>SUM(J10:J43)</f>
        <v>190963.93609984126</v>
      </c>
      <c r="K44" s="167">
        <f>SUM(K10:K43)</f>
        <v>-120388.06390015874</v>
      </c>
      <c r="L44" s="170"/>
      <c r="M44" s="172"/>
      <c r="N44" s="22"/>
    </row>
    <row r="45" spans="1:14" x14ac:dyDescent="0.45">
      <c r="A45" s="1"/>
      <c r="B45" s="152"/>
      <c r="C45" s="158"/>
      <c r="D45" s="158"/>
      <c r="E45" s="158"/>
      <c r="F45" s="240"/>
      <c r="G45" s="158"/>
      <c r="H45" s="232"/>
      <c r="I45" s="158"/>
      <c r="J45" s="232"/>
      <c r="K45" s="158"/>
      <c r="L45" s="171"/>
      <c r="M45" s="173"/>
    </row>
    <row r="46" spans="1:14" x14ac:dyDescent="0.45">
      <c r="A46" s="1"/>
      <c r="B46" s="1"/>
      <c r="C46" s="3"/>
      <c r="D46" s="3"/>
      <c r="E46" s="3"/>
      <c r="G46" s="3"/>
      <c r="H46" s="233"/>
      <c r="I46" s="3"/>
      <c r="J46" s="233"/>
      <c r="K46" s="3"/>
      <c r="L46" s="3"/>
      <c r="M46" s="3"/>
    </row>
    <row r="47" spans="1:14" x14ac:dyDescent="0.45">
      <c r="D47" s="3" t="s">
        <v>158</v>
      </c>
    </row>
    <row r="50" spans="4:7" x14ac:dyDescent="0.45">
      <c r="D50" s="1" t="s">
        <v>225</v>
      </c>
      <c r="F50" s="234">
        <f>J44</f>
        <v>190963.93609984126</v>
      </c>
    </row>
    <row r="51" spans="4:7" ht="17.649999999999999" x14ac:dyDescent="0.75">
      <c r="D51" s="1" t="s">
        <v>226</v>
      </c>
      <c r="F51" s="242">
        <f>-SAO!D36</f>
        <v>-311352</v>
      </c>
    </row>
    <row r="52" spans="4:7" x14ac:dyDescent="0.45">
      <c r="D52" s="1" t="s">
        <v>227</v>
      </c>
      <c r="F52" s="234">
        <f>F50+F51</f>
        <v>-120388.06390015874</v>
      </c>
      <c r="G52" s="22" t="s">
        <v>309</v>
      </c>
    </row>
  </sheetData>
  <mergeCells count="5">
    <mergeCell ref="C3:K3"/>
    <mergeCell ref="C4:K4"/>
    <mergeCell ref="C5:K5"/>
    <mergeCell ref="G7:H7"/>
    <mergeCell ref="I7:J7"/>
  </mergeCells>
  <pageMargins left="0.7" right="0.7" top="0.75" bottom="0.75" header="0.3" footer="0.3"/>
  <pageSetup scale="8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B32F-4CA1-4F84-B54A-FE6CF749D13D}">
  <dimension ref="A1:E9"/>
  <sheetViews>
    <sheetView workbookViewId="0">
      <selection activeCell="D7" sqref="D7"/>
    </sheetView>
  </sheetViews>
  <sheetFormatPr defaultRowHeight="15" x14ac:dyDescent="0.4"/>
  <sheetData>
    <row r="1" spans="1:5" ht="15.4" x14ac:dyDescent="0.45">
      <c r="A1" s="1" t="s">
        <v>206</v>
      </c>
      <c r="B1" s="1"/>
      <c r="C1" s="1"/>
      <c r="D1" s="1"/>
    </row>
    <row r="2" spans="1:5" ht="15.4" x14ac:dyDescent="0.45">
      <c r="A2" s="1"/>
      <c r="B2" s="1"/>
      <c r="C2" s="1"/>
      <c r="D2" s="1"/>
    </row>
    <row r="3" spans="1:5" ht="15.4" x14ac:dyDescent="0.45">
      <c r="A3" s="1" t="s">
        <v>209</v>
      </c>
      <c r="B3" s="1"/>
      <c r="C3" s="217">
        <v>10800</v>
      </c>
      <c r="D3" s="1"/>
      <c r="E3" s="279" t="s">
        <v>259</v>
      </c>
    </row>
    <row r="4" spans="1:5" ht="15.4" x14ac:dyDescent="0.45">
      <c r="A4" s="1"/>
      <c r="B4" s="1"/>
      <c r="C4" s="1"/>
      <c r="D4" s="1"/>
    </row>
    <row r="5" spans="1:5" ht="15.4" x14ac:dyDescent="0.45">
      <c r="A5" s="1" t="s">
        <v>207</v>
      </c>
      <c r="B5" s="218">
        <v>0.3</v>
      </c>
      <c r="C5" s="217">
        <f>B5*C3</f>
        <v>3240</v>
      </c>
      <c r="D5" s="22" t="s">
        <v>204</v>
      </c>
    </row>
    <row r="6" spans="1:5" ht="15.4" x14ac:dyDescent="0.45">
      <c r="A6" s="1" t="s">
        <v>208</v>
      </c>
      <c r="B6" s="218">
        <v>0.7</v>
      </c>
      <c r="C6" s="217">
        <f>B6*C3</f>
        <v>7559.9999999999991</v>
      </c>
      <c r="D6" s="22" t="s">
        <v>204</v>
      </c>
    </row>
    <row r="8" spans="1:5" ht="15.4" x14ac:dyDescent="0.45">
      <c r="A8" s="1" t="s">
        <v>275</v>
      </c>
    </row>
    <row r="9" spans="1:5" ht="15.4" x14ac:dyDescent="0.45">
      <c r="A9" s="1" t="s">
        <v>276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2889-0321-45D3-A9A4-AE60C9D6113F}">
  <dimension ref="A1:G35"/>
  <sheetViews>
    <sheetView showGridLines="0" topLeftCell="A7" workbookViewId="0">
      <selection activeCell="E30" sqref="E30"/>
    </sheetView>
  </sheetViews>
  <sheetFormatPr defaultRowHeight="13.5" x14ac:dyDescent="0.35"/>
  <cols>
    <col min="1" max="1" width="22.0546875" style="181" customWidth="1"/>
    <col min="2" max="2" width="9.88671875" style="182" bestFit="1" customWidth="1"/>
    <col min="3" max="3" width="9.71875" style="182" bestFit="1" customWidth="1"/>
    <col min="4" max="4" width="9.0546875" style="181" bestFit="1" customWidth="1"/>
    <col min="5" max="16384" width="8.88671875" style="181"/>
  </cols>
  <sheetData>
    <row r="1" spans="1:7" ht="14.25" x14ac:dyDescent="0.45">
      <c r="A1" s="1" t="s">
        <v>173</v>
      </c>
      <c r="B1" s="7"/>
      <c r="C1" s="7"/>
      <c r="D1" s="1"/>
      <c r="E1" s="1"/>
      <c r="F1" s="1"/>
      <c r="G1" s="1"/>
    </row>
    <row r="2" spans="1:7" ht="14.25" x14ac:dyDescent="0.45">
      <c r="A2" s="1" t="s">
        <v>179</v>
      </c>
      <c r="B2" s="7"/>
      <c r="C2" s="7">
        <v>0</v>
      </c>
      <c r="D2" s="1"/>
      <c r="E2" s="1"/>
      <c r="F2" s="1"/>
      <c r="G2" s="1"/>
    </row>
    <row r="3" spans="1:7" ht="14.25" x14ac:dyDescent="0.45">
      <c r="A3" s="1" t="s">
        <v>180</v>
      </c>
      <c r="B3" s="7"/>
      <c r="C3" s="5">
        <v>209499</v>
      </c>
      <c r="D3" s="1"/>
      <c r="E3" s="1"/>
      <c r="F3" s="1"/>
      <c r="G3" s="1"/>
    </row>
    <row r="4" spans="1:7" ht="14.25" x14ac:dyDescent="0.45">
      <c r="A4" s="1" t="s">
        <v>181</v>
      </c>
      <c r="B4" s="7"/>
      <c r="C4" s="7">
        <f>C2+C3</f>
        <v>209499</v>
      </c>
      <c r="D4" s="1"/>
      <c r="E4" s="1"/>
      <c r="F4" s="1"/>
      <c r="G4" s="1"/>
    </row>
    <row r="5" spans="1:7" ht="14.25" x14ac:dyDescent="0.45">
      <c r="A5" s="1"/>
      <c r="B5" s="7"/>
      <c r="C5" s="7"/>
      <c r="D5" s="1"/>
      <c r="E5" s="1"/>
      <c r="F5" s="1"/>
      <c r="G5" s="1"/>
    </row>
    <row r="6" spans="1:7" ht="14.25" x14ac:dyDescent="0.45">
      <c r="A6" s="1" t="s">
        <v>174</v>
      </c>
      <c r="B6" s="7"/>
      <c r="C6" s="7">
        <v>159375</v>
      </c>
      <c r="D6" s="1"/>
      <c r="E6" s="1"/>
      <c r="F6" s="1"/>
      <c r="G6" s="1"/>
    </row>
    <row r="7" spans="1:7" ht="14.25" x14ac:dyDescent="0.45">
      <c r="A7" s="1"/>
      <c r="B7" s="7"/>
      <c r="C7" s="7"/>
      <c r="D7" s="1"/>
      <c r="E7" s="1"/>
      <c r="F7" s="1"/>
      <c r="G7" s="1"/>
    </row>
    <row r="8" spans="1:7" ht="14.25" x14ac:dyDescent="0.45">
      <c r="A8" s="1" t="s">
        <v>175</v>
      </c>
      <c r="B8" s="7"/>
      <c r="C8" s="7"/>
      <c r="D8" s="1"/>
      <c r="E8" s="1"/>
      <c r="F8" s="1"/>
      <c r="G8" s="1"/>
    </row>
    <row r="9" spans="1:7" ht="14.25" x14ac:dyDescent="0.45">
      <c r="A9" s="1" t="s">
        <v>184</v>
      </c>
      <c r="B9" s="7">
        <v>0</v>
      </c>
      <c r="C9" s="7"/>
      <c r="D9" s="1"/>
      <c r="E9" s="1"/>
      <c r="F9" s="1"/>
      <c r="G9" s="1"/>
    </row>
    <row r="10" spans="1:7" ht="14.25" x14ac:dyDescent="0.45">
      <c r="A10" s="1" t="s">
        <v>185</v>
      </c>
      <c r="B10" s="7">
        <v>360</v>
      </c>
      <c r="C10" s="7"/>
      <c r="D10" s="1"/>
      <c r="E10" s="1"/>
      <c r="F10" s="1"/>
      <c r="G10" s="1"/>
    </row>
    <row r="11" spans="1:7" ht="14.25" x14ac:dyDescent="0.45">
      <c r="A11" s="1" t="s">
        <v>186</v>
      </c>
      <c r="B11" s="7">
        <v>0</v>
      </c>
      <c r="C11" s="7"/>
      <c r="D11" s="1"/>
      <c r="E11" s="1"/>
      <c r="F11" s="1"/>
      <c r="G11" s="1"/>
    </row>
    <row r="12" spans="1:7" ht="14.25" x14ac:dyDescent="0.45">
      <c r="A12" s="1" t="s">
        <v>187</v>
      </c>
      <c r="B12" s="7">
        <v>2523</v>
      </c>
      <c r="C12" s="7"/>
      <c r="D12" s="1"/>
      <c r="E12" s="1"/>
      <c r="F12" s="1"/>
      <c r="G12" s="1"/>
    </row>
    <row r="13" spans="1:7" ht="14.25" x14ac:dyDescent="0.45">
      <c r="A13" s="1" t="s">
        <v>182</v>
      </c>
      <c r="B13" s="7"/>
      <c r="C13" s="7">
        <f>SUM(B9:B12)</f>
        <v>2883</v>
      </c>
      <c r="D13" s="1"/>
      <c r="E13" s="1"/>
      <c r="F13" s="1"/>
      <c r="G13" s="1"/>
    </row>
    <row r="14" spans="1:7" ht="14.25" x14ac:dyDescent="0.45">
      <c r="A14" s="1"/>
      <c r="B14" s="7"/>
      <c r="C14" s="7"/>
      <c r="D14" s="1"/>
      <c r="E14" s="1"/>
      <c r="F14" s="1"/>
      <c r="G14" s="1"/>
    </row>
    <row r="15" spans="1:7" ht="14.25" x14ac:dyDescent="0.45">
      <c r="A15" s="1" t="s">
        <v>183</v>
      </c>
      <c r="B15" s="7"/>
      <c r="C15" s="7"/>
      <c r="D15" s="1"/>
      <c r="E15" s="1"/>
      <c r="F15" s="1"/>
      <c r="G15" s="1"/>
    </row>
    <row r="16" spans="1:7" ht="14.25" x14ac:dyDescent="0.45">
      <c r="A16" s="1" t="s">
        <v>188</v>
      </c>
      <c r="B16" s="7">
        <v>0</v>
      </c>
      <c r="C16" s="7"/>
      <c r="D16" s="1"/>
      <c r="E16" s="1"/>
      <c r="F16" s="1"/>
      <c r="G16" s="1"/>
    </row>
    <row r="17" spans="1:7" ht="14.25" x14ac:dyDescent="0.45">
      <c r="A17" s="1" t="s">
        <v>189</v>
      </c>
      <c r="B17" s="7">
        <v>18565</v>
      </c>
      <c r="C17" s="7"/>
      <c r="D17" s="1"/>
      <c r="E17" s="1"/>
      <c r="F17" s="1"/>
      <c r="G17" s="1"/>
    </row>
    <row r="18" spans="1:7" ht="14.25" x14ac:dyDescent="0.45">
      <c r="A18" s="1" t="s">
        <v>190</v>
      </c>
      <c r="B18" s="7">
        <v>28676</v>
      </c>
      <c r="C18" s="7"/>
      <c r="D18" s="1"/>
      <c r="E18" s="1"/>
      <c r="F18" s="1"/>
      <c r="G18" s="1"/>
    </row>
    <row r="19" spans="1:7" ht="14.25" x14ac:dyDescent="0.45">
      <c r="A19" s="1" t="s">
        <v>240</v>
      </c>
      <c r="B19" s="7">
        <v>0</v>
      </c>
      <c r="C19" s="7"/>
      <c r="D19" s="1"/>
      <c r="E19" s="1"/>
      <c r="F19" s="1"/>
      <c r="G19" s="1"/>
    </row>
    <row r="20" spans="1:7" ht="14.25" x14ac:dyDescent="0.45">
      <c r="A20" s="1" t="s">
        <v>191</v>
      </c>
      <c r="B20" s="7">
        <v>0</v>
      </c>
      <c r="C20" s="7"/>
    </row>
    <row r="21" spans="1:7" ht="14.25" x14ac:dyDescent="0.45">
      <c r="A21" s="1" t="s">
        <v>192</v>
      </c>
      <c r="B21" s="7"/>
      <c r="C21" s="5">
        <f>SUM(B16:B20)</f>
        <v>47241</v>
      </c>
    </row>
    <row r="22" spans="1:7" ht="14.25" x14ac:dyDescent="0.45">
      <c r="A22" s="1" t="s">
        <v>193</v>
      </c>
      <c r="B22" s="7"/>
      <c r="C22" s="7">
        <f>C6+C13+C21</f>
        <v>209499</v>
      </c>
    </row>
    <row r="23" spans="1:7" ht="14.25" x14ac:dyDescent="0.45">
      <c r="A23" s="1"/>
    </row>
    <row r="25" spans="1:7" ht="14.25" x14ac:dyDescent="0.45">
      <c r="D25" s="63">
        <f>C21/C4</f>
        <v>0.22549510976186043</v>
      </c>
      <c r="E25" s="1" t="s">
        <v>176</v>
      </c>
      <c r="F25" s="1"/>
      <c r="G25" s="1"/>
    </row>
    <row r="26" spans="1:7" ht="14.25" x14ac:dyDescent="0.45">
      <c r="D26" s="63">
        <v>0.15</v>
      </c>
      <c r="E26" s="1" t="s">
        <v>177</v>
      </c>
      <c r="F26" s="1"/>
      <c r="G26" s="1"/>
    </row>
    <row r="27" spans="1:7" ht="14.25" x14ac:dyDescent="0.45">
      <c r="D27" s="63">
        <f>D25-D26</f>
        <v>7.5495109761860441E-2</v>
      </c>
      <c r="E27" s="1" t="s">
        <v>178</v>
      </c>
      <c r="F27" s="1"/>
      <c r="G27" s="22"/>
    </row>
    <row r="29" spans="1:7" ht="14.25" x14ac:dyDescent="0.45">
      <c r="A29" s="1" t="s">
        <v>243</v>
      </c>
      <c r="B29" s="7"/>
      <c r="C29" s="7"/>
    </row>
    <row r="30" spans="1:7" ht="14.25" x14ac:dyDescent="0.45">
      <c r="A30" s="1" t="str">
        <f>SAO!C23</f>
        <v>Purchased Water</v>
      </c>
      <c r="B30" s="265">
        <f>SAO!D23</f>
        <v>552238</v>
      </c>
      <c r="C30" s="266">
        <f>D27</f>
        <v>7.5495109761860441E-2</v>
      </c>
      <c r="D30" s="246">
        <f>B30*C30</f>
        <v>41691.268424670285</v>
      </c>
      <c r="E30" s="314" t="s">
        <v>297</v>
      </c>
    </row>
    <row r="31" spans="1:7" ht="14.25" x14ac:dyDescent="0.45">
      <c r="A31" s="1" t="str">
        <f>SAO!C24</f>
        <v>Purchased Power</v>
      </c>
      <c r="B31" s="265">
        <f>SAO!D24</f>
        <v>0</v>
      </c>
      <c r="C31" s="266">
        <f>D27</f>
        <v>7.5495109761860441E-2</v>
      </c>
      <c r="D31" s="246">
        <f t="shared" ref="D31:D32" si="0">B31*C31</f>
        <v>0</v>
      </c>
    </row>
    <row r="32" spans="1:7" ht="16.5" x14ac:dyDescent="0.75">
      <c r="A32" s="1" t="str">
        <f>SAO!C25</f>
        <v>Chemicals</v>
      </c>
      <c r="B32" s="265">
        <f>SAO!D25</f>
        <v>0</v>
      </c>
      <c r="C32" s="267">
        <f>D27</f>
        <v>7.5495109761860441E-2</v>
      </c>
      <c r="D32" s="268">
        <f t="shared" si="0"/>
        <v>0</v>
      </c>
    </row>
    <row r="33" spans="1:4" ht="14.25" x14ac:dyDescent="0.45">
      <c r="A33" s="1" t="s">
        <v>235</v>
      </c>
      <c r="B33" s="7"/>
      <c r="C33" s="247"/>
      <c r="D33" s="248">
        <f>SUM(D30:D32)</f>
        <v>41691.268424670285</v>
      </c>
    </row>
    <row r="34" spans="1:4" ht="14.25" x14ac:dyDescent="0.45">
      <c r="A34" s="1" t="s">
        <v>238</v>
      </c>
      <c r="B34" s="7"/>
      <c r="C34" s="6"/>
      <c r="D34" s="43">
        <f>ExBA!D8</f>
        <v>26587</v>
      </c>
    </row>
    <row r="35" spans="1:4" ht="14.25" x14ac:dyDescent="0.45">
      <c r="A35" s="1" t="s">
        <v>236</v>
      </c>
      <c r="B35" s="7"/>
      <c r="C35" s="247"/>
      <c r="D35" s="246">
        <f>D33/D34</f>
        <v>1.5681072864433854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GH23"/>
  <sheetViews>
    <sheetView showGridLines="0" workbookViewId="0">
      <selection activeCell="N13" sqref="N13"/>
    </sheetView>
  </sheetViews>
  <sheetFormatPr defaultColWidth="8.88671875" defaultRowHeight="14.25" x14ac:dyDescent="0.45"/>
  <cols>
    <col min="1" max="1" width="2.83203125" style="29" customWidth="1"/>
    <col min="2" max="2" width="9.6640625" style="29" customWidth="1"/>
    <col min="3" max="3" width="11.109375" style="29" customWidth="1"/>
    <col min="4" max="4" width="8.44140625" style="29" customWidth="1"/>
    <col min="5" max="5" width="9.6640625" style="29" customWidth="1"/>
    <col min="6" max="6" width="9.6640625" style="29" hidden="1" customWidth="1"/>
    <col min="7" max="8" width="9.6640625" style="254" customWidth="1"/>
    <col min="9" max="9" width="2.77734375" style="29" customWidth="1"/>
    <col min="10" max="10" width="2" style="29" customWidth="1"/>
    <col min="11" max="11" width="9.6640625" style="243" customWidth="1"/>
    <col min="12" max="190" width="9.6640625" style="29" customWidth="1"/>
    <col min="191" max="16384" width="8.88671875" style="17"/>
  </cols>
  <sheetData>
    <row r="2" spans="2:13" ht="18" customHeight="1" x14ac:dyDescent="0.55000000000000004">
      <c r="B2" s="336"/>
      <c r="C2" s="337"/>
      <c r="D2" s="337"/>
      <c r="E2" s="337"/>
      <c r="F2" s="337"/>
      <c r="G2" s="337"/>
      <c r="H2" s="337"/>
      <c r="I2" s="338"/>
    </row>
    <row r="3" spans="2:13" ht="18" hidden="1" customHeight="1" x14ac:dyDescent="0.45">
      <c r="B3" s="249"/>
      <c r="I3" s="250"/>
    </row>
    <row r="4" spans="2:13" ht="21" x14ac:dyDescent="0.65">
      <c r="B4" s="341" t="s">
        <v>64</v>
      </c>
      <c r="C4" s="342"/>
      <c r="D4" s="342"/>
      <c r="E4" s="342"/>
      <c r="F4" s="342"/>
      <c r="G4" s="342"/>
      <c r="H4" s="342"/>
      <c r="I4" s="343"/>
    </row>
    <row r="5" spans="2:13" ht="18" customHeight="1" x14ac:dyDescent="0.45">
      <c r="B5" s="344" t="s">
        <v>244</v>
      </c>
      <c r="C5" s="345"/>
      <c r="D5" s="345"/>
      <c r="E5" s="345"/>
      <c r="F5" s="345"/>
      <c r="G5" s="345"/>
      <c r="H5" s="345"/>
      <c r="I5" s="346"/>
    </row>
    <row r="6" spans="2:13" ht="6" customHeight="1" x14ac:dyDescent="0.45">
      <c r="B6" s="249"/>
      <c r="I6" s="250"/>
    </row>
    <row r="7" spans="2:13" x14ac:dyDescent="0.45">
      <c r="B7" s="249"/>
      <c r="I7" s="250"/>
    </row>
    <row r="8" spans="2:13" ht="18" x14ac:dyDescent="0.55000000000000004">
      <c r="B8" s="348" t="s">
        <v>72</v>
      </c>
      <c r="C8" s="349"/>
      <c r="D8" s="349"/>
      <c r="E8" s="349"/>
      <c r="F8" s="349"/>
      <c r="G8" s="349"/>
      <c r="H8" s="349"/>
      <c r="I8" s="350"/>
    </row>
    <row r="9" spans="2:13" ht="6" customHeight="1" x14ac:dyDescent="0.45">
      <c r="B9" s="249"/>
      <c r="I9" s="250"/>
    </row>
    <row r="10" spans="2:13" ht="30.4" customHeight="1" x14ac:dyDescent="0.75">
      <c r="B10" s="339" t="s">
        <v>245</v>
      </c>
      <c r="C10" s="340"/>
      <c r="D10" s="32" t="s">
        <v>65</v>
      </c>
      <c r="E10" s="32" t="s">
        <v>11</v>
      </c>
      <c r="F10" s="32"/>
      <c r="G10" s="347" t="s">
        <v>85</v>
      </c>
      <c r="H10" s="347"/>
      <c r="I10" s="255"/>
    </row>
    <row r="11" spans="2:13" x14ac:dyDescent="0.45">
      <c r="B11" s="31"/>
      <c r="C11" s="30" t="s">
        <v>241</v>
      </c>
      <c r="D11" s="40">
        <v>26.72</v>
      </c>
      <c r="E11" s="41">
        <f>ROUND(D11*(1+SAO!$G$54),2)</f>
        <v>30.09</v>
      </c>
      <c r="F11" s="40" t="e">
        <f>#REF!*(1+#REF!)</f>
        <v>#REF!</v>
      </c>
      <c r="G11" s="261">
        <f>E11-D11</f>
        <v>3.370000000000001</v>
      </c>
      <c r="H11" s="262">
        <f>G11/D11</f>
        <v>0.12612275449101801</v>
      </c>
      <c r="I11" s="256"/>
      <c r="L11" s="244"/>
      <c r="M11" s="244"/>
    </row>
    <row r="12" spans="2:13" x14ac:dyDescent="0.45">
      <c r="B12" s="31"/>
      <c r="C12" s="30" t="s">
        <v>248</v>
      </c>
      <c r="D12" s="269">
        <v>10.41</v>
      </c>
      <c r="E12" s="270">
        <f>ROUND(D12*(1+SAO!$G$54),2)</f>
        <v>11.72</v>
      </c>
      <c r="F12" s="269"/>
      <c r="G12" s="271">
        <f>E12-D12</f>
        <v>1.3100000000000005</v>
      </c>
      <c r="H12" s="262">
        <f t="shared" ref="H12:H18" si="0">G12/D12</f>
        <v>0.12584053794428438</v>
      </c>
      <c r="I12" s="256"/>
      <c r="L12" s="244"/>
      <c r="M12" s="244"/>
    </row>
    <row r="13" spans="2:13" x14ac:dyDescent="0.45">
      <c r="B13" s="31"/>
      <c r="C13" s="30" t="s">
        <v>249</v>
      </c>
      <c r="D13" s="272">
        <v>8.43</v>
      </c>
      <c r="E13" s="270">
        <f>ROUND(D13*(1+SAO!$G$54),2)</f>
        <v>9.49</v>
      </c>
      <c r="F13" s="273" t="e">
        <f>#REF!*(1+#REF!)</f>
        <v>#REF!</v>
      </c>
      <c r="G13" s="271">
        <f>E13-D13</f>
        <v>1.0600000000000005</v>
      </c>
      <c r="H13" s="262">
        <f t="shared" si="0"/>
        <v>0.12574139976275214</v>
      </c>
      <c r="I13" s="250"/>
      <c r="L13" s="244"/>
      <c r="M13" s="244"/>
    </row>
    <row r="14" spans="2:13" x14ac:dyDescent="0.45">
      <c r="B14" s="320"/>
      <c r="C14" s="321"/>
      <c r="D14" s="316"/>
      <c r="E14" s="321"/>
      <c r="F14" s="321"/>
      <c r="G14" s="322"/>
      <c r="H14" s="323"/>
      <c r="I14" s="324"/>
      <c r="L14" s="244"/>
      <c r="M14" s="244"/>
    </row>
    <row r="15" spans="2:13" ht="18" x14ac:dyDescent="0.55000000000000004">
      <c r="B15" s="351" t="s">
        <v>246</v>
      </c>
      <c r="C15" s="352"/>
      <c r="D15" s="352"/>
      <c r="E15" s="352"/>
      <c r="F15" s="352"/>
      <c r="G15" s="352"/>
      <c r="H15" s="352"/>
      <c r="I15" s="353"/>
      <c r="L15" s="244"/>
      <c r="M15" s="244"/>
    </row>
    <row r="16" spans="2:13" ht="6" customHeight="1" x14ac:dyDescent="0.85">
      <c r="B16" s="257"/>
      <c r="C16" s="245"/>
      <c r="H16" s="262"/>
      <c r="I16" s="250"/>
      <c r="L16" s="244"/>
      <c r="M16" s="244"/>
    </row>
    <row r="17" spans="2:13" ht="30.4" customHeight="1" x14ac:dyDescent="0.75">
      <c r="B17" s="339" t="s">
        <v>245</v>
      </c>
      <c r="C17" s="340"/>
      <c r="D17" s="32" t="s">
        <v>65</v>
      </c>
      <c r="E17" s="32" t="s">
        <v>11</v>
      </c>
      <c r="G17" s="347" t="s">
        <v>85</v>
      </c>
      <c r="H17" s="347"/>
      <c r="I17" s="250"/>
      <c r="L17" s="244"/>
      <c r="M17" s="244"/>
    </row>
    <row r="18" spans="2:13" ht="15" customHeight="1" x14ac:dyDescent="0.85">
      <c r="B18" s="257"/>
      <c r="C18" s="39" t="s">
        <v>95</v>
      </c>
      <c r="D18" s="270">
        <v>4.0599999999999996</v>
      </c>
      <c r="E18" s="270">
        <f>ROUND(D18*(1+SAO!$G$54),2)</f>
        <v>4.57</v>
      </c>
      <c r="F18" s="273"/>
      <c r="G18" s="274">
        <f>E18-D18</f>
        <v>0.51000000000000068</v>
      </c>
      <c r="H18" s="262">
        <f t="shared" si="0"/>
        <v>0.12561576354679821</v>
      </c>
      <c r="I18" s="250"/>
      <c r="J18" s="17"/>
      <c r="K18" s="95"/>
      <c r="L18" s="244"/>
      <c r="M18" s="244"/>
    </row>
    <row r="19" spans="2:13" ht="15" customHeight="1" x14ac:dyDescent="0.85">
      <c r="B19" s="257"/>
      <c r="C19" s="39"/>
      <c r="D19" s="41"/>
      <c r="E19" s="41"/>
      <c r="H19" s="262"/>
      <c r="I19" s="250"/>
      <c r="J19" s="17"/>
    </row>
    <row r="20" spans="2:13" ht="18" x14ac:dyDescent="0.55000000000000004">
      <c r="B20" s="354" t="s">
        <v>232</v>
      </c>
      <c r="C20" s="355"/>
      <c r="D20" s="355"/>
      <c r="E20" s="355"/>
      <c r="F20" s="355"/>
      <c r="G20" s="355"/>
      <c r="H20" s="355"/>
      <c r="I20" s="356"/>
    </row>
    <row r="21" spans="2:13" x14ac:dyDescent="0.45">
      <c r="B21" s="249"/>
      <c r="H21" s="262"/>
      <c r="I21" s="250"/>
    </row>
    <row r="22" spans="2:13" ht="16.5" x14ac:dyDescent="0.75">
      <c r="B22" s="332" t="s">
        <v>233</v>
      </c>
      <c r="C22" s="333"/>
      <c r="D22" s="32" t="s">
        <v>65</v>
      </c>
      <c r="E22" s="32" t="s">
        <v>11</v>
      </c>
      <c r="G22" s="347" t="s">
        <v>85</v>
      </c>
      <c r="H22" s="347"/>
      <c r="I22" s="250"/>
    </row>
    <row r="23" spans="2:13" x14ac:dyDescent="0.45">
      <c r="B23" s="334" t="s">
        <v>234</v>
      </c>
      <c r="C23" s="335"/>
      <c r="D23" s="258">
        <v>0</v>
      </c>
      <c r="E23" s="258">
        <f>'Water Loss'!D35</f>
        <v>1.5681072864433854</v>
      </c>
      <c r="F23" s="259"/>
      <c r="G23" s="263">
        <f>E23-D23</f>
        <v>1.5681072864433854</v>
      </c>
      <c r="H23" s="264">
        <v>1</v>
      </c>
      <c r="I23" s="260"/>
    </row>
  </sheetData>
  <mergeCells count="13">
    <mergeCell ref="B22:C22"/>
    <mergeCell ref="B23:C23"/>
    <mergeCell ref="B2:I2"/>
    <mergeCell ref="B17:C17"/>
    <mergeCell ref="B4:I4"/>
    <mergeCell ref="B5:I5"/>
    <mergeCell ref="B10:C10"/>
    <mergeCell ref="G10:H10"/>
    <mergeCell ref="G17:H17"/>
    <mergeCell ref="G22:H22"/>
    <mergeCell ref="B8:I8"/>
    <mergeCell ref="B15:I15"/>
    <mergeCell ref="B20:I20"/>
  </mergeCells>
  <printOptions horizontalCentered="1"/>
  <pageMargins left="0.55000000000000004" right="0.55000000000000004" top="1.6" bottom="0.5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27"/>
  <sheetViews>
    <sheetView showGridLines="0" workbookViewId="0">
      <selection activeCell="A2" sqref="A2:XFD2"/>
    </sheetView>
  </sheetViews>
  <sheetFormatPr defaultColWidth="8.88671875" defaultRowHeight="14.25" x14ac:dyDescent="0.45"/>
  <cols>
    <col min="1" max="1" width="3.0546875" style="7" customWidth="1"/>
    <col min="2" max="2" width="1.77734375" style="7" customWidth="1"/>
    <col min="3" max="8" width="9.77734375" style="7" customWidth="1"/>
    <col min="9" max="9" width="1.77734375" style="7" customWidth="1"/>
    <col min="10" max="10" width="2.88671875" style="7" customWidth="1"/>
    <col min="11" max="16384" width="8.88671875" style="7"/>
  </cols>
  <sheetData>
    <row r="1" spans="2:11" x14ac:dyDescent="0.45">
      <c r="B1" s="8"/>
      <c r="C1" s="9"/>
      <c r="D1" s="9"/>
      <c r="E1" s="9"/>
      <c r="F1" s="9"/>
      <c r="G1" s="9"/>
      <c r="H1" s="9"/>
      <c r="I1" s="10"/>
    </row>
    <row r="2" spans="2:11" ht="18" x14ac:dyDescent="0.55000000000000004">
      <c r="B2" s="357" t="s">
        <v>231</v>
      </c>
      <c r="C2" s="358"/>
      <c r="D2" s="358"/>
      <c r="E2" s="358"/>
      <c r="F2" s="358"/>
      <c r="G2" s="358"/>
      <c r="H2" s="358"/>
      <c r="I2" s="359"/>
    </row>
    <row r="3" spans="2:11" ht="18" x14ac:dyDescent="0.55000000000000004">
      <c r="B3" s="360" t="s">
        <v>237</v>
      </c>
      <c r="C3" s="361"/>
      <c r="D3" s="361"/>
      <c r="E3" s="361"/>
      <c r="F3" s="361"/>
      <c r="G3" s="361"/>
      <c r="H3" s="361"/>
      <c r="I3" s="362"/>
    </row>
    <row r="4" spans="2:11" ht="15.75" x14ac:dyDescent="0.45">
      <c r="B4" s="363" t="s">
        <v>247</v>
      </c>
      <c r="C4" s="364"/>
      <c r="D4" s="364"/>
      <c r="E4" s="364"/>
      <c r="F4" s="364"/>
      <c r="G4" s="364"/>
      <c r="H4" s="364"/>
      <c r="I4" s="365"/>
    </row>
    <row r="5" spans="2:11" x14ac:dyDescent="0.45">
      <c r="B5" s="13"/>
      <c r="C5" s="5"/>
      <c r="D5" s="5"/>
      <c r="E5" s="5"/>
      <c r="F5" s="5"/>
      <c r="G5" s="5"/>
      <c r="H5" s="5"/>
      <c r="I5" s="14"/>
    </row>
    <row r="6" spans="2:11" ht="6" customHeight="1" x14ac:dyDescent="0.45">
      <c r="B6" s="11"/>
      <c r="C6" s="6"/>
      <c r="D6" s="12"/>
      <c r="E6" s="49"/>
      <c r="F6" s="50"/>
      <c r="G6" s="50"/>
      <c r="H6" s="50"/>
      <c r="I6" s="51"/>
      <c r="J6" s="48"/>
      <c r="K6" s="48"/>
    </row>
    <row r="7" spans="2:11" ht="16.5" x14ac:dyDescent="0.75">
      <c r="B7" s="11"/>
      <c r="C7" s="16" t="s">
        <v>15</v>
      </c>
      <c r="D7" s="46" t="s">
        <v>84</v>
      </c>
      <c r="E7" s="52" t="s">
        <v>27</v>
      </c>
      <c r="F7" s="16" t="s">
        <v>11</v>
      </c>
      <c r="G7" s="16"/>
      <c r="H7" s="16"/>
      <c r="I7" s="46"/>
    </row>
    <row r="8" spans="2:11" ht="16.5" x14ac:dyDescent="0.75">
      <c r="B8" s="11"/>
      <c r="C8" s="16" t="s">
        <v>92</v>
      </c>
      <c r="D8" s="46" t="s">
        <v>88</v>
      </c>
      <c r="E8" s="52" t="s">
        <v>86</v>
      </c>
      <c r="F8" s="16" t="s">
        <v>86</v>
      </c>
      <c r="G8" s="16" t="s">
        <v>28</v>
      </c>
      <c r="H8" s="16" t="s">
        <v>87</v>
      </c>
      <c r="I8" s="46"/>
    </row>
    <row r="9" spans="2:11" x14ac:dyDescent="0.45">
      <c r="B9" s="11"/>
      <c r="C9" s="17">
        <v>0</v>
      </c>
      <c r="D9" s="53" t="s">
        <v>89</v>
      </c>
      <c r="E9" s="31">
        <f>Rates!D$11</f>
        <v>26.72</v>
      </c>
      <c r="F9" s="17">
        <f>Rates!E$11</f>
        <v>30.09</v>
      </c>
      <c r="G9" s="64">
        <f>F9-E9</f>
        <v>3.370000000000001</v>
      </c>
      <c r="H9" s="96">
        <f>G9/E9</f>
        <v>0.12612275449101801</v>
      </c>
      <c r="I9" s="57"/>
    </row>
    <row r="10" spans="2:11" x14ac:dyDescent="0.45">
      <c r="B10" s="11"/>
      <c r="C10" s="6">
        <v>2000</v>
      </c>
      <c r="D10" s="53" t="s">
        <v>89</v>
      </c>
      <c r="E10" s="31">
        <f>Rates!D$11</f>
        <v>26.72</v>
      </c>
      <c r="F10" s="31">
        <f>Rates!E$11</f>
        <v>30.09</v>
      </c>
      <c r="G10" s="17">
        <f t="shared" ref="G10:G17" si="0">F10-E10</f>
        <v>3.370000000000001</v>
      </c>
      <c r="H10" s="96">
        <f t="shared" ref="H10:H24" si="1">G10/E10</f>
        <v>0.12612275449101801</v>
      </c>
      <c r="I10" s="57"/>
    </row>
    <row r="11" spans="2:11" x14ac:dyDescent="0.45">
      <c r="B11" s="11"/>
      <c r="C11" s="58">
        <v>4000</v>
      </c>
      <c r="D11" s="59" t="s">
        <v>89</v>
      </c>
      <c r="E11" s="318">
        <f>Rates!D$11+((C11-2000)/1000)*Rates!D$12</f>
        <v>47.54</v>
      </c>
      <c r="F11" s="318">
        <f>Rates!E$11+((C11-2000)/1000)*Rates!E$12</f>
        <v>53.53</v>
      </c>
      <c r="G11" s="60">
        <f t="shared" si="0"/>
        <v>5.990000000000002</v>
      </c>
      <c r="H11" s="97">
        <f t="shared" si="1"/>
        <v>0.12599915860328148</v>
      </c>
      <c r="I11" s="61"/>
    </row>
    <row r="12" spans="2:11" x14ac:dyDescent="0.45">
      <c r="B12" s="11"/>
      <c r="C12" s="6">
        <v>6000</v>
      </c>
      <c r="D12" s="53" t="s">
        <v>89</v>
      </c>
      <c r="E12" s="31">
        <f>Rates!D$11+((C12-2000)/1000)*Rates!D$12</f>
        <v>68.36</v>
      </c>
      <c r="F12" s="31">
        <f>Rates!E$11+((C12-2000)/1000)*Rates!E$12</f>
        <v>76.97</v>
      </c>
      <c r="G12" s="17">
        <f t="shared" si="0"/>
        <v>8.61</v>
      </c>
      <c r="H12" s="96">
        <f t="shared" si="1"/>
        <v>0.12595084844938559</v>
      </c>
      <c r="I12" s="57"/>
    </row>
    <row r="13" spans="2:11" x14ac:dyDescent="0.45">
      <c r="B13" s="11"/>
      <c r="C13" s="6">
        <v>8000</v>
      </c>
      <c r="D13" s="53" t="s">
        <v>89</v>
      </c>
      <c r="E13" s="31">
        <f>Rates!D$11+((C13-2000)/1000)*Rates!D$12</f>
        <v>89.18</v>
      </c>
      <c r="F13" s="31">
        <f>Rates!E$11+((C13-2000)/1000)*Rates!E$12</f>
        <v>100.41000000000001</v>
      </c>
      <c r="G13" s="17">
        <f t="shared" si="0"/>
        <v>11.230000000000004</v>
      </c>
      <c r="H13" s="96">
        <f t="shared" si="1"/>
        <v>0.12592509531285045</v>
      </c>
      <c r="I13" s="57"/>
    </row>
    <row r="14" spans="2:11" x14ac:dyDescent="0.45">
      <c r="B14" s="11"/>
      <c r="C14" s="6">
        <v>10000</v>
      </c>
      <c r="D14" s="53" t="s">
        <v>89</v>
      </c>
      <c r="E14" s="31">
        <f>Rates!D$11+((C14-2000)/1000)*Rates!D$12</f>
        <v>110</v>
      </c>
      <c r="F14" s="31">
        <f>Rates!E$11+((C14-2000)/1000)*Rates!E$12</f>
        <v>123.85000000000001</v>
      </c>
      <c r="G14" s="17">
        <f t="shared" si="0"/>
        <v>13.850000000000009</v>
      </c>
      <c r="H14" s="96">
        <f t="shared" si="1"/>
        <v>0.125909090909091</v>
      </c>
      <c r="I14" s="57"/>
    </row>
    <row r="15" spans="2:11" x14ac:dyDescent="0.45">
      <c r="B15" s="11"/>
      <c r="C15" s="6">
        <v>15000</v>
      </c>
      <c r="D15" s="53" t="s">
        <v>89</v>
      </c>
      <c r="E15" s="31">
        <f>Rates!D$11+((C15-2000)/1000)*Rates!D$12</f>
        <v>162.05000000000001</v>
      </c>
      <c r="F15" s="31">
        <f>Rates!E$11+((C15-2000)/1000)*Rates!E$12</f>
        <v>182.45000000000002</v>
      </c>
      <c r="G15" s="17">
        <f t="shared" si="0"/>
        <v>20.400000000000006</v>
      </c>
      <c r="H15" s="96">
        <f t="shared" si="1"/>
        <v>0.12588707189139156</v>
      </c>
      <c r="I15" s="57"/>
    </row>
    <row r="16" spans="2:11" x14ac:dyDescent="0.45">
      <c r="B16" s="11"/>
      <c r="C16" s="6">
        <v>20000</v>
      </c>
      <c r="D16" s="53" t="s">
        <v>89</v>
      </c>
      <c r="E16" s="31">
        <f>Rates!D$11+((C16-2000)/1000)*Rates!D$12</f>
        <v>214.1</v>
      </c>
      <c r="F16" s="31">
        <f>Rates!E$11+((C16-2000)/1000)*Rates!E$12</f>
        <v>241.05</v>
      </c>
      <c r="G16" s="17">
        <f t="shared" si="0"/>
        <v>26.950000000000017</v>
      </c>
      <c r="H16" s="96">
        <f t="shared" si="1"/>
        <v>0.12587575899112571</v>
      </c>
      <c r="I16" s="57"/>
    </row>
    <row r="17" spans="2:15" x14ac:dyDescent="0.45">
      <c r="B17" s="11"/>
      <c r="C17" s="6">
        <v>25000</v>
      </c>
      <c r="D17" s="54" t="s">
        <v>29</v>
      </c>
      <c r="E17" s="31">
        <f>Rates!D$11+(Rates!D$12*18)+((C17-20000)/1000)*Rates!D$13</f>
        <v>256.25</v>
      </c>
      <c r="F17" s="31">
        <f>Rates!E$11+(Rates!E$12*18)+((C17-20000)/1000)*Rates!E$13</f>
        <v>288.5</v>
      </c>
      <c r="G17" s="17">
        <f t="shared" si="0"/>
        <v>32.25</v>
      </c>
      <c r="H17" s="96">
        <f t="shared" si="1"/>
        <v>0.12585365853658537</v>
      </c>
      <c r="I17" s="57"/>
    </row>
    <row r="18" spans="2:15" x14ac:dyDescent="0.45">
      <c r="B18" s="11"/>
      <c r="C18" s="6">
        <v>30000</v>
      </c>
      <c r="D18" s="54" t="s">
        <v>29</v>
      </c>
      <c r="E18" s="31">
        <f>Rates!D$11+(Rates!D$12*18)+((C18-20000)/1000)*Rates!D$13</f>
        <v>298.39999999999998</v>
      </c>
      <c r="F18" s="31">
        <f>Rates!E$11+(Rates!E$12*18)+((C18-20000)/1000)*Rates!E$13</f>
        <v>335.95000000000005</v>
      </c>
      <c r="G18" s="17">
        <f t="shared" ref="G18:G24" si="2">F18-E18</f>
        <v>37.550000000000068</v>
      </c>
      <c r="H18" s="96">
        <f t="shared" si="1"/>
        <v>0.12583780160857932</v>
      </c>
      <c r="I18" s="57"/>
      <c r="O18" s="6"/>
    </row>
    <row r="19" spans="2:15" x14ac:dyDescent="0.45">
      <c r="B19" s="11"/>
      <c r="C19" s="6">
        <v>40000</v>
      </c>
      <c r="D19" s="54" t="s">
        <v>29</v>
      </c>
      <c r="E19" s="31">
        <f>Rates!D$11+(Rates!D$12*18)+((C19-20000)/1000)*Rates!D$13</f>
        <v>382.7</v>
      </c>
      <c r="F19" s="31">
        <f>Rates!E$11+(Rates!E$12*18)+((C19-20000)/1000)*Rates!E$13</f>
        <v>430.85</v>
      </c>
      <c r="G19" s="17">
        <f t="shared" si="2"/>
        <v>48.150000000000034</v>
      </c>
      <c r="H19" s="96">
        <f t="shared" si="1"/>
        <v>0.12581656650117595</v>
      </c>
      <c r="I19" s="57"/>
    </row>
    <row r="20" spans="2:15" x14ac:dyDescent="0.45">
      <c r="B20" s="11"/>
      <c r="C20" s="6">
        <v>50000</v>
      </c>
      <c r="D20" s="54" t="s">
        <v>29</v>
      </c>
      <c r="E20" s="31">
        <f>Rates!D$11+(Rates!D$12*18)+((C20-20000)/1000)*Rates!D$13</f>
        <v>467</v>
      </c>
      <c r="F20" s="31">
        <f>Rates!E$11+(Rates!E$12*18)+((C20-20000)/1000)*Rates!E$13</f>
        <v>525.75</v>
      </c>
      <c r="G20" s="17">
        <f t="shared" si="2"/>
        <v>58.75</v>
      </c>
      <c r="H20" s="96">
        <f t="shared" si="1"/>
        <v>0.12580299785867238</v>
      </c>
      <c r="I20" s="57"/>
    </row>
    <row r="21" spans="2:15" x14ac:dyDescent="0.45">
      <c r="B21" s="11"/>
      <c r="C21" s="6">
        <v>75000</v>
      </c>
      <c r="D21" s="54" t="s">
        <v>30</v>
      </c>
      <c r="E21" s="31">
        <f>Rates!D$11+(Rates!D$12*18)+((C21-20000)/1000)*Rates!D$13</f>
        <v>677.75</v>
      </c>
      <c r="F21" s="31">
        <f>Rates!E$11+(Rates!E$12*18)+((C21-20000)/1000)*Rates!E$13</f>
        <v>763</v>
      </c>
      <c r="G21" s="17">
        <f t="shared" si="2"/>
        <v>85.25</v>
      </c>
      <c r="H21" s="96">
        <f t="shared" si="1"/>
        <v>0.12578384360014755</v>
      </c>
      <c r="I21" s="57"/>
    </row>
    <row r="22" spans="2:15" x14ac:dyDescent="0.45">
      <c r="B22" s="11"/>
      <c r="C22" s="6">
        <v>100000</v>
      </c>
      <c r="D22" s="54" t="s">
        <v>30</v>
      </c>
      <c r="E22" s="31">
        <f>Rates!D$11+(Rates!D$12*18)+((C22-20000)/1000)*Rates!D$13</f>
        <v>888.5</v>
      </c>
      <c r="F22" s="31">
        <f>Rates!E$11+(Rates!E$12*18)+((C22-20000)/1000)*Rates!E$13</f>
        <v>1000.25</v>
      </c>
      <c r="G22" s="17">
        <f t="shared" si="2"/>
        <v>111.75</v>
      </c>
      <c r="H22" s="96">
        <f t="shared" si="1"/>
        <v>0.12577377602701181</v>
      </c>
      <c r="I22" s="57"/>
    </row>
    <row r="23" spans="2:15" x14ac:dyDescent="0.45">
      <c r="B23" s="11"/>
      <c r="C23" s="6">
        <v>200000</v>
      </c>
      <c r="D23" s="54" t="s">
        <v>30</v>
      </c>
      <c r="E23" s="31">
        <f>Rates!D$11+(Rates!D$12*18)+((C23-20000)/1000)*Rates!D$13</f>
        <v>1731.4999999999998</v>
      </c>
      <c r="F23" s="31">
        <f>Rates!E$11+(Rates!E$12*18)+((C23-20000)/1000)*Rates!E$13</f>
        <v>1949.25</v>
      </c>
      <c r="G23" s="17">
        <f t="shared" si="2"/>
        <v>217.75000000000023</v>
      </c>
      <c r="H23" s="96">
        <f t="shared" si="1"/>
        <v>0.12575801328328054</v>
      </c>
      <c r="I23" s="57"/>
    </row>
    <row r="24" spans="2:15" x14ac:dyDescent="0.45">
      <c r="B24" s="11"/>
      <c r="C24" s="6">
        <v>500000</v>
      </c>
      <c r="D24" s="54" t="s">
        <v>30</v>
      </c>
      <c r="E24" s="31">
        <f>Rates!D$11+(Rates!D$12*18)+((C24-20000)/1000)*Rates!D$13</f>
        <v>4260.5</v>
      </c>
      <c r="F24" s="31">
        <f>Rates!E$11+(Rates!E$12*18)+((C24-20000)/1000)*Rates!E$13</f>
        <v>4796.25</v>
      </c>
      <c r="G24" s="17">
        <f t="shared" si="2"/>
        <v>535.75</v>
      </c>
      <c r="H24" s="96">
        <f t="shared" si="1"/>
        <v>0.12574815162539607</v>
      </c>
      <c r="I24" s="57"/>
    </row>
    <row r="25" spans="2:15" ht="6" customHeight="1" x14ac:dyDescent="0.45">
      <c r="B25" s="13"/>
      <c r="C25" s="5"/>
      <c r="D25" s="4"/>
      <c r="E25" s="56"/>
      <c r="F25" s="55"/>
      <c r="G25" s="55"/>
      <c r="H25" s="5"/>
      <c r="I25" s="14"/>
    </row>
    <row r="27" spans="2:15" x14ac:dyDescent="0.45">
      <c r="D27" s="65" t="s">
        <v>93</v>
      </c>
    </row>
  </sheetData>
  <mergeCells count="3">
    <mergeCell ref="B2:I2"/>
    <mergeCell ref="B3:I3"/>
    <mergeCell ref="B4:I4"/>
  </mergeCells>
  <printOptions horizontalCentered="1"/>
  <pageMargins left="0.7" right="0.7" top="1.100000000000000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SAO</vt:lpstr>
      <vt:lpstr>Wages</vt:lpstr>
      <vt:lpstr>Medical</vt:lpstr>
      <vt:lpstr>Debt Service</vt:lpstr>
      <vt:lpstr>Depreciation</vt:lpstr>
      <vt:lpstr>Capital</vt:lpstr>
      <vt:lpstr>Water Loss</vt:lpstr>
      <vt:lpstr>Rates</vt:lpstr>
      <vt:lpstr>Bills</vt:lpstr>
      <vt:lpstr>Bills with Surcharge</vt:lpstr>
      <vt:lpstr>ExBA</vt:lpstr>
      <vt:lpstr>PrBA</vt:lpstr>
      <vt:lpstr>Notice_R</vt:lpstr>
      <vt:lpstr>Notice_W</vt:lpstr>
      <vt:lpstr>Bills!Print_Area</vt:lpstr>
      <vt:lpstr>'Debt Service'!Print_Area</vt:lpstr>
      <vt:lpstr>Depreciation!Print_Area</vt:lpstr>
      <vt:lpstr>PrBA!Print_Area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2022-01-17T21:23:27Z</cp:lastPrinted>
  <dcterms:created xsi:type="dcterms:W3CDTF">2016-05-18T14:12:06Z</dcterms:created>
  <dcterms:modified xsi:type="dcterms:W3CDTF">2022-04-06T23:13:08Z</dcterms:modified>
</cp:coreProperties>
</file>