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Beech Grove WSI/"/>
    </mc:Choice>
  </mc:AlternateContent>
  <xr:revisionPtr revIDLastSave="62" documentId="14_{A1E9411C-1CC3-4C61-9696-902517157943}" xr6:coauthVersionLast="47" xr6:coauthVersionMax="47" xr10:uidLastSave="{A5705893-8330-4F53-BC64-3EFEE1BD8000}"/>
  <bookViews>
    <workbookView minimized="1" xWindow="10245" yWindow="1560" windowWidth="10275" windowHeight="11400" tabRatio="641" activeTab="7" xr2:uid="{00000000-000D-0000-FFFF-FFFF00000000}"/>
  </bookViews>
  <sheets>
    <sheet name="SAO" sheetId="6" r:id="rId1"/>
    <sheet name="Wages" sheetId="55" r:id="rId2"/>
    <sheet name="Medical" sheetId="40" r:id="rId3"/>
    <sheet name="Debt Service" sheetId="50" r:id="rId4"/>
    <sheet name="Depreciation" sheetId="51" r:id="rId5"/>
    <sheet name="Capital" sheetId="56" r:id="rId6"/>
    <sheet name="Purchased Water" sheetId="54" r:id="rId7"/>
    <sheet name="Meter Test" sheetId="59" r:id="rId8"/>
    <sheet name="Rates" sheetId="2" r:id="rId9"/>
    <sheet name="Bills" sheetId="42" r:id="rId10"/>
    <sheet name="Bills with Surcharge" sheetId="57" r:id="rId11"/>
    <sheet name="ExBA" sheetId="52" r:id="rId12"/>
    <sheet name="PrBA" sheetId="58" r:id="rId13"/>
  </sheets>
  <definedNames>
    <definedName name="AHV">#REF!</definedName>
    <definedName name="_xlnm.Print_Area" localSheetId="9">Bills!$B$1:$I$27</definedName>
    <definedName name="_xlnm.Print_Area" localSheetId="3">'Debt Service'!$A$1:$O$21</definedName>
    <definedName name="_xlnm.Print_Area" localSheetId="4">Depreciation!$A$1:$L$47</definedName>
    <definedName name="_xlnm.Print_Area" localSheetId="11">ExBA!$A$1:$K$32</definedName>
    <definedName name="_xlnm.Print_Area" localSheetId="12">PrBA!$A$1:$H$32</definedName>
    <definedName name="_xlnm.Print_Area" localSheetId="8">Rates!$B$1:$I$27</definedName>
    <definedName name="_xlnm.Print_Area" localSheetId="0">SAO!$A$1:$G$56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59" l="1"/>
  <c r="L24" i="59" s="1"/>
  <c r="H23" i="59"/>
  <c r="I24" i="59" s="1"/>
  <c r="E23" i="59"/>
  <c r="F24" i="59" s="1"/>
  <c r="F25" i="59" s="1"/>
  <c r="B23" i="59"/>
  <c r="C24" i="59" s="1"/>
  <c r="L6" i="59"/>
  <c r="L7" i="59" s="1"/>
  <c r="I6" i="59"/>
  <c r="L16" i="59"/>
  <c r="I16" i="59"/>
  <c r="I7" i="59"/>
  <c r="F6" i="59"/>
  <c r="F16" i="59"/>
  <c r="F7" i="59"/>
  <c r="C16" i="59"/>
  <c r="C7" i="59"/>
  <c r="D5" i="54"/>
  <c r="D6" i="54"/>
  <c r="B7" i="54"/>
  <c r="D10" i="54"/>
  <c r="F32" i="52"/>
  <c r="D32" i="58"/>
  <c r="F7" i="58" s="1"/>
  <c r="F8" i="58" s="1"/>
  <c r="E32" i="52"/>
  <c r="F8" i="52"/>
  <c r="F7" i="52"/>
  <c r="L12" i="50"/>
  <c r="K12" i="50"/>
  <c r="J12" i="50"/>
  <c r="I12" i="50"/>
  <c r="H12" i="50"/>
  <c r="G12" i="50"/>
  <c r="F12" i="50"/>
  <c r="E12" i="50"/>
  <c r="L25" i="59" l="1"/>
  <c r="F27" i="59"/>
  <c r="L27" i="59"/>
  <c r="I27" i="59"/>
  <c r="I25" i="59"/>
  <c r="C25" i="59"/>
  <c r="C27" i="59"/>
  <c r="D7" i="54"/>
  <c r="D9" i="54" s="1"/>
  <c r="D11" i="54" s="1"/>
  <c r="G7" i="52"/>
  <c r="G8" i="52" s="1"/>
  <c r="G10" i="52" s="1"/>
  <c r="D12" i="50"/>
  <c r="C12" i="50"/>
  <c r="C27" i="58"/>
  <c r="C26" i="58"/>
  <c r="G19" i="58"/>
  <c r="D19" i="58"/>
  <c r="C19" i="58"/>
  <c r="G18" i="58"/>
  <c r="F18" i="58"/>
  <c r="D18" i="58"/>
  <c r="C18" i="58"/>
  <c r="B27" i="58"/>
  <c r="B26" i="58"/>
  <c r="B25" i="58"/>
  <c r="G17" i="58"/>
  <c r="F17" i="58"/>
  <c r="E17" i="58"/>
  <c r="E25" i="52"/>
  <c r="E26" i="52"/>
  <c r="E27" i="52"/>
  <c r="E19" i="52"/>
  <c r="E19" i="58" s="1"/>
  <c r="D20" i="52"/>
  <c r="D20" i="58" s="1"/>
  <c r="C20" i="52"/>
  <c r="F20" i="52" s="1"/>
  <c r="F20" i="58" s="1"/>
  <c r="I26" i="6"/>
  <c r="I25" i="6"/>
  <c r="I35" i="6"/>
  <c r="E35" i="6"/>
  <c r="I20" i="6"/>
  <c r="I23" i="6"/>
  <c r="I18" i="6"/>
  <c r="I39" i="6"/>
  <c r="I19" i="6"/>
  <c r="E20" i="6"/>
  <c r="E39" i="6"/>
  <c r="G39" i="6" s="1"/>
  <c r="G21" i="55"/>
  <c r="E23" i="6"/>
  <c r="G23" i="6" s="1"/>
  <c r="E19" i="6"/>
  <c r="E18" i="6"/>
  <c r="B30" i="55"/>
  <c r="E6" i="55"/>
  <c r="F6" i="55"/>
  <c r="B43" i="54"/>
  <c r="B42" i="54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9" i="57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D33" i="6"/>
  <c r="D32" i="6"/>
  <c r="D29" i="6"/>
  <c r="G12" i="6"/>
  <c r="G8" i="6"/>
  <c r="A43" i="54"/>
  <c r="A42" i="54"/>
  <c r="D21" i="58" l="1"/>
  <c r="C20" i="58"/>
  <c r="C21" i="58" s="1"/>
  <c r="E6" i="58" s="1"/>
  <c r="E24" i="6"/>
  <c r="B41" i="54"/>
  <c r="E20" i="52"/>
  <c r="B34" i="55"/>
  <c r="G15" i="55" s="1"/>
  <c r="G6" i="55"/>
  <c r="F44" i="51"/>
  <c r="J19" i="51"/>
  <c r="J18" i="51"/>
  <c r="J42" i="51"/>
  <c r="J23" i="51"/>
  <c r="K23" i="51" s="1"/>
  <c r="F9" i="40"/>
  <c r="H9" i="40" s="1"/>
  <c r="F8" i="40"/>
  <c r="H8" i="40" s="1"/>
  <c r="F7" i="40"/>
  <c r="H7" i="40" s="1"/>
  <c r="F6" i="40"/>
  <c r="H6" i="40" s="1"/>
  <c r="C10" i="40"/>
  <c r="B10" i="40"/>
  <c r="G20" i="52" l="1"/>
  <c r="G20" i="58" s="1"/>
  <c r="G21" i="58" s="1"/>
  <c r="E20" i="58"/>
  <c r="H10" i="40"/>
  <c r="C12" i="40" s="1"/>
  <c r="C14" i="40" s="1"/>
  <c r="K19" i="51"/>
  <c r="K18" i="51"/>
  <c r="K42" i="51"/>
  <c r="F10" i="40"/>
  <c r="C6" i="56"/>
  <c r="C5" i="56"/>
  <c r="C7" i="55"/>
  <c r="B7" i="55"/>
  <c r="F5" i="55"/>
  <c r="C33" i="54"/>
  <c r="C25" i="54"/>
  <c r="C16" i="54"/>
  <c r="B27" i="52"/>
  <c r="B26" i="52"/>
  <c r="B25" i="52"/>
  <c r="D21" i="52"/>
  <c r="E18" i="52"/>
  <c r="E18" i="58" s="1"/>
  <c r="H18" i="58" s="1"/>
  <c r="C21" i="52"/>
  <c r="G17" i="52"/>
  <c r="F17" i="52"/>
  <c r="E17" i="52"/>
  <c r="E6" i="52" l="1"/>
  <c r="D49" i="54"/>
  <c r="C25" i="52"/>
  <c r="C28" i="52" s="1"/>
  <c r="E21" i="58"/>
  <c r="H20" i="58"/>
  <c r="C34" i="54"/>
  <c r="D36" i="54"/>
  <c r="D38" i="54" s="1"/>
  <c r="C41" i="54" s="1"/>
  <c r="D41" i="54" s="1"/>
  <c r="E25" i="6" s="1"/>
  <c r="F7" i="55"/>
  <c r="E5" i="55"/>
  <c r="E7" i="55" s="1"/>
  <c r="H18" i="52"/>
  <c r="F19" i="52"/>
  <c r="F19" i="58" s="1"/>
  <c r="H21" i="58" l="1"/>
  <c r="F6" i="58" s="1"/>
  <c r="F21" i="58"/>
  <c r="H19" i="58"/>
  <c r="C25" i="58"/>
  <c r="C28" i="58" s="1"/>
  <c r="F25" i="52"/>
  <c r="C43" i="54"/>
  <c r="D43" i="54" s="1"/>
  <c r="C42" i="54"/>
  <c r="D42" i="54" s="1"/>
  <c r="E26" i="6" s="1"/>
  <c r="G25" i="6"/>
  <c r="F21" i="52"/>
  <c r="D26" i="52" s="1"/>
  <c r="G21" i="52"/>
  <c r="D27" i="52" s="1"/>
  <c r="G5" i="55"/>
  <c r="H19" i="52"/>
  <c r="E21" i="52"/>
  <c r="D25" i="52" s="1"/>
  <c r="D25" i="58" s="1"/>
  <c r="F26" i="52" l="1"/>
  <c r="F28" i="52" s="1"/>
  <c r="D26" i="58"/>
  <c r="F27" i="52"/>
  <c r="D27" i="58"/>
  <c r="D44" i="54"/>
  <c r="G7" i="55"/>
  <c r="G9" i="55" s="1"/>
  <c r="G14" i="55" s="1"/>
  <c r="G16" i="55" s="1"/>
  <c r="E21" i="6" s="1"/>
  <c r="G21" i="6" s="1"/>
  <c r="G24" i="55"/>
  <c r="G26" i="55" s="1"/>
  <c r="G28" i="55" s="1"/>
  <c r="D28" i="52"/>
  <c r="H20" i="52"/>
  <c r="H21" i="52" s="1"/>
  <c r="F6" i="52" s="1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14" i="50"/>
  <c r="I14" i="50"/>
  <c r="G14" i="50"/>
  <c r="E14" i="50"/>
  <c r="C14" i="50"/>
  <c r="M12" i="50"/>
  <c r="L14" i="50"/>
  <c r="J14" i="50"/>
  <c r="H14" i="50"/>
  <c r="F14" i="50"/>
  <c r="D14" i="50"/>
  <c r="D28" i="58" l="1"/>
  <c r="D48" i="54"/>
  <c r="D50" i="54" s="1"/>
  <c r="E23" i="2" s="1"/>
  <c r="G23" i="2" s="1"/>
  <c r="G6" i="52"/>
  <c r="G18" i="55"/>
  <c r="G20" i="55" s="1"/>
  <c r="G22" i="55" s="1"/>
  <c r="K44" i="51"/>
  <c r="E38" i="6" s="1"/>
  <c r="G38" i="6" s="1"/>
  <c r="J44" i="51"/>
  <c r="F49" i="51" s="1"/>
  <c r="F51" i="51" s="1"/>
  <c r="P14" i="50"/>
  <c r="M14" i="50"/>
  <c r="M17" i="50" s="1"/>
  <c r="G46" i="6" s="1"/>
  <c r="G12" i="52" l="1"/>
  <c r="M19" i="50"/>
  <c r="G47" i="6" s="1"/>
  <c r="E9" i="42"/>
  <c r="K12" i="52" l="1"/>
  <c r="E6" i="6"/>
  <c r="G6" i="6" s="1"/>
  <c r="G53" i="6" s="1"/>
  <c r="P19" i="50"/>
  <c r="G35" i="6"/>
  <c r="G34" i="6"/>
  <c r="G33" i="6"/>
  <c r="G32" i="6"/>
  <c r="G31" i="6"/>
  <c r="G30" i="6"/>
  <c r="G28" i="6"/>
  <c r="G27" i="6"/>
  <c r="G26" i="6"/>
  <c r="G22" i="6"/>
  <c r="G7" i="6"/>
  <c r="G50" i="6" s="1"/>
  <c r="G9" i="6"/>
  <c r="G29" i="6" l="1"/>
  <c r="G13" i="6" l="1"/>
  <c r="F13" i="2" l="1"/>
  <c r="F11" i="2"/>
  <c r="G11" i="6" l="1"/>
  <c r="D14" i="6"/>
  <c r="D36" i="6"/>
  <c r="G49" i="6" l="1"/>
  <c r="G36" i="6"/>
  <c r="D40" i="6"/>
  <c r="G40" i="6" l="1"/>
  <c r="G14" i="6"/>
  <c r="D42" i="6"/>
  <c r="G45" i="6" l="1"/>
  <c r="G48" i="6" s="1"/>
  <c r="G42" i="6"/>
  <c r="G52" i="6" l="1"/>
  <c r="G11" i="58" s="1"/>
  <c r="G54" i="6" l="1"/>
  <c r="G56" i="6" s="1"/>
  <c r="E18" i="2" l="1"/>
  <c r="E32" i="58" s="1"/>
  <c r="E13" i="2"/>
  <c r="E27" i="58" s="1"/>
  <c r="F27" i="58" s="1"/>
  <c r="E12" i="2"/>
  <c r="E26" i="58" s="1"/>
  <c r="F26" i="58" s="1"/>
  <c r="E11" i="2"/>
  <c r="E25" i="58" s="1"/>
  <c r="F25" i="58" s="1"/>
  <c r="F32" i="58" l="1"/>
  <c r="G7" i="58" s="1"/>
  <c r="F28" i="58"/>
  <c r="G6" i="58" s="1"/>
  <c r="F22" i="42"/>
  <c r="G22" i="42" s="1"/>
  <c r="H22" i="42" s="1"/>
  <c r="F14" i="42"/>
  <c r="G14" i="42" s="1"/>
  <c r="H14" i="42" s="1"/>
  <c r="F20" i="42"/>
  <c r="G20" i="42" s="1"/>
  <c r="H20" i="42" s="1"/>
  <c r="F12" i="42"/>
  <c r="G12" i="42" s="1"/>
  <c r="H12" i="42" s="1"/>
  <c r="F19" i="42"/>
  <c r="G19" i="42" s="1"/>
  <c r="H19" i="42" s="1"/>
  <c r="F11" i="42"/>
  <c r="G11" i="42" s="1"/>
  <c r="H11" i="42" s="1"/>
  <c r="F24" i="42"/>
  <c r="G24" i="42" s="1"/>
  <c r="H24" i="42" s="1"/>
  <c r="F18" i="42"/>
  <c r="G18" i="42" s="1"/>
  <c r="H18" i="42" s="1"/>
  <c r="F10" i="42"/>
  <c r="G10" i="42" s="1"/>
  <c r="H10" i="42" s="1"/>
  <c r="F15" i="42"/>
  <c r="G15" i="42" s="1"/>
  <c r="H15" i="42" s="1"/>
  <c r="F13" i="42"/>
  <c r="G13" i="42" s="1"/>
  <c r="H13" i="42" s="1"/>
  <c r="F23" i="42"/>
  <c r="G23" i="42" s="1"/>
  <c r="H23" i="42" s="1"/>
  <c r="F17" i="42"/>
  <c r="G17" i="42" s="1"/>
  <c r="H17" i="42" s="1"/>
  <c r="F16" i="42"/>
  <c r="G16" i="42" s="1"/>
  <c r="H16" i="42" s="1"/>
  <c r="F21" i="42"/>
  <c r="G21" i="42" s="1"/>
  <c r="H21" i="42" s="1"/>
  <c r="F17" i="57"/>
  <c r="G17" i="57" s="1"/>
  <c r="H17" i="57" s="1"/>
  <c r="F23" i="57"/>
  <c r="G23" i="57" s="1"/>
  <c r="H23" i="57" s="1"/>
  <c r="F24" i="57"/>
  <c r="G24" i="57" s="1"/>
  <c r="H24" i="57" s="1"/>
  <c r="F20" i="57"/>
  <c r="G20" i="57" s="1"/>
  <c r="H20" i="57" s="1"/>
  <c r="F12" i="57"/>
  <c r="G12" i="57" s="1"/>
  <c r="H12" i="57" s="1"/>
  <c r="F19" i="57"/>
  <c r="G19" i="57" s="1"/>
  <c r="H19" i="57" s="1"/>
  <c r="F22" i="57"/>
  <c r="G22" i="57" s="1"/>
  <c r="H22" i="57" s="1"/>
  <c r="F9" i="57"/>
  <c r="G9" i="57" s="1"/>
  <c r="H9" i="57" s="1"/>
  <c r="F13" i="57"/>
  <c r="G13" i="57" s="1"/>
  <c r="H13" i="57" s="1"/>
  <c r="F16" i="57"/>
  <c r="G16" i="57" s="1"/>
  <c r="H16" i="57" s="1"/>
  <c r="F15" i="57"/>
  <c r="G15" i="57" s="1"/>
  <c r="H15" i="57" s="1"/>
  <c r="F10" i="57"/>
  <c r="G10" i="57" s="1"/>
  <c r="H10" i="57" s="1"/>
  <c r="F11" i="57"/>
  <c r="G11" i="57" s="1"/>
  <c r="H11" i="57" s="1"/>
  <c r="F14" i="57"/>
  <c r="G14" i="57" s="1"/>
  <c r="H14" i="57" s="1"/>
  <c r="F18" i="57"/>
  <c r="G18" i="57" s="1"/>
  <c r="H18" i="57" s="1"/>
  <c r="F21" i="57"/>
  <c r="G21" i="57" s="1"/>
  <c r="H21" i="57" s="1"/>
  <c r="F9" i="42"/>
  <c r="G9" i="42" s="1"/>
  <c r="H9" i="42" s="1"/>
  <c r="G13" i="2"/>
  <c r="G12" i="2"/>
  <c r="H12" i="2" s="1"/>
  <c r="G18" i="2"/>
  <c r="H18" i="2" s="1"/>
  <c r="G11" i="2"/>
  <c r="H11" i="2" s="1"/>
  <c r="G8" i="58" l="1"/>
  <c r="G10" i="58" s="1"/>
  <c r="G12" i="58" s="1"/>
  <c r="H13" i="2"/>
</calcChain>
</file>

<file path=xl/sharedStrings.xml><?xml version="1.0" encoding="utf-8"?>
<sst xmlns="http://schemas.openxmlformats.org/spreadsheetml/2006/main" count="499" uniqueCount="314">
  <si>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</si>
  <si>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</si>
  <si>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</si>
  <si>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</si>
  <si>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</si>
  <si>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</si>
  <si>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</si>
  <si>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</si>
  <si>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Contractual Services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</si>
  <si>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</si>
  <si>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</si>
  <si>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</si>
  <si>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</si>
  <si>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</si>
  <si>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</si>
  <si>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</si>
  <si>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</si>
  <si>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</si>
  <si>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</si>
  <si>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</si>
  <si>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</si>
  <si>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</si>
  <si>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</si>
  <si>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</si>
  <si>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</si>
  <si>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</si>
  <si>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</si>
  <si>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</si>
  <si>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</si>
  <si>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</si>
  <si>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</si>
  <si>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</si>
  <si>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</si>
  <si>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</si>
  <si>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</si>
  <si>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</si>
  <si>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</si>
  <si>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Insurance - Gen. Liab. &amp; Workers Comp.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</si>
  <si>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</si>
  <si>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</si>
  <si>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</si>
  <si>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</si>
  <si>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</si>
  <si>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</si>
  <si>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</si>
  <si>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</si>
  <si>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</si>
  <si>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</si>
  <si>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</si>
  <si>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</si>
  <si>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</si>
  <si>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</si>
  <si>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SUMMARY</t>
  </si>
  <si>
    <t>FIRST</t>
  </si>
  <si>
    <t>ALL OVER</t>
  </si>
  <si>
    <t>USAGE</t>
  </si>
  <si>
    <t>BILLS</t>
  </si>
  <si>
    <t>GALLONS</t>
  </si>
  <si>
    <t>TOTAL</t>
  </si>
  <si>
    <t>RATE</t>
  </si>
  <si>
    <t>REVENUE</t>
  </si>
  <si>
    <t>CURRENT AND PROPOSED RATES</t>
  </si>
  <si>
    <t>Current</t>
  </si>
  <si>
    <t xml:space="preserve">  RETAIL RATES  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</si>
  <si>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</si>
  <si>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</si>
  <si>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</si>
  <si>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</si>
  <si>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</si>
  <si>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</si>
  <si>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</si>
  <si>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</si>
  <si>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</si>
  <si>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</si>
  <si>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</si>
  <si>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</si>
  <si>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</si>
  <si>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</si>
  <si>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</si>
  <si>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</si>
  <si>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</si>
  <si>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per Month*</t>
  </si>
  <si>
    <t>* Highlighted usage represents the average residential bill.</t>
  </si>
  <si>
    <t>Chemicals</t>
  </si>
  <si>
    <t>For all Water Sold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</si>
  <si>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</si>
  <si>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</si>
  <si>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</si>
  <si>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</si>
  <si>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</si>
  <si>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</si>
  <si>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</si>
  <si>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</si>
  <si>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</si>
  <si>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</si>
  <si>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</si>
  <si>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</si>
  <si>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</si>
  <si>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</si>
  <si>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</si>
  <si>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</si>
  <si>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</si>
  <si>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</si>
  <si>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</si>
  <si>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</si>
  <si>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</si>
  <si>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</si>
  <si>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</si>
  <si>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</si>
  <si>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</si>
  <si>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</si>
  <si>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</si>
  <si>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</si>
  <si>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</si>
  <si>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</si>
  <si>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</si>
  <si>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</si>
  <si>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</si>
  <si>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</si>
  <si>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</si>
  <si>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</si>
  <si>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</si>
  <si>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</si>
  <si>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</si>
  <si>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</si>
  <si>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</si>
  <si>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</si>
  <si>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</si>
  <si>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</si>
  <si>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</si>
  <si>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</si>
  <si>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</si>
  <si>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</si>
  <si>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</si>
  <si>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</si>
  <si>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</si>
  <si>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</si>
  <si>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</si>
  <si>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</si>
  <si>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</si>
  <si>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</si>
  <si>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</si>
  <si>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</si>
  <si>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</si>
  <si>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</si>
  <si>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</si>
  <si>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</si>
  <si>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</si>
  <si>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</si>
  <si>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</si>
  <si>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CURRENT BILLING ANALYSIS WITH 2020 USAGE &amp; EXISTING RATES</t>
  </si>
  <si>
    <t>NEXT</t>
  </si>
  <si>
    <t>RETAIL REVENUE BY RATE INCREMENT</t>
  </si>
  <si>
    <t>THOUSAND GALLONS</t>
  </si>
  <si>
    <t>PROPOSED BILLING ANALYSIS WITH 2020 USAGE &amp; PROPOSED RATES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</si>
  <si>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</si>
  <si>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</si>
  <si>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</si>
  <si>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</si>
  <si>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</si>
  <si>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</si>
  <si>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</si>
  <si>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</si>
  <si>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</si>
  <si>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</si>
  <si>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</si>
  <si>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</si>
  <si>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</si>
  <si>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</si>
  <si>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Tank O.F.</t>
  </si>
  <si>
    <t xml:space="preserve">   Line Brks.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</si>
  <si>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</si>
  <si>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</si>
  <si>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</si>
  <si>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</si>
  <si>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</si>
  <si>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</si>
  <si>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D</t>
  </si>
  <si>
    <t>E</t>
  </si>
  <si>
    <t>COMPONENT</t>
  </si>
  <si>
    <t>LESS ADJUSTMENTS</t>
  </si>
  <si>
    <t>FROM PSC ANNUAL REPORT</t>
  </si>
  <si>
    <t>DIFFERENCE</t>
  </si>
  <si>
    <t>ADJUSTMENT TO SAO BILLED RETAIL REVENUES</t>
  </si>
  <si>
    <t>F</t>
  </si>
  <si>
    <t>H</t>
  </si>
  <si>
    <t>Labor and Materials Adjustment for New Service Installations</t>
  </si>
  <si>
    <t xml:space="preserve">Labor </t>
  </si>
  <si>
    <t xml:space="preserve">Materials </t>
  </si>
  <si>
    <t>New Meter Fees Collected</t>
  </si>
  <si>
    <t>Medical Insurance Adjustment</t>
  </si>
  <si>
    <t>MONTHLY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</si>
  <si>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</si>
  <si>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</si>
  <si>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</si>
  <si>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</si>
  <si>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</si>
  <si>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</si>
  <si>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</si>
  <si>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</si>
  <si>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</si>
  <si>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</si>
  <si>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</si>
  <si>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Allowable Employer Premium</t>
  </si>
  <si>
    <t>Medical Adjustment</t>
  </si>
  <si>
    <t>Medical</t>
  </si>
  <si>
    <t>Dental</t>
  </si>
  <si>
    <t>Vision</t>
  </si>
  <si>
    <t>Administrative</t>
  </si>
  <si>
    <t>Less Annual Premium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</si>
  <si>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</si>
  <si>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</si>
  <si>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</si>
  <si>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</si>
  <si>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</si>
  <si>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Allowed Depreciation</t>
  </si>
  <si>
    <t>Less: Reported Depreciation</t>
  </si>
  <si>
    <t>Adjustment to Allowed Depreciation</t>
  </si>
  <si>
    <t>L</t>
  </si>
  <si>
    <t>``</t>
  </si>
  <si>
    <t>Pension</t>
  </si>
  <si>
    <t>Eligible</t>
  </si>
  <si>
    <t>TABLE D</t>
  </si>
  <si>
    <t>WATER LOSS REDUCTION SURCHARGE</t>
  </si>
  <si>
    <t>Amount per Customer</t>
  </si>
  <si>
    <t>per month</t>
  </si>
  <si>
    <t>Total Adjustment</t>
  </si>
  <si>
    <t>Monthly Surcharge Amount</t>
  </si>
  <si>
    <t>CURRENT AND PROPOSED BILLS</t>
  </si>
  <si>
    <t>/ Number of Bills</t>
  </si>
  <si>
    <t>CURRENT AND PROPOSED BILLS WITH SURCHARGE</t>
  </si>
  <si>
    <t>TABLE E</t>
  </si>
  <si>
    <t>Beech Grove Water System, Inc.</t>
  </si>
  <si>
    <t xml:space="preserve">   Excavation Damages</t>
  </si>
  <si>
    <t>BEECH GROVE WATER SYSTEM, INC.</t>
  </si>
  <si>
    <t>First 2,000 Gallons</t>
  </si>
  <si>
    <t>Next 98,000 Gallons</t>
  </si>
  <si>
    <t>Over 100,000 Gallons</t>
  </si>
  <si>
    <t>Employee 1</t>
  </si>
  <si>
    <t>Employee 2</t>
  </si>
  <si>
    <t>No</t>
  </si>
  <si>
    <t>Reported Salaries and Wages</t>
  </si>
  <si>
    <t>Less: Pension Contribution</t>
  </si>
  <si>
    <t>Corrected Test Year Salaries</t>
  </si>
  <si>
    <t>Less: Corrected Test Year Salaries</t>
  </si>
  <si>
    <t>Less: Corrected Test Year Payroll Taxes</t>
  </si>
  <si>
    <t>Less: FICA Taxes Paid</t>
  </si>
  <si>
    <t>Less: Unemployment Tax Paid</t>
  </si>
  <si>
    <t>Purchased Water above allowable water loss.</t>
  </si>
  <si>
    <t>Purchased Power above allowable water loss.</t>
  </si>
  <si>
    <t>Chemicals above allowable water loss.</t>
  </si>
  <si>
    <t>Beech Grove Water System, Inc</t>
  </si>
  <si>
    <t>METERED WATER SALES</t>
  </si>
  <si>
    <t>NET METERED WATER SALES</t>
  </si>
  <si>
    <t>BEECH GROVE WATER SYSTEM INC</t>
  </si>
  <si>
    <t>BULK LOADING STATION</t>
  </si>
  <si>
    <t>Rate per Gallon per Month</t>
  </si>
  <si>
    <t>LESS REVENUE REQUIREMENT</t>
  </si>
  <si>
    <t>Computation of Water Loss Adjustment</t>
  </si>
  <si>
    <t>Computation of Water Loss Surcharge:</t>
  </si>
  <si>
    <t>A</t>
  </si>
  <si>
    <t>B</t>
  </si>
  <si>
    <t>C</t>
  </si>
  <si>
    <t>Pro Forma Wage Adjustment</t>
  </si>
  <si>
    <t>G</t>
  </si>
  <si>
    <t>J</t>
  </si>
  <si>
    <t>I</t>
  </si>
  <si>
    <t>Adjust Depreciation expense based upon allowed useful lives</t>
  </si>
  <si>
    <t>Average of five years of annual debt service</t>
  </si>
  <si>
    <t>Twenty percent of average annual debt service</t>
  </si>
  <si>
    <t>Adjust water sales to current billing analysis</t>
  </si>
  <si>
    <t>Pension contribution previously reported as salaries</t>
  </si>
  <si>
    <t>Taxes previously reported as salaries</t>
  </si>
  <si>
    <t>Miscellaneous expense previously reported as salaries</t>
  </si>
  <si>
    <t>From Trial Balance</t>
  </si>
  <si>
    <t>Promissory Note</t>
  </si>
  <si>
    <t>Purchased from Henderson</t>
  </si>
  <si>
    <t>Purchased from West Daviess</t>
  </si>
  <si>
    <t>Current Rate</t>
  </si>
  <si>
    <t>Projected Cost</t>
  </si>
  <si>
    <t>2020 Volume</t>
  </si>
  <si>
    <t>Proforma Purchased Water Cost</t>
  </si>
  <si>
    <t>Less: Purchased Water in 2020</t>
  </si>
  <si>
    <t>Adjustment to Purchased Water</t>
  </si>
  <si>
    <t>Purchased Water and Current Rates</t>
  </si>
  <si>
    <t>Proforma Purchased Water</t>
  </si>
  <si>
    <t>Computation of Adjustment to Purchases above Allowable Water Loss:</t>
  </si>
  <si>
    <t>Computation of Adjustment to Purchased Water Cost:</t>
  </si>
  <si>
    <t>Current *</t>
  </si>
  <si>
    <t>Increase in Purchased Water Rates from Henderson and West Daviess subsequent to 2020.</t>
  </si>
  <si>
    <t>RETAIL CONSUMPTION BY RATE INCREMENT</t>
  </si>
  <si>
    <t xml:space="preserve">BULK LOADING REVENUE </t>
  </si>
  <si>
    <t>BULK WATER SALES</t>
  </si>
  <si>
    <t>TOTAL WATER SALES</t>
  </si>
  <si>
    <t>* Current Rate based upon Purchased Water Adjustment Application February 4, 2022</t>
  </si>
  <si>
    <t>Reference</t>
  </si>
  <si>
    <t>Tab ExBA Cell G12</t>
  </si>
  <si>
    <t>Tab Wages Cell B31</t>
  </si>
  <si>
    <t>Tab Wages Cell B32</t>
  </si>
  <si>
    <t>Tab Wages Cell B33</t>
  </si>
  <si>
    <t>Tab Wages Cell G16</t>
  </si>
  <si>
    <t>Tab Depreciation Cell K44</t>
  </si>
  <si>
    <t>Tab Debt Service Cell M17</t>
  </si>
  <si>
    <t>Tab Debt Service Cell M19</t>
  </si>
  <si>
    <t>Increase in Purchased Water Cost, Computation of Water Loss Adjustment, and Computation of Water Loss Surcharge</t>
  </si>
  <si>
    <t>Tab Purchased Water Cell D11</t>
  </si>
  <si>
    <t>Tab Purchased Water Cell D41</t>
  </si>
  <si>
    <t>Tab Purchased Water Cell D42</t>
  </si>
  <si>
    <t>Effect of Meter Test Results on</t>
  </si>
  <si>
    <t>Water Loss Percentage</t>
  </si>
  <si>
    <t>At 99.2% Accuracy</t>
  </si>
  <si>
    <t>At 95.4% Accuracy</t>
  </si>
  <si>
    <t>Actual Results</t>
  </si>
  <si>
    <t>At 94.8%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</si>
</sst>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</numFmts>
  <fonts count="3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 val="singleAccounting"/>
      <sz val="14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362">
    <xf numFmtId="0" fontId="0" fillId="0" borderId="0" xfId="0"/>
    <xf numFmtId="0" fontId="5" fillId="0" borderId="0" xfId="0" applyFont="1"/>
    <xf numFmtId="165" fontId="5" fillId="0" borderId="0" xfId="0" applyNumberFormat="1" applyFont="1"/>
    <xf numFmtId="3" fontId="5" fillId="0" borderId="0" xfId="0" applyNumberFormat="1" applyFont="1"/>
    <xf numFmtId="0" fontId="0" fillId="0" borderId="6" xfId="0" applyBorder="1"/>
    <xf numFmtId="165" fontId="5" fillId="0" borderId="1" xfId="1" applyNumberFormat="1" applyFont="1" applyBorder="1"/>
    <xf numFmtId="165" fontId="5" fillId="0" borderId="0" xfId="1" applyNumberFormat="1" applyFont="1" applyBorder="1"/>
    <xf numFmtId="165" fontId="5" fillId="0" borderId="0" xfId="1" applyNumberFormat="1" applyFont="1"/>
    <xf numFmtId="165" fontId="5" fillId="0" borderId="3" xfId="1" applyNumberFormat="1" applyFont="1" applyBorder="1"/>
    <xf numFmtId="165" fontId="5" fillId="0" borderId="2" xfId="1" applyNumberFormat="1" applyFont="1" applyBorder="1"/>
    <xf numFmtId="165" fontId="5" fillId="0" borderId="4" xfId="1" applyNumberFormat="1" applyFont="1" applyBorder="1"/>
    <xf numFmtId="165" fontId="5" fillId="0" borderId="7" xfId="1" applyNumberFormat="1" applyFont="1" applyBorder="1"/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43" fontId="5" fillId="0" borderId="0" xfId="1" applyFont="1"/>
    <xf numFmtId="165" fontId="11" fillId="0" borderId="0" xfId="1" applyNumberFormat="1" applyFont="1" applyBorder="1" applyAlignment="1">
      <alignment horizontal="center"/>
    </xf>
    <xf numFmtId="43" fontId="5" fillId="0" borderId="0" xfId="1" applyFont="1" applyBorder="1"/>
    <xf numFmtId="165" fontId="5" fillId="0" borderId="0" xfId="5" applyNumberFormat="1" applyFont="1"/>
    <xf numFmtId="3" fontId="5" fillId="0" borderId="0" xfId="0" applyNumberFormat="1" applyFont="1" applyAlignment="1">
      <alignment horizontal="right"/>
    </xf>
    <xf numFmtId="165" fontId="5" fillId="0" borderId="7" xfId="5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5" fontId="5" fillId="0" borderId="1" xfId="5" applyNumberFormat="1" applyFont="1" applyBorder="1"/>
    <xf numFmtId="165" fontId="5" fillId="0" borderId="0" xfId="5" applyNumberFormat="1" applyFont="1" applyBorder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11" fillId="0" borderId="0" xfId="1" applyNumberFormat="1" applyFont="1"/>
    <xf numFmtId="167" fontId="10" fillId="0" borderId="0" xfId="5" applyNumberFormat="1" applyFont="1" applyBorder="1" applyAlignment="1">
      <alignment horizontal="center"/>
    </xf>
    <xf numFmtId="43" fontId="5" fillId="0" borderId="0" xfId="1" applyFont="1" applyBorder="1" applyAlignment="1"/>
    <xf numFmtId="43" fontId="5" fillId="0" borderId="0" xfId="1" applyFont="1" applyBorder="1" applyAlignment="1">
      <alignment horizontal="right"/>
    </xf>
    <xf numFmtId="43" fontId="5" fillId="0" borderId="7" xfId="1" applyFont="1" applyBorder="1"/>
    <xf numFmtId="43" fontId="5" fillId="0" borderId="0" xfId="1" applyFont="1" applyBorder="1" applyAlignment="1">
      <alignment horizontal="right" vertical="center"/>
    </xf>
    <xf numFmtId="44" fontId="5" fillId="0" borderId="0" xfId="2" applyFont="1" applyBorder="1" applyAlignment="1"/>
    <xf numFmtId="44" fontId="5" fillId="0" borderId="0" xfId="2" applyFont="1" applyBorder="1" applyAlignment="1">
      <alignment vertical="center"/>
    </xf>
    <xf numFmtId="165" fontId="5" fillId="0" borderId="1" xfId="0" applyNumberFormat="1" applyFont="1" applyBorder="1"/>
    <xf numFmtId="164" fontId="5" fillId="0" borderId="0" xfId="6" applyNumberFormat="1" applyFont="1"/>
    <xf numFmtId="165" fontId="8" fillId="0" borderId="0" xfId="1" applyNumberFormat="1" applyFont="1"/>
    <xf numFmtId="165" fontId="11" fillId="0" borderId="8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/>
    </xf>
    <xf numFmtId="43" fontId="5" fillId="0" borderId="8" xfId="1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3" fontId="5" fillId="0" borderId="1" xfId="1" applyFont="1" applyBorder="1"/>
    <xf numFmtId="43" fontId="5" fillId="0" borderId="5" xfId="1" applyFont="1" applyBorder="1"/>
    <xf numFmtId="166" fontId="5" fillId="0" borderId="8" xfId="3" applyNumberFormat="1" applyFont="1" applyBorder="1"/>
    <xf numFmtId="165" fontId="5" fillId="2" borderId="0" xfId="1" applyNumberFormat="1" applyFont="1" applyFill="1" applyBorder="1"/>
    <xf numFmtId="43" fontId="5" fillId="2" borderId="8" xfId="1" quotePrefix="1" applyFont="1" applyFill="1" applyBorder="1" applyAlignment="1">
      <alignment horizontal="center"/>
    </xf>
    <xf numFmtId="43" fontId="5" fillId="2" borderId="0" xfId="1" applyFont="1" applyFill="1" applyBorder="1"/>
    <xf numFmtId="166" fontId="5" fillId="2" borderId="8" xfId="3" applyNumberFormat="1" applyFont="1" applyFill="1" applyBorder="1"/>
    <xf numFmtId="165" fontId="15" fillId="0" borderId="0" xfId="1" applyNumberFormat="1" applyFont="1"/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/>
    <xf numFmtId="44" fontId="5" fillId="0" borderId="0" xfId="2" applyFont="1" applyBorder="1"/>
    <xf numFmtId="165" fontId="5" fillId="0" borderId="0" xfId="5" quotePrefix="1" applyNumberFormat="1" applyFont="1"/>
    <xf numFmtId="0" fontId="5" fillId="0" borderId="7" xfId="0" applyFont="1" applyBorder="1"/>
    <xf numFmtId="165" fontId="19" fillId="0" borderId="0" xfId="1" applyNumberFormat="1" applyFont="1"/>
    <xf numFmtId="165" fontId="5" fillId="0" borderId="0" xfId="1" applyNumberFormat="1" applyFont="1" applyAlignment="1">
      <alignment horizontal="centerContinuous" vertical="center"/>
    </xf>
    <xf numFmtId="165" fontId="5" fillId="0" borderId="0" xfId="1" applyNumberFormat="1" applyFont="1" applyAlignment="1">
      <alignment vertical="center"/>
    </xf>
    <xf numFmtId="165" fontId="13" fillId="0" borderId="0" xfId="1" applyNumberFormat="1" applyFont="1" applyAlignment="1">
      <alignment horizontal="centerContinuous" vertical="center"/>
    </xf>
    <xf numFmtId="165" fontId="10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20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left"/>
    </xf>
    <xf numFmtId="165" fontId="14" fillId="0" borderId="0" xfId="1" applyNumberFormat="1" applyFont="1" applyAlignment="1">
      <alignment horizontal="center"/>
    </xf>
    <xf numFmtId="165" fontId="12" fillId="0" borderId="0" xfId="1" quotePrefix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5" fontId="5" fillId="0" borderId="0" xfId="1" applyNumberFormat="1" applyFont="1" applyAlignment="1"/>
    <xf numFmtId="165" fontId="12" fillId="0" borderId="0" xfId="1" applyNumberFormat="1" applyFont="1" applyAlignment="1">
      <alignment vertical="center"/>
    </xf>
    <xf numFmtId="10" fontId="5" fillId="0" borderId="0" xfId="3" applyNumberFormat="1" applyFont="1" applyAlignment="1">
      <alignment vertical="center"/>
    </xf>
    <xf numFmtId="165" fontId="5" fillId="0" borderId="6" xfId="5" applyNumberFormat="1" applyFont="1" applyBorder="1"/>
    <xf numFmtId="165" fontId="5" fillId="0" borderId="0" xfId="5" applyNumberFormat="1" applyFont="1" applyBorder="1" applyAlignment="1">
      <alignment horizontal="center"/>
    </xf>
    <xf numFmtId="10" fontId="5" fillId="0" borderId="0" xfId="3" applyNumberFormat="1" applyFont="1" applyBorder="1" applyAlignment="1">
      <alignment vertical="center"/>
    </xf>
    <xf numFmtId="10" fontId="5" fillId="0" borderId="0" xfId="3" applyNumberFormat="1" applyFont="1" applyBorder="1"/>
    <xf numFmtId="10" fontId="5" fillId="2" borderId="0" xfId="3" applyNumberFormat="1" applyFont="1" applyFill="1" applyBorder="1"/>
    <xf numFmtId="165" fontId="5" fillId="0" borderId="8" xfId="5" applyNumberFormat="1" applyFont="1" applyBorder="1"/>
    <xf numFmtId="0" fontId="5" fillId="0" borderId="0" xfId="0" applyFont="1" applyBorder="1"/>
    <xf numFmtId="165" fontId="9" fillId="0" borderId="7" xfId="5" applyNumberFormat="1" applyFont="1" applyBorder="1" applyAlignment="1">
      <alignment horizontal="center"/>
    </xf>
    <xf numFmtId="165" fontId="5" fillId="0" borderId="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vertical="center"/>
    </xf>
    <xf numFmtId="165" fontId="5" fillId="0" borderId="3" xfId="5" applyNumberFormat="1" applyFont="1" applyBorder="1"/>
    <xf numFmtId="165" fontId="5" fillId="0" borderId="2" xfId="5" applyNumberFormat="1" applyFont="1" applyBorder="1"/>
    <xf numFmtId="165" fontId="5" fillId="0" borderId="4" xfId="5" applyNumberFormat="1" applyFont="1" applyBorder="1"/>
    <xf numFmtId="165" fontId="6" fillId="0" borderId="7" xfId="5" applyNumberFormat="1" applyFont="1" applyBorder="1" applyAlignment="1">
      <alignment horizontal="centerContinuous"/>
    </xf>
    <xf numFmtId="165" fontId="9" fillId="0" borderId="0" xfId="5" applyNumberFormat="1" applyFont="1" applyAlignment="1">
      <alignment horizontal="centerContinuous"/>
    </xf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3" fontId="13" fillId="0" borderId="7" xfId="0" applyNumberFormat="1" applyFont="1" applyBorder="1" applyAlignment="1">
      <alignment horizontal="centerContinuous" vertical="center"/>
    </xf>
    <xf numFmtId="165" fontId="26" fillId="0" borderId="7" xfId="5" applyNumberFormat="1" applyFont="1" applyBorder="1" applyAlignment="1">
      <alignment horizontal="centerContinuous"/>
    </xf>
    <xf numFmtId="165" fontId="5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5" fillId="0" borderId="9" xfId="5" applyNumberFormat="1" applyFont="1" applyBorder="1" applyAlignment="1">
      <alignment horizontal="left"/>
    </xf>
    <xf numFmtId="165" fontId="5" fillId="0" borderId="3" xfId="5" applyNumberFormat="1" applyFont="1" applyBorder="1" applyAlignment="1">
      <alignment horizontal="left"/>
    </xf>
    <xf numFmtId="165" fontId="5" fillId="0" borderId="2" xfId="5" applyNumberFormat="1" applyFont="1" applyBorder="1" applyAlignment="1">
      <alignment horizontal="left"/>
    </xf>
    <xf numFmtId="165" fontId="5" fillId="0" borderId="4" xfId="5" applyNumberFormat="1" applyFont="1" applyBorder="1" applyAlignment="1">
      <alignment horizontal="left"/>
    </xf>
    <xf numFmtId="165" fontId="5" fillId="0" borderId="10" xfId="5" applyNumberFormat="1" applyFont="1" applyBorder="1"/>
    <xf numFmtId="165" fontId="12" fillId="0" borderId="0" xfId="5" applyNumberFormat="1" applyFont="1" applyAlignment="1">
      <alignment horizontal="center" vertical="center"/>
    </xf>
    <xf numFmtId="165" fontId="9" fillId="0" borderId="8" xfId="5" applyNumberFormat="1" applyFont="1" applyBorder="1" applyAlignment="1">
      <alignment horizontal="center" vertical="center"/>
    </xf>
    <xf numFmtId="165" fontId="9" fillId="0" borderId="0" xfId="5" applyNumberFormat="1" applyFont="1" applyAlignment="1">
      <alignment horizontal="center" vertical="center"/>
    </xf>
    <xf numFmtId="165" fontId="12" fillId="0" borderId="8" xfId="5" applyNumberFormat="1" applyFont="1" applyBorder="1" applyAlignment="1">
      <alignment horizontal="center" vertical="center"/>
    </xf>
    <xf numFmtId="165" fontId="12" fillId="0" borderId="0" xfId="5" applyNumberFormat="1" applyFont="1" applyBorder="1" applyAlignment="1">
      <alignment horizontal="center" vertical="center"/>
    </xf>
    <xf numFmtId="165" fontId="5" fillId="0" borderId="10" xfId="5" applyNumberFormat="1" applyFont="1" applyBorder="1" applyAlignment="1">
      <alignment horizontal="left"/>
    </xf>
    <xf numFmtId="165" fontId="5" fillId="0" borderId="7" xfId="5" applyNumberFormat="1" applyFont="1" applyBorder="1" applyAlignment="1">
      <alignment horizontal="center"/>
    </xf>
    <xf numFmtId="165" fontId="5" fillId="0" borderId="0" xfId="5" applyNumberFormat="1" applyFont="1" applyAlignment="1">
      <alignment horizontal="center"/>
    </xf>
    <xf numFmtId="165" fontId="5" fillId="0" borderId="8" xfId="5" applyNumberFormat="1" applyFont="1" applyBorder="1" applyAlignment="1">
      <alignment horizontal="center"/>
    </xf>
    <xf numFmtId="165" fontId="5" fillId="0" borderId="0" xfId="5" quotePrefix="1" applyNumberFormat="1" applyFont="1" applyBorder="1" applyAlignment="1">
      <alignment horizontal="center"/>
    </xf>
    <xf numFmtId="165" fontId="5" fillId="0" borderId="10" xfId="5" quotePrefix="1" applyNumberFormat="1" applyFont="1" applyBorder="1" applyAlignment="1">
      <alignment horizontal="center"/>
    </xf>
    <xf numFmtId="165" fontId="5" fillId="0" borderId="7" xfId="5" quotePrefix="1" applyNumberFormat="1" applyFont="1" applyBorder="1" applyAlignment="1">
      <alignment horizontal="left"/>
    </xf>
    <xf numFmtId="165" fontId="5" fillId="0" borderId="0" xfId="5" quotePrefix="1" applyNumberFormat="1" applyFont="1" applyAlignment="1">
      <alignment horizontal="left"/>
    </xf>
    <xf numFmtId="165" fontId="5" fillId="0" borderId="8" xfId="5" quotePrefix="1" applyNumberFormat="1" applyFont="1" applyBorder="1" applyAlignment="1">
      <alignment horizontal="left"/>
    </xf>
    <xf numFmtId="165" fontId="9" fillId="0" borderId="7" xfId="5" quotePrefix="1" applyNumberFormat="1" applyFont="1" applyBorder="1" applyAlignment="1">
      <alignment horizontal="left"/>
    </xf>
    <xf numFmtId="165" fontId="9" fillId="0" borderId="0" xfId="5" quotePrefix="1" applyNumberFormat="1" applyFont="1" applyAlignment="1">
      <alignment horizontal="left"/>
    </xf>
    <xf numFmtId="165" fontId="9" fillId="0" borderId="8" xfId="5" quotePrefix="1" applyNumberFormat="1" applyFont="1" applyBorder="1" applyAlignment="1">
      <alignment horizontal="left"/>
    </xf>
    <xf numFmtId="164" fontId="9" fillId="0" borderId="0" xfId="6" quotePrefix="1" applyNumberFormat="1" applyFont="1" applyBorder="1" applyAlignment="1">
      <alignment horizontal="left"/>
    </xf>
    <xf numFmtId="165" fontId="9" fillId="0" borderId="11" xfId="5" applyNumberFormat="1" applyFont="1" applyBorder="1" applyAlignment="1">
      <alignment horizontal="right"/>
    </xf>
    <xf numFmtId="165" fontId="9" fillId="0" borderId="5" xfId="5" applyNumberFormat="1" applyFont="1" applyBorder="1" applyAlignment="1">
      <alignment horizontal="right"/>
    </xf>
    <xf numFmtId="165" fontId="9" fillId="0" borderId="1" xfId="5" applyNumberFormat="1" applyFont="1" applyBorder="1" applyAlignment="1">
      <alignment horizontal="right"/>
    </xf>
    <xf numFmtId="165" fontId="9" fillId="0" borderId="6" xfId="5" applyNumberFormat="1" applyFont="1" applyBorder="1" applyAlignment="1">
      <alignment horizontal="right"/>
    </xf>
    <xf numFmtId="165" fontId="9" fillId="0" borderId="8" xfId="5" applyNumberFormat="1" applyFont="1" applyBorder="1" applyAlignment="1">
      <alignment horizontal="right"/>
    </xf>
    <xf numFmtId="165" fontId="9" fillId="0" borderId="7" xfId="5" applyNumberFormat="1" applyFont="1" applyBorder="1" applyAlignment="1">
      <alignment horizontal="right"/>
    </xf>
    <xf numFmtId="165" fontId="9" fillId="0" borderId="0" xfId="5" applyNumberFormat="1" applyFont="1" applyAlignment="1">
      <alignment horizontal="right"/>
    </xf>
    <xf numFmtId="165" fontId="9" fillId="0" borderId="2" xfId="5" applyNumberFormat="1" applyFont="1" applyBorder="1" applyAlignment="1">
      <alignment horizontal="right"/>
    </xf>
    <xf numFmtId="165" fontId="9" fillId="0" borderId="7" xfId="5" applyNumberFormat="1" applyFont="1" applyBorder="1"/>
    <xf numFmtId="164" fontId="9" fillId="0" borderId="0" xfId="6" applyNumberFormat="1" applyFont="1"/>
    <xf numFmtId="165" fontId="9" fillId="0" borderId="0" xfId="5" applyNumberFormat="1" applyFont="1"/>
    <xf numFmtId="165" fontId="9" fillId="0" borderId="0" xfId="5" applyNumberFormat="1" applyFont="1" applyBorder="1"/>
    <xf numFmtId="164" fontId="9" fillId="0" borderId="0" xfId="6" applyNumberFormat="1" applyFont="1" applyBorder="1"/>
    <xf numFmtId="165" fontId="5" fillId="0" borderId="5" xfId="5" applyNumberFormat="1" applyFont="1" applyBorder="1" applyAlignment="1">
      <alignment horizontal="center"/>
    </xf>
    <xf numFmtId="165" fontId="5" fillId="0" borderId="1" xfId="5" applyNumberFormat="1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3" fontId="5" fillId="0" borderId="2" xfId="0" applyNumberFormat="1" applyFont="1" applyBorder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3" fontId="5" fillId="0" borderId="1" xfId="0" applyNumberFormat="1" applyFont="1" applyBorder="1"/>
    <xf numFmtId="44" fontId="1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5" applyNumberFormat="1" applyFont="1" applyAlignment="1"/>
    <xf numFmtId="167" fontId="5" fillId="0" borderId="2" xfId="5" applyNumberFormat="1" applyFont="1" applyBorder="1"/>
    <xf numFmtId="167" fontId="5" fillId="0" borderId="0" xfId="5" applyNumberFormat="1" applyFont="1" applyBorder="1" applyAlignment="1"/>
    <xf numFmtId="167" fontId="5" fillId="0" borderId="0" xfId="5" applyNumberFormat="1" applyFont="1" applyBorder="1" applyAlignment="1">
      <alignment horizontal="center"/>
    </xf>
    <xf numFmtId="167" fontId="15" fillId="0" borderId="0" xfId="5" applyNumberFormat="1" applyFont="1" applyBorder="1" applyAlignment="1"/>
    <xf numFmtId="170" fontId="5" fillId="0" borderId="0" xfId="0" applyNumberFormat="1" applyFont="1"/>
    <xf numFmtId="169" fontId="9" fillId="0" borderId="0" xfId="0" applyNumberFormat="1" applyFont="1"/>
    <xf numFmtId="167" fontId="5" fillId="0" borderId="0" xfId="5" quotePrefix="1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8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4" fontId="5" fillId="0" borderId="7" xfId="0" applyNumberFormat="1" applyFont="1" applyBorder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5" fontId="5" fillId="0" borderId="1" xfId="0" applyNumberFormat="1" applyFont="1" applyBorder="1" applyAlignment="1">
      <alignment horizontal="right"/>
    </xf>
    <xf numFmtId="44" fontId="5" fillId="0" borderId="1" xfId="2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3" fontId="5" fillId="0" borderId="0" xfId="1" applyFont="1" applyAlignment="1">
      <alignment horizontal="right"/>
    </xf>
    <xf numFmtId="10" fontId="5" fillId="0" borderId="1" xfId="3" applyNumberFormat="1" applyFont="1" applyBorder="1"/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/>
    </xf>
    <xf numFmtId="37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165" fontId="5" fillId="0" borderId="0" xfId="0" applyNumberFormat="1" applyFont="1" applyBorder="1"/>
    <xf numFmtId="165" fontId="5" fillId="0" borderId="0" xfId="1" applyNumberFormat="1" applyFont="1" applyBorder="1" applyAlignment="1"/>
    <xf numFmtId="164" fontId="5" fillId="0" borderId="0" xfId="6" applyNumberFormat="1" applyFont="1" applyBorder="1"/>
    <xf numFmtId="164" fontId="5" fillId="0" borderId="0" xfId="0" applyNumberFormat="1" applyFont="1" applyBorder="1"/>
    <xf numFmtId="164" fontId="0" fillId="0" borderId="0" xfId="0" applyNumberFormat="1" applyBorder="1" applyAlignment="1">
      <alignment vertical="top"/>
    </xf>
    <xf numFmtId="10" fontId="0" fillId="0" borderId="0" xfId="3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left"/>
    </xf>
    <xf numFmtId="164" fontId="5" fillId="0" borderId="0" xfId="2" applyNumberFormat="1" applyFont="1" applyBorder="1" applyAlignment="1"/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37" fontId="5" fillId="0" borderId="0" xfId="0" quotePrefix="1" applyNumberFormat="1" applyFont="1" applyBorder="1"/>
    <xf numFmtId="37" fontId="5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37" fontId="5" fillId="0" borderId="0" xfId="0" applyNumberFormat="1" applyFont="1" applyBorder="1" applyAlignment="1">
      <alignment horizontal="right"/>
    </xf>
    <xf numFmtId="165" fontId="5" fillId="0" borderId="0" xfId="5" applyNumberFormat="1" applyFont="1" applyBorder="1" applyAlignment="1">
      <alignment horizontal="right"/>
    </xf>
    <xf numFmtId="44" fontId="5" fillId="0" borderId="0" xfId="5" applyNumberFormat="1" applyFont="1" applyBorder="1"/>
    <xf numFmtId="165" fontId="5" fillId="0" borderId="0" xfId="1" applyNumberFormat="1" applyFont="1" applyFill="1" applyAlignment="1">
      <alignment vertical="center"/>
    </xf>
    <xf numFmtId="6" fontId="5" fillId="0" borderId="0" xfId="0" applyNumberFormat="1" applyFont="1"/>
    <xf numFmtId="9" fontId="5" fillId="0" borderId="0" xfId="0" applyNumberFormat="1" applyFont="1"/>
    <xf numFmtId="165" fontId="5" fillId="0" borderId="0" xfId="9" applyNumberFormat="1" applyFont="1" applyFill="1" applyBorder="1"/>
    <xf numFmtId="165" fontId="11" fillId="0" borderId="0" xfId="9" applyNumberFormat="1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9" applyFont="1" applyFill="1" applyBorder="1"/>
    <xf numFmtId="166" fontId="5" fillId="0" borderId="0" xfId="3" applyNumberFormat="1" applyFont="1" applyFill="1" applyBorder="1"/>
    <xf numFmtId="0" fontId="5" fillId="0" borderId="0" xfId="0" applyFont="1" applyFill="1" applyBorder="1" applyAlignment="1">
      <alignment horizontal="center"/>
    </xf>
    <xf numFmtId="44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0" xfId="0" quotePrefix="1" applyFont="1" applyFill="1" applyBorder="1"/>
    <xf numFmtId="43" fontId="23" fillId="0" borderId="0" xfId="9" applyFont="1" applyFill="1" applyBorder="1"/>
    <xf numFmtId="44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0" xfId="3" applyFont="1" applyFill="1" applyBorder="1" applyAlignment="1">
      <alignment horizontal="right"/>
    </xf>
    <xf numFmtId="44" fontId="21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4" fontId="5" fillId="0" borderId="0" xfId="10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44" fontId="5" fillId="0" borderId="1" xfId="10" applyNumberFormat="1" applyFont="1" applyFill="1" applyBorder="1" applyAlignment="1">
      <alignment horizontal="right"/>
    </xf>
    <xf numFmtId="166" fontId="5" fillId="0" borderId="0" xfId="3" applyNumberFormat="1" applyFont="1" applyFill="1" applyBorder="1" applyAlignment="1">
      <alignment horizontal="right"/>
    </xf>
    <xf numFmtId="166" fontId="9" fillId="0" borderId="0" xfId="3" applyNumberFormat="1" applyFont="1" applyFill="1" applyBorder="1" applyAlignment="1">
      <alignment horizontal="right"/>
    </xf>
    <xf numFmtId="9" fontId="5" fillId="0" borderId="0" xfId="3" applyNumberFormat="1" applyFont="1" applyFill="1" applyBorder="1" applyAlignment="1">
      <alignment horizontal="right"/>
    </xf>
    <xf numFmtId="9" fontId="22" fillId="0" borderId="0" xfId="4" applyNumberFormat="1" applyFont="1" applyFill="1" applyBorder="1" applyAlignment="1">
      <alignment horizontal="right"/>
    </xf>
    <xf numFmtId="9" fontId="5" fillId="0" borderId="0" xfId="9" applyNumberFormat="1" applyFont="1" applyFill="1" applyBorder="1" applyAlignment="1">
      <alignment horizontal="right"/>
    </xf>
    <xf numFmtId="9" fontId="11" fillId="0" borderId="0" xfId="9" applyNumberFormat="1" applyFont="1" applyFill="1" applyBorder="1" applyAlignment="1">
      <alignment horizontal="right"/>
    </xf>
    <xf numFmtId="9" fontId="1" fillId="0" borderId="0" xfId="3" applyFont="1" applyFill="1" applyBorder="1" applyAlignment="1">
      <alignment horizontal="right"/>
    </xf>
    <xf numFmtId="9" fontId="22" fillId="0" borderId="0" xfId="3" applyFont="1" applyFill="1" applyBorder="1" applyAlignment="1">
      <alignment horizontal="right"/>
    </xf>
    <xf numFmtId="9" fontId="23" fillId="0" borderId="0" xfId="3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44" fontId="5" fillId="0" borderId="0" xfId="3" applyNumberFormat="1" applyFont="1" applyFill="1" applyBorder="1" applyAlignment="1">
      <alignment horizontal="right"/>
    </xf>
    <xf numFmtId="44" fontId="22" fillId="0" borderId="0" xfId="0" applyNumberFormat="1" applyFont="1" applyFill="1" applyBorder="1" applyAlignment="1">
      <alignment horizontal="right"/>
    </xf>
    <xf numFmtId="44" fontId="5" fillId="0" borderId="0" xfId="9" applyNumberFormat="1" applyFont="1" applyFill="1" applyBorder="1" applyAlignment="1">
      <alignment horizontal="right"/>
    </xf>
    <xf numFmtId="44" fontId="11" fillId="0" borderId="0" xfId="9" applyNumberFormat="1" applyFont="1" applyFill="1" applyBorder="1" applyAlignment="1">
      <alignment horizontal="right"/>
    </xf>
    <xf numFmtId="166" fontId="5" fillId="0" borderId="0" xfId="3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9" fillId="0" borderId="0" xfId="0" applyNumberFormat="1" applyFont="1" applyAlignment="1">
      <alignment horizontal="right"/>
    </xf>
    <xf numFmtId="167" fontId="5" fillId="0" borderId="1" xfId="5" applyNumberFormat="1" applyFont="1" applyBorder="1" applyAlignment="1">
      <alignment horizontal="right"/>
    </xf>
    <xf numFmtId="167" fontId="5" fillId="0" borderId="0" xfId="5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5" fillId="0" borderId="0" xfId="5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7" fontId="10" fillId="0" borderId="0" xfId="5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0" fontId="5" fillId="0" borderId="0" xfId="3" applyNumberFormat="1" applyFont="1" applyBorder="1" applyAlignment="1"/>
    <xf numFmtId="43" fontId="5" fillId="0" borderId="0" xfId="1" applyFont="1" applyBorder="1" applyAlignment="1">
      <alignment vertical="center"/>
    </xf>
    <xf numFmtId="44" fontId="16" fillId="0" borderId="0" xfId="2" applyFont="1" applyBorder="1" applyAlignment="1">
      <alignment horizontal="center"/>
    </xf>
    <xf numFmtId="164" fontId="5" fillId="0" borderId="1" xfId="2" applyNumberFormat="1" applyFont="1" applyBorder="1" applyAlignment="1"/>
    <xf numFmtId="44" fontId="5" fillId="0" borderId="0" xfId="1" applyNumberFormat="1" applyFont="1" applyBorder="1"/>
    <xf numFmtId="43" fontId="5" fillId="0" borderId="7" xfId="1" applyFont="1" applyBorder="1" applyAlignment="1"/>
    <xf numFmtId="43" fontId="5" fillId="0" borderId="8" xfId="1" applyFont="1" applyBorder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3" fontId="5" fillId="0" borderId="0" xfId="1" applyFont="1" applyBorder="1" applyAlignment="1">
      <alignment horizontal="center"/>
    </xf>
    <xf numFmtId="43" fontId="11" fillId="0" borderId="8" xfId="1" applyFont="1" applyBorder="1" applyAlignment="1">
      <alignment horizontal="center"/>
    </xf>
    <xf numFmtId="44" fontId="5" fillId="0" borderId="8" xfId="2" applyFont="1" applyBorder="1" applyAlignment="1"/>
    <xf numFmtId="43" fontId="5" fillId="0" borderId="7" xfId="1" applyFont="1" applyBorder="1" applyAlignment="1">
      <alignment horizontal="right"/>
    </xf>
    <xf numFmtId="44" fontId="16" fillId="0" borderId="7" xfId="2" applyFont="1" applyBorder="1" applyAlignment="1">
      <alignment horizontal="center"/>
    </xf>
    <xf numFmtId="43" fontId="5" fillId="0" borderId="1" xfId="1" applyFont="1" applyBorder="1" applyAlignment="1"/>
    <xf numFmtId="43" fontId="5" fillId="0" borderId="6" xfId="1" applyFont="1" applyBorder="1" applyAlignment="1"/>
    <xf numFmtId="44" fontId="5" fillId="0" borderId="0" xfId="2" applyFont="1" applyBorder="1" applyAlignment="1">
      <alignment horizontal="center"/>
    </xf>
    <xf numFmtId="10" fontId="5" fillId="0" borderId="0" xfId="3" applyNumberFormat="1" applyFont="1" applyBorder="1" applyAlignment="1">
      <alignment horizontal="center"/>
    </xf>
    <xf numFmtId="43" fontId="5" fillId="0" borderId="4" xfId="1" applyFont="1" applyBorder="1" applyAlignment="1"/>
    <xf numFmtId="172" fontId="5" fillId="0" borderId="0" xfId="2" applyNumberFormat="1" applyFont="1" applyBorder="1" applyAlignment="1"/>
    <xf numFmtId="171" fontId="5" fillId="0" borderId="0" xfId="2" applyNumberFormat="1" applyFont="1" applyBorder="1" applyAlignment="1">
      <alignment vertical="center"/>
    </xf>
    <xf numFmtId="172" fontId="5" fillId="0" borderId="0" xfId="2" applyNumberFormat="1" applyFont="1" applyBorder="1" applyAlignment="1">
      <alignment vertical="center"/>
    </xf>
    <xf numFmtId="172" fontId="5" fillId="0" borderId="0" xfId="2" applyNumberFormat="1" applyFont="1" applyBorder="1" applyAlignment="1">
      <alignment horizontal="center"/>
    </xf>
    <xf numFmtId="172" fontId="5" fillId="0" borderId="0" xfId="2" applyNumberFormat="1" applyFont="1" applyBorder="1" applyAlignment="1">
      <alignment horizontal="center" vertical="center"/>
    </xf>
    <xf numFmtId="10" fontId="5" fillId="0" borderId="0" xfId="1" applyNumberFormat="1" applyFont="1"/>
    <xf numFmtId="10" fontId="5" fillId="0" borderId="0" xfId="1" applyNumberFormat="1" applyFont="1" applyBorder="1"/>
    <xf numFmtId="165" fontId="11" fillId="0" borderId="0" xfId="0" applyNumberFormat="1" applyFont="1" applyBorder="1"/>
    <xf numFmtId="164" fontId="5" fillId="0" borderId="0" xfId="2" applyNumberFormat="1" applyFont="1" applyBorder="1"/>
    <xf numFmtId="172" fontId="5" fillId="0" borderId="0" xfId="2" applyNumberFormat="1" applyFont="1" applyBorder="1"/>
    <xf numFmtId="164" fontId="5" fillId="0" borderId="0" xfId="5" applyNumberFormat="1" applyFont="1" applyFill="1" applyBorder="1" applyAlignment="1">
      <alignment horizontal="right"/>
    </xf>
    <xf numFmtId="172" fontId="5" fillId="0" borderId="1" xfId="2" applyNumberFormat="1" applyFont="1" applyBorder="1" applyAlignment="1"/>
    <xf numFmtId="164" fontId="5" fillId="0" borderId="1" xfId="0" applyNumberFormat="1" applyFont="1" applyBorder="1"/>
    <xf numFmtId="164" fontId="5" fillId="0" borderId="1" xfId="2" applyNumberFormat="1" applyFont="1" applyBorder="1"/>
    <xf numFmtId="164" fontId="5" fillId="0" borderId="0" xfId="5" applyNumberFormat="1" applyFont="1" applyBorder="1"/>
    <xf numFmtId="164" fontId="5" fillId="0" borderId="0" xfId="2" applyNumberFormat="1" applyFont="1" applyFill="1" applyBorder="1" applyAlignment="1"/>
    <xf numFmtId="10" fontId="5" fillId="0" borderId="0" xfId="3" applyNumberFormat="1" applyFont="1" applyFill="1" applyBorder="1" applyAlignment="1">
      <alignment vertical="top"/>
    </xf>
    <xf numFmtId="0" fontId="9" fillId="0" borderId="0" xfId="0" applyFont="1"/>
    <xf numFmtId="44" fontId="5" fillId="0" borderId="0" xfId="2" applyFont="1"/>
    <xf numFmtId="171" fontId="5" fillId="0" borderId="0" xfId="2" applyNumberFormat="1" applyFont="1"/>
    <xf numFmtId="44" fontId="9" fillId="0" borderId="0" xfId="0" applyNumberFormat="1" applyFont="1"/>
    <xf numFmtId="44" fontId="5" fillId="0" borderId="1" xfId="2" applyFont="1" applyBorder="1"/>
    <xf numFmtId="10" fontId="5" fillId="0" borderId="1" xfId="0" applyNumberFormat="1" applyFont="1" applyBorder="1"/>
    <xf numFmtId="165" fontId="9" fillId="0" borderId="0" xfId="1" applyNumberFormat="1" applyFont="1"/>
    <xf numFmtId="44" fontId="9" fillId="0" borderId="0" xfId="1" applyNumberFormat="1" applyFont="1" applyBorder="1"/>
    <xf numFmtId="164" fontId="9" fillId="0" borderId="0" xfId="2" applyNumberFormat="1" applyFont="1" applyBorder="1"/>
    <xf numFmtId="165" fontId="5" fillId="0" borderId="7" xfId="5" applyNumberFormat="1" applyFont="1" applyFill="1" applyBorder="1" applyAlignment="1">
      <alignment horizontal="center"/>
    </xf>
    <xf numFmtId="165" fontId="5" fillId="0" borderId="8" xfId="5" applyNumberFormat="1" applyFont="1" applyFill="1" applyBorder="1" applyAlignment="1">
      <alignment horizontal="center"/>
    </xf>
    <xf numFmtId="43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NumberFormat="1" applyFont="1"/>
    <xf numFmtId="164" fontId="12" fillId="0" borderId="0" xfId="2" applyNumberFormat="1" applyFont="1"/>
    <xf numFmtId="44" fontId="27" fillId="0" borderId="2" xfId="2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4" fontId="5" fillId="0" borderId="0" xfId="1" applyNumberFormat="1" applyFont="1" applyBorder="1" applyAlignment="1"/>
    <xf numFmtId="43" fontId="5" fillId="0" borderId="5" xfId="1" applyFont="1" applyBorder="1" applyAlignment="1"/>
    <xf numFmtId="43" fontId="5" fillId="0" borderId="1" xfId="1" applyFont="1" applyBorder="1" applyAlignment="1">
      <alignment horizontal="center"/>
    </xf>
    <xf numFmtId="43" fontId="5" fillId="2" borderId="7" xfId="1" applyFont="1" applyFill="1" applyBorder="1"/>
    <xf numFmtId="43" fontId="8" fillId="0" borderId="7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44" fontId="5" fillId="0" borderId="0" xfId="2" applyFont="1" applyAlignment="1">
      <alignment horizontal="right"/>
    </xf>
    <xf numFmtId="44" fontId="5" fillId="0" borderId="0" xfId="0" applyNumberFormat="1" applyFont="1"/>
    <xf numFmtId="44" fontId="5" fillId="0" borderId="1" xfId="0" applyNumberFormat="1" applyFont="1" applyBorder="1"/>
    <xf numFmtId="43" fontId="5" fillId="0" borderId="7" xfId="1" applyFont="1" applyBorder="1" applyAlignment="1">
      <alignment horizontal="left"/>
    </xf>
    <xf numFmtId="0" fontId="9" fillId="0" borderId="0" xfId="5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/>
    </xf>
    <xf numFmtId="164" fontId="5" fillId="0" borderId="1" xfId="6" applyNumberFormat="1" applyFont="1" applyBorder="1"/>
    <xf numFmtId="165" fontId="5" fillId="0" borderId="1" xfId="1" applyNumberFormat="1" applyFont="1" applyBorder="1" applyAlignment="1"/>
    <xf numFmtId="0" fontId="9" fillId="0" borderId="0" xfId="5" applyNumberFormat="1" applyFont="1" applyBorder="1" applyAlignment="1">
      <alignment vertical="center"/>
    </xf>
    <xf numFmtId="165" fontId="5" fillId="0" borderId="0" xfId="5" applyNumberFormat="1" applyFont="1" applyFill="1" applyBorder="1"/>
    <xf numFmtId="165" fontId="12" fillId="0" borderId="0" xfId="1" applyNumberFormat="1" applyFont="1"/>
    <xf numFmtId="165" fontId="6" fillId="0" borderId="0" xfId="1" applyNumberFormat="1" applyFont="1" applyAlignment="1">
      <alignment horizontal="center" vertical="center"/>
    </xf>
    <xf numFmtId="165" fontId="12" fillId="0" borderId="7" xfId="5" applyNumberFormat="1" applyFont="1" applyBorder="1" applyAlignment="1">
      <alignment horizontal="center" vertical="center"/>
    </xf>
    <xf numFmtId="165" fontId="12" fillId="0" borderId="8" xfId="5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167" fontId="10" fillId="0" borderId="0" xfId="5" applyNumberFormat="1" applyFont="1" applyBorder="1" applyAlignment="1">
      <alignment horizontal="center"/>
    </xf>
    <xf numFmtId="43" fontId="8" fillId="0" borderId="7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4" fontId="27" fillId="0" borderId="7" xfId="2" applyFont="1" applyBorder="1" applyAlignment="1">
      <alignment horizontal="center"/>
    </xf>
    <xf numFmtId="44" fontId="27" fillId="0" borderId="0" xfId="2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8" fillId="0" borderId="7" xfId="1" applyFont="1" applyBorder="1" applyAlignment="1">
      <alignment horizontal="right" wrapText="1"/>
    </xf>
    <xf numFmtId="43" fontId="8" fillId="0" borderId="0" xfId="1" applyFont="1" applyBorder="1" applyAlignment="1">
      <alignment horizontal="right" wrapText="1"/>
    </xf>
    <xf numFmtId="3" fontId="25" fillId="0" borderId="7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44" fontId="27" fillId="0" borderId="3" xfId="2" applyFont="1" applyBorder="1" applyAlignment="1">
      <alignment horizontal="center"/>
    </xf>
    <xf numFmtId="44" fontId="27" fillId="0" borderId="2" xfId="2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165" fontId="13" fillId="0" borderId="0" xfId="5" applyNumberFormat="1" applyFont="1" applyBorder="1" applyAlignment="1">
      <alignment horizontal="center" vertical="center"/>
    </xf>
    <xf numFmtId="0" fontId="29" fillId="0" borderId="0" xfId="0" applyFont="1"/>
    <xf numFmtId="165" fontId="9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0" fontId="28" fillId="0" borderId="0" xfId="3" applyNumberFormat="1" applyFont="1"/>
    <xf numFmtId="10" fontId="28" fillId="0" borderId="0" xfId="0" applyNumberFormat="1" applyFont="1"/>
    <xf numFmtId="165" fontId="0" fillId="0" borderId="0" xfId="0" applyNumberFormat="1"/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showGridLines="0" topLeftCell="D11" workbookViewId="0">
      <selection activeCell="R28" sqref="R28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5" ht="18" x14ac:dyDescent="0.45">
      <c r="A1" s="319" t="s">
        <v>31</v>
      </c>
      <c r="B1" s="319"/>
      <c r="C1" s="319"/>
      <c r="D1" s="319"/>
      <c r="E1" s="319"/>
      <c r="F1" s="319"/>
      <c r="G1" s="319"/>
      <c r="H1" s="61"/>
      <c r="I1" s="61"/>
      <c r="J1" s="61"/>
      <c r="K1" s="61"/>
    </row>
    <row r="2" spans="1:15" ht="15.75" x14ac:dyDescent="0.45">
      <c r="A2" s="62" t="s">
        <v>232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</row>
    <row r="3" spans="1:15" x14ac:dyDescent="0.45">
      <c r="A3" s="53"/>
      <c r="B3" s="60"/>
      <c r="C3" s="60"/>
      <c r="D3" s="60"/>
      <c r="E3" s="60"/>
      <c r="F3" s="60"/>
      <c r="G3" s="60"/>
      <c r="H3" s="61"/>
      <c r="I3" s="61"/>
      <c r="J3" s="61"/>
      <c r="K3" s="61"/>
    </row>
    <row r="4" spans="1:15" ht="16.5" x14ac:dyDescent="0.75">
      <c r="A4" s="61"/>
      <c r="B4" s="61"/>
      <c r="C4" s="61"/>
      <c r="D4" s="63" t="s">
        <v>32</v>
      </c>
      <c r="E4" s="63" t="s">
        <v>33</v>
      </c>
      <c r="F4" s="63" t="s">
        <v>34</v>
      </c>
      <c r="G4" s="63" t="s">
        <v>35</v>
      </c>
      <c r="H4" s="61"/>
      <c r="I4" s="76" t="s">
        <v>41</v>
      </c>
      <c r="J4" s="61"/>
      <c r="K4" s="61"/>
      <c r="O4" s="318" t="s">
        <v>295</v>
      </c>
    </row>
    <row r="5" spans="1:15" x14ac:dyDescent="0.45">
      <c r="A5" s="64" t="s">
        <v>15</v>
      </c>
      <c r="B5" s="61"/>
      <c r="C5" s="61"/>
      <c r="D5" s="61"/>
      <c r="F5" s="61"/>
      <c r="G5" s="61"/>
      <c r="H5" s="61"/>
      <c r="J5" s="61"/>
      <c r="K5" s="61"/>
    </row>
    <row r="6" spans="1:15" x14ac:dyDescent="0.45">
      <c r="A6" s="61"/>
      <c r="B6" s="61" t="s">
        <v>43</v>
      </c>
      <c r="C6" s="61"/>
      <c r="D6" s="61">
        <v>344017.67</v>
      </c>
      <c r="E6" s="61">
        <f>ExBA!G12</f>
        <v>93371.745799999975</v>
      </c>
      <c r="F6" s="65" t="s">
        <v>260</v>
      </c>
      <c r="G6" s="61">
        <f>D6+E6</f>
        <v>437389.41579999996</v>
      </c>
      <c r="H6" s="66"/>
      <c r="I6" s="61" t="s">
        <v>270</v>
      </c>
      <c r="J6" s="61"/>
      <c r="K6" s="61"/>
      <c r="O6" s="7" t="s">
        <v>296</v>
      </c>
    </row>
    <row r="7" spans="1:15" x14ac:dyDescent="0.45">
      <c r="A7" s="61"/>
      <c r="B7" s="61" t="s">
        <v>64</v>
      </c>
      <c r="C7" s="61"/>
      <c r="D7" s="61">
        <v>0</v>
      </c>
      <c r="E7" s="61"/>
      <c r="F7" s="65"/>
      <c r="G7" s="61">
        <f>D7+E7</f>
        <v>0</v>
      </c>
      <c r="H7" s="67"/>
      <c r="I7" s="59"/>
      <c r="J7" s="61"/>
      <c r="K7" s="61"/>
    </row>
    <row r="8" spans="1:15" x14ac:dyDescent="0.45">
      <c r="A8" s="61"/>
      <c r="B8" s="61" t="s">
        <v>16</v>
      </c>
      <c r="C8" s="61"/>
      <c r="D8" s="61">
        <v>0</v>
      </c>
      <c r="E8" s="61"/>
      <c r="F8" s="65"/>
      <c r="G8" s="61">
        <f>D8+E8</f>
        <v>0</v>
      </c>
      <c r="H8" s="66"/>
      <c r="I8" s="61"/>
      <c r="J8" s="61"/>
    </row>
    <row r="9" spans="1:15" x14ac:dyDescent="0.45">
      <c r="A9" s="61"/>
      <c r="B9" s="61"/>
      <c r="C9" s="61"/>
      <c r="D9" s="61"/>
      <c r="E9" s="61"/>
      <c r="F9" s="65"/>
      <c r="G9" s="61">
        <f>D8+E8+E9</f>
        <v>0</v>
      </c>
      <c r="H9" s="66"/>
      <c r="I9" s="61"/>
      <c r="J9" s="61"/>
    </row>
    <row r="10" spans="1:15" x14ac:dyDescent="0.45">
      <c r="A10" s="61"/>
      <c r="B10" s="61" t="s">
        <v>17</v>
      </c>
      <c r="C10" s="61"/>
      <c r="D10" s="61"/>
      <c r="E10" s="61"/>
      <c r="F10" s="65"/>
      <c r="G10" s="61"/>
      <c r="H10" s="68"/>
      <c r="I10" s="61"/>
      <c r="J10" s="61"/>
      <c r="K10" s="61"/>
    </row>
    <row r="11" spans="1:15" x14ac:dyDescent="0.45">
      <c r="A11" s="61"/>
      <c r="B11" s="61"/>
      <c r="C11" s="61" t="s">
        <v>42</v>
      </c>
      <c r="D11" s="61">
        <v>2778.81</v>
      </c>
      <c r="E11" s="61"/>
      <c r="F11" s="65"/>
      <c r="G11" s="61">
        <f>D11+E11</f>
        <v>2778.81</v>
      </c>
      <c r="H11" s="66"/>
      <c r="I11" s="61"/>
      <c r="J11" s="61"/>
      <c r="K11" s="61"/>
    </row>
    <row r="12" spans="1:15" x14ac:dyDescent="0.45">
      <c r="A12" s="61"/>
      <c r="C12" s="61" t="s">
        <v>18</v>
      </c>
      <c r="D12" s="61">
        <v>0</v>
      </c>
      <c r="E12" s="61"/>
      <c r="F12" s="65"/>
      <c r="G12" s="61">
        <f>D12+E12</f>
        <v>0</v>
      </c>
      <c r="H12" s="66"/>
      <c r="J12" s="61"/>
      <c r="K12" s="61"/>
    </row>
    <row r="13" spans="1:15" ht="16.5" x14ac:dyDescent="0.45">
      <c r="A13" s="61"/>
      <c r="C13" s="61" t="s">
        <v>65</v>
      </c>
      <c r="D13" s="87">
        <v>300</v>
      </c>
      <c r="E13" s="61"/>
      <c r="F13" s="65"/>
      <c r="G13" s="87">
        <f>D13+E13</f>
        <v>300</v>
      </c>
      <c r="H13" s="67"/>
      <c r="I13" s="61"/>
      <c r="J13" s="61"/>
      <c r="K13" s="61"/>
    </row>
    <row r="14" spans="1:15" x14ac:dyDescent="0.45">
      <c r="A14" s="69" t="s">
        <v>19</v>
      </c>
      <c r="B14" s="61"/>
      <c r="C14" s="61"/>
      <c r="D14" s="61">
        <f>SUM(D6:D13)</f>
        <v>347096.48</v>
      </c>
      <c r="E14" s="61"/>
      <c r="F14" s="65"/>
      <c r="G14" s="61">
        <f>SUM(G6:G13)</f>
        <v>440468.22579999996</v>
      </c>
      <c r="H14" s="68"/>
      <c r="J14" s="61"/>
      <c r="K14" s="61"/>
    </row>
    <row r="15" spans="1:15" x14ac:dyDescent="0.45">
      <c r="A15" s="61"/>
      <c r="B15" s="61"/>
      <c r="C15" s="61"/>
      <c r="D15" s="61"/>
      <c r="E15" s="61"/>
      <c r="F15" s="65"/>
      <c r="G15" s="61"/>
      <c r="H15" s="68"/>
      <c r="I15" s="61"/>
      <c r="J15" s="61"/>
      <c r="K15" s="61"/>
    </row>
    <row r="16" spans="1:15" x14ac:dyDescent="0.45">
      <c r="A16" s="64" t="s">
        <v>20</v>
      </c>
      <c r="B16" s="61"/>
      <c r="C16" s="61"/>
      <c r="D16" s="61"/>
      <c r="E16" s="61"/>
      <c r="F16" s="65"/>
      <c r="G16" s="61"/>
      <c r="H16" s="68"/>
      <c r="I16" s="61"/>
      <c r="J16" s="61"/>
      <c r="K16" s="61"/>
    </row>
    <row r="17" spans="1:15" x14ac:dyDescent="0.45">
      <c r="A17" s="61"/>
      <c r="B17" s="61" t="s">
        <v>36</v>
      </c>
      <c r="C17" s="61"/>
      <c r="D17" s="61"/>
      <c r="E17" s="61"/>
      <c r="F17" s="65"/>
      <c r="G17" s="61"/>
      <c r="H17" s="68"/>
      <c r="I17" s="61"/>
      <c r="J17" s="61"/>
      <c r="K17" s="61"/>
    </row>
    <row r="18" spans="1:15" x14ac:dyDescent="0.45">
      <c r="A18" s="61"/>
      <c r="B18" s="61"/>
      <c r="C18" s="61" t="s">
        <v>2</v>
      </c>
      <c r="D18" s="61">
        <v>80909.25</v>
      </c>
      <c r="E18" s="193">
        <f>Wages!B31</f>
        <v>-2182.96</v>
      </c>
      <c r="F18" s="70" t="s">
        <v>261</v>
      </c>
      <c r="G18" s="61"/>
      <c r="H18" s="66"/>
      <c r="I18" s="61" t="str">
        <f>Wages!D31</f>
        <v>Pension contribution previously reported as salaries</v>
      </c>
      <c r="J18" s="61"/>
      <c r="K18" s="61"/>
      <c r="O18" s="7" t="s">
        <v>297</v>
      </c>
    </row>
    <row r="19" spans="1:15" x14ac:dyDescent="0.45">
      <c r="A19" s="61"/>
      <c r="B19" s="61"/>
      <c r="C19" s="61"/>
      <c r="D19" s="61"/>
      <c r="E19" s="193">
        <f>Wages!B32</f>
        <v>-5566.08</v>
      </c>
      <c r="F19" s="70" t="s">
        <v>262</v>
      </c>
      <c r="G19" s="61"/>
      <c r="H19" s="66"/>
      <c r="I19" s="61" t="str">
        <f>Wages!D32</f>
        <v>Taxes previously reported as salaries</v>
      </c>
      <c r="J19" s="61"/>
      <c r="K19" s="61"/>
      <c r="O19" s="7" t="s">
        <v>298</v>
      </c>
    </row>
    <row r="20" spans="1:15" x14ac:dyDescent="0.45">
      <c r="A20" s="61"/>
      <c r="B20" s="61"/>
      <c r="C20" s="61"/>
      <c r="D20" s="61"/>
      <c r="E20" s="193">
        <f>Wages!B33</f>
        <v>-453.6</v>
      </c>
      <c r="F20" s="70" t="s">
        <v>177</v>
      </c>
      <c r="G20" s="61"/>
      <c r="H20" s="66"/>
      <c r="I20" s="61" t="str">
        <f>Wages!D33</f>
        <v>Miscellaneous expense previously reported as salaries</v>
      </c>
      <c r="J20" s="61"/>
      <c r="K20" s="61"/>
      <c r="O20" s="7" t="s">
        <v>299</v>
      </c>
    </row>
    <row r="21" spans="1:15" x14ac:dyDescent="0.45">
      <c r="A21" s="61"/>
      <c r="B21" s="61"/>
      <c r="C21" s="61"/>
      <c r="D21" s="61"/>
      <c r="E21" s="193">
        <f>Wages!G16</f>
        <v>51.790000000008149</v>
      </c>
      <c r="F21" s="70" t="s">
        <v>178</v>
      </c>
      <c r="G21" s="61">
        <f>D18+E18+E19+E20+E21</f>
        <v>72758.399999999994</v>
      </c>
      <c r="H21" s="66"/>
      <c r="I21" s="61" t="s">
        <v>263</v>
      </c>
      <c r="J21" s="61"/>
      <c r="K21" s="61"/>
      <c r="O21" s="7" t="s">
        <v>300</v>
      </c>
    </row>
    <row r="22" spans="1:15" x14ac:dyDescent="0.45">
      <c r="A22" s="61"/>
      <c r="B22" s="61"/>
      <c r="C22" s="61" t="s">
        <v>3</v>
      </c>
      <c r="D22" s="61">
        <v>0</v>
      </c>
      <c r="E22" s="193"/>
      <c r="F22" s="65"/>
      <c r="G22" s="61">
        <f t="shared" ref="G22:G35" si="0">D22+E22</f>
        <v>0</v>
      </c>
      <c r="H22" s="66"/>
    </row>
    <row r="23" spans="1:15" x14ac:dyDescent="0.45">
      <c r="A23" s="61"/>
      <c r="B23" s="61"/>
      <c r="C23" s="61" t="s">
        <v>4</v>
      </c>
      <c r="D23" s="61">
        <v>0</v>
      </c>
      <c r="E23" s="193">
        <f>-Wages!B31</f>
        <v>2182.96</v>
      </c>
      <c r="F23" s="70" t="s">
        <v>261</v>
      </c>
      <c r="G23" s="61">
        <f>D23+E23</f>
        <v>2182.96</v>
      </c>
      <c r="H23" s="66"/>
      <c r="I23" s="61" t="str">
        <f>Wages!D31</f>
        <v>Pension contribution previously reported as salaries</v>
      </c>
      <c r="J23" s="61"/>
      <c r="K23" s="61"/>
      <c r="O23" s="7" t="s">
        <v>297</v>
      </c>
    </row>
    <row r="24" spans="1:15" x14ac:dyDescent="0.45">
      <c r="A24" s="61"/>
      <c r="B24" s="61"/>
      <c r="C24" s="61" t="s">
        <v>5</v>
      </c>
      <c r="D24" s="61">
        <v>215049.14</v>
      </c>
      <c r="E24" s="193">
        <f>'Purchased Water'!D11</f>
        <v>85433.289845399966</v>
      </c>
      <c r="F24" s="70" t="s">
        <v>184</v>
      </c>
      <c r="G24" s="61"/>
      <c r="H24" s="71"/>
      <c r="I24" s="7" t="s">
        <v>289</v>
      </c>
      <c r="O24" s="7" t="s">
        <v>305</v>
      </c>
    </row>
    <row r="25" spans="1:15" x14ac:dyDescent="0.45">
      <c r="A25" s="61"/>
      <c r="B25" s="61"/>
      <c r="C25" s="61"/>
      <c r="D25" s="61"/>
      <c r="E25" s="193">
        <f>-'Purchased Water'!D41</f>
        <v>-43217.571843667167</v>
      </c>
      <c r="F25" s="70" t="s">
        <v>264</v>
      </c>
      <c r="G25" s="61">
        <f>D24+E24+E25</f>
        <v>257264.85800173282</v>
      </c>
      <c r="H25" s="71"/>
      <c r="I25" s="7" t="str">
        <f>'Purchased Water'!E41</f>
        <v>Purchased Water above allowable water loss.</v>
      </c>
      <c r="O25" s="7" t="s">
        <v>306</v>
      </c>
    </row>
    <row r="26" spans="1:15" x14ac:dyDescent="0.45">
      <c r="A26" s="61"/>
      <c r="B26" s="61"/>
      <c r="C26" s="61" t="s">
        <v>6</v>
      </c>
      <c r="D26" s="61">
        <v>5377.56</v>
      </c>
      <c r="E26" s="61">
        <f>-'Purchased Water'!D42</f>
        <v>-773.43985058695318</v>
      </c>
      <c r="F26" s="70" t="s">
        <v>264</v>
      </c>
      <c r="G26" s="61">
        <f t="shared" si="0"/>
        <v>4604.1201494130473</v>
      </c>
      <c r="H26" s="72"/>
      <c r="I26" s="7" t="str">
        <f>'Purchased Water'!E42</f>
        <v>Purchased Power above allowable water loss.</v>
      </c>
      <c r="J26" s="61"/>
      <c r="K26" s="61"/>
      <c r="O26" s="7" t="s">
        <v>307</v>
      </c>
    </row>
    <row r="27" spans="1:15" x14ac:dyDescent="0.45">
      <c r="A27" s="61"/>
      <c r="B27" s="61"/>
      <c r="C27" s="61" t="s">
        <v>83</v>
      </c>
      <c r="D27" s="61">
        <v>0</v>
      </c>
      <c r="E27" s="61"/>
      <c r="F27" s="70"/>
      <c r="G27" s="61">
        <f t="shared" si="0"/>
        <v>0</v>
      </c>
      <c r="H27" s="72"/>
      <c r="J27" s="61"/>
      <c r="K27" s="61"/>
    </row>
    <row r="28" spans="1:15" x14ac:dyDescent="0.45">
      <c r="A28" s="61"/>
      <c r="B28" s="61"/>
      <c r="C28" s="61" t="s">
        <v>7</v>
      </c>
      <c r="D28" s="61">
        <v>31971.74</v>
      </c>
      <c r="E28" s="61"/>
      <c r="F28" s="70"/>
      <c r="G28" s="61">
        <f t="shared" si="0"/>
        <v>31971.74</v>
      </c>
      <c r="H28" s="66"/>
      <c r="I28" s="61"/>
      <c r="J28" s="61"/>
      <c r="K28" s="61"/>
    </row>
    <row r="29" spans="1:15" x14ac:dyDescent="0.45">
      <c r="A29" s="61"/>
      <c r="B29" s="61"/>
      <c r="C29" s="61" t="s">
        <v>8</v>
      </c>
      <c r="D29" s="61">
        <f>300+2638+8683.16</f>
        <v>11621.16</v>
      </c>
      <c r="E29" s="61"/>
      <c r="F29" s="70"/>
      <c r="G29" s="61">
        <f t="shared" si="0"/>
        <v>11621.16</v>
      </c>
      <c r="H29" s="66"/>
      <c r="I29" s="61"/>
      <c r="J29" s="61"/>
      <c r="K29" s="61"/>
    </row>
    <row r="30" spans="1:15" x14ac:dyDescent="0.45">
      <c r="A30" s="61"/>
      <c r="B30" s="61"/>
      <c r="C30" s="61" t="s">
        <v>66</v>
      </c>
      <c r="D30" s="61"/>
      <c r="E30" s="61"/>
      <c r="F30" s="70"/>
      <c r="G30" s="61">
        <f t="shared" si="0"/>
        <v>0</v>
      </c>
      <c r="H30" s="66"/>
      <c r="I30" s="61"/>
      <c r="J30" s="61"/>
      <c r="K30" s="61"/>
    </row>
    <row r="31" spans="1:15" x14ac:dyDescent="0.45">
      <c r="A31" s="61"/>
      <c r="B31" s="61"/>
      <c r="C31" s="61" t="s">
        <v>10</v>
      </c>
      <c r="D31" s="61">
        <v>5501.18</v>
      </c>
      <c r="E31" s="61"/>
      <c r="F31" s="70"/>
      <c r="G31" s="61">
        <f t="shared" si="0"/>
        <v>5501.18</v>
      </c>
      <c r="H31" s="68"/>
      <c r="I31" s="61"/>
      <c r="J31" s="61"/>
      <c r="K31" s="61"/>
    </row>
    <row r="32" spans="1:15" x14ac:dyDescent="0.45">
      <c r="A32" s="61"/>
      <c r="B32" s="61"/>
      <c r="C32" s="61" t="s">
        <v>37</v>
      </c>
      <c r="D32" s="61">
        <f>2452.95+1668.1</f>
        <v>4121.0499999999993</v>
      </c>
      <c r="E32" s="61"/>
      <c r="F32" s="70"/>
      <c r="G32" s="61">
        <f t="shared" si="0"/>
        <v>4121.0499999999993</v>
      </c>
      <c r="H32" s="68"/>
      <c r="I32" s="61"/>
      <c r="J32" s="61"/>
      <c r="K32" s="61"/>
    </row>
    <row r="33" spans="1:15" x14ac:dyDescent="0.45">
      <c r="A33" s="61"/>
      <c r="B33" s="61"/>
      <c r="C33" s="61" t="s">
        <v>67</v>
      </c>
      <c r="D33" s="61">
        <f>1184.26+101.8</f>
        <v>1286.06</v>
      </c>
      <c r="E33" s="61"/>
      <c r="F33" s="70"/>
      <c r="G33" s="61">
        <f t="shared" si="0"/>
        <v>1286.06</v>
      </c>
      <c r="H33" s="68"/>
      <c r="I33" s="61"/>
      <c r="J33" s="61"/>
      <c r="K33" s="61"/>
    </row>
    <row r="34" spans="1:15" x14ac:dyDescent="0.45">
      <c r="A34" s="61"/>
      <c r="B34" s="61"/>
      <c r="C34" s="61" t="s">
        <v>68</v>
      </c>
      <c r="D34" s="61">
        <v>0</v>
      </c>
      <c r="E34" s="61"/>
      <c r="F34" s="65"/>
      <c r="G34" s="61">
        <f t="shared" si="0"/>
        <v>0</v>
      </c>
      <c r="H34" s="68"/>
      <c r="I34" s="61"/>
      <c r="J34" s="61"/>
      <c r="K34" s="61"/>
    </row>
    <row r="35" spans="1:15" ht="16.5" x14ac:dyDescent="0.45">
      <c r="A35" s="61"/>
      <c r="B35" s="61"/>
      <c r="C35" s="61" t="s">
        <v>9</v>
      </c>
      <c r="D35" s="87">
        <v>8760.69</v>
      </c>
      <c r="E35" s="86">
        <f>-Wages!B33</f>
        <v>453.6</v>
      </c>
      <c r="F35" s="70" t="s">
        <v>177</v>
      </c>
      <c r="G35" s="87">
        <f t="shared" si="0"/>
        <v>9214.2900000000009</v>
      </c>
      <c r="H35" s="68"/>
      <c r="I35" s="61" t="str">
        <f>Wages!D33</f>
        <v>Miscellaneous expense previously reported as salaries</v>
      </c>
      <c r="J35" s="61"/>
      <c r="K35" s="61"/>
      <c r="O35" s="7" t="s">
        <v>299</v>
      </c>
    </row>
    <row r="36" spans="1:15" x14ac:dyDescent="0.45">
      <c r="A36" s="61"/>
      <c r="B36" s="61" t="s">
        <v>38</v>
      </c>
      <c r="C36" s="61"/>
      <c r="D36" s="61">
        <f>SUM(D18:D35)</f>
        <v>364597.82999999996</v>
      </c>
      <c r="E36" s="61"/>
      <c r="F36" s="65"/>
      <c r="G36" s="61">
        <f>SUM(G18:G35)</f>
        <v>400525.81815114582</v>
      </c>
      <c r="H36" s="68"/>
      <c r="I36" s="61"/>
      <c r="J36" s="61"/>
      <c r="K36" s="61"/>
    </row>
    <row r="37" spans="1:15" ht="4.05" customHeight="1" x14ac:dyDescent="0.45">
      <c r="A37" s="61"/>
      <c r="B37" s="61"/>
      <c r="C37" s="61"/>
      <c r="D37" s="61"/>
      <c r="E37" s="61"/>
      <c r="F37" s="65"/>
      <c r="G37" s="61"/>
      <c r="H37" s="68"/>
      <c r="I37" s="61"/>
      <c r="J37" s="61"/>
      <c r="K37" s="61"/>
    </row>
    <row r="38" spans="1:15" x14ac:dyDescent="0.45">
      <c r="A38" s="61"/>
      <c r="B38" s="61" t="s">
        <v>21</v>
      </c>
      <c r="C38" s="61"/>
      <c r="D38" s="61">
        <v>37738.730000000003</v>
      </c>
      <c r="E38" s="61">
        <f>Depreciation!K44</f>
        <v>-21811.977074285714</v>
      </c>
      <c r="F38" s="65" t="s">
        <v>185</v>
      </c>
      <c r="G38" s="61">
        <f>D38+E38</f>
        <v>15926.752925714289</v>
      </c>
      <c r="H38" s="68"/>
      <c r="I38" s="61" t="s">
        <v>267</v>
      </c>
      <c r="J38" s="61"/>
      <c r="O38" s="7" t="s">
        <v>301</v>
      </c>
    </row>
    <row r="39" spans="1:15" ht="16.5" x14ac:dyDescent="0.45">
      <c r="A39" s="61"/>
      <c r="B39" s="61" t="s">
        <v>1</v>
      </c>
      <c r="C39" s="61"/>
      <c r="D39" s="87">
        <v>0</v>
      </c>
      <c r="E39" s="86">
        <f>-Wages!B32</f>
        <v>5566.08</v>
      </c>
      <c r="F39" s="88" t="s">
        <v>262</v>
      </c>
      <c r="G39" s="87">
        <f>D39+E39</f>
        <v>5566.08</v>
      </c>
      <c r="H39" s="68"/>
      <c r="I39" s="61" t="str">
        <f>Wages!D32</f>
        <v>Taxes previously reported as salaries</v>
      </c>
      <c r="J39" s="61"/>
      <c r="O39" s="7" t="s">
        <v>298</v>
      </c>
    </row>
    <row r="40" spans="1:15" ht="16.5" x14ac:dyDescent="0.45">
      <c r="A40" s="69" t="s">
        <v>0</v>
      </c>
      <c r="B40" s="61"/>
      <c r="C40" s="61"/>
      <c r="D40" s="87">
        <f>SUM(D36:D39)</f>
        <v>402336.55999999994</v>
      </c>
      <c r="E40" s="86"/>
      <c r="F40" s="88"/>
      <c r="G40" s="87">
        <f>SUM(G36:G39)</f>
        <v>422018.65107686014</v>
      </c>
      <c r="H40" s="68"/>
      <c r="I40" s="61"/>
      <c r="J40" s="61"/>
      <c r="K40" s="61"/>
    </row>
    <row r="41" spans="1:15" ht="4.05" customHeight="1" x14ac:dyDescent="0.45">
      <c r="A41" s="69"/>
      <c r="B41" s="61"/>
      <c r="C41" s="61"/>
      <c r="D41" s="89"/>
      <c r="E41" s="61"/>
      <c r="F41" s="65"/>
      <c r="G41" s="61"/>
      <c r="H41" s="61"/>
      <c r="I41" s="61"/>
      <c r="J41" s="61"/>
      <c r="K41" s="61"/>
    </row>
    <row r="42" spans="1:15" x14ac:dyDescent="0.45">
      <c r="A42" s="69" t="s">
        <v>39</v>
      </c>
      <c r="B42" s="61"/>
      <c r="C42" s="61"/>
      <c r="D42" s="61">
        <f>D14-D40</f>
        <v>-55240.079999999958</v>
      </c>
      <c r="E42" s="61"/>
      <c r="F42" s="65"/>
      <c r="G42" s="61">
        <f>G14-G40</f>
        <v>18449.574723139813</v>
      </c>
      <c r="H42" s="61"/>
      <c r="I42" s="61"/>
      <c r="K42" s="61"/>
    </row>
    <row r="43" spans="1:15" x14ac:dyDescent="0.45">
      <c r="A43" s="61"/>
      <c r="B43" s="61"/>
      <c r="C43" s="61"/>
      <c r="D43" s="61"/>
      <c r="E43" s="61"/>
      <c r="F43" s="65"/>
      <c r="G43" s="61"/>
      <c r="H43" s="61"/>
      <c r="I43" s="61"/>
      <c r="J43" s="61"/>
      <c r="K43" s="61"/>
    </row>
    <row r="44" spans="1:15" ht="18" x14ac:dyDescent="0.45">
      <c r="A44" s="319" t="s">
        <v>22</v>
      </c>
      <c r="B44" s="319"/>
      <c r="C44" s="319"/>
      <c r="D44" s="319"/>
      <c r="E44" s="319"/>
      <c r="F44" s="319"/>
      <c r="G44" s="319"/>
      <c r="H44" s="61"/>
      <c r="I44" s="73"/>
      <c r="J44" s="74"/>
      <c r="K44" s="61"/>
    </row>
    <row r="45" spans="1:15" x14ac:dyDescent="0.45">
      <c r="A45" s="69" t="s">
        <v>40</v>
      </c>
      <c r="B45" s="61"/>
      <c r="C45" s="61"/>
      <c r="D45" s="75"/>
      <c r="E45" s="61"/>
      <c r="F45" s="70"/>
      <c r="G45" s="7">
        <f>G40</f>
        <v>422018.65107686014</v>
      </c>
      <c r="H45" s="61"/>
      <c r="J45" s="61"/>
      <c r="K45" s="61"/>
    </row>
    <row r="46" spans="1:15" x14ac:dyDescent="0.45">
      <c r="A46" s="61" t="s">
        <v>23</v>
      </c>
      <c r="B46" s="61"/>
      <c r="C46" s="61" t="s">
        <v>107</v>
      </c>
      <c r="D46" s="75"/>
      <c r="E46" s="61"/>
      <c r="F46" s="70" t="s">
        <v>266</v>
      </c>
      <c r="G46" s="7">
        <f>'Debt Service'!M17</f>
        <v>11588.378000000001</v>
      </c>
      <c r="H46" s="61"/>
      <c r="I46" s="7" t="s">
        <v>268</v>
      </c>
      <c r="J46" s="61"/>
      <c r="K46" s="61"/>
      <c r="O46" s="7" t="s">
        <v>302</v>
      </c>
    </row>
    <row r="47" spans="1:15" x14ac:dyDescent="0.45">
      <c r="A47" s="61"/>
      <c r="B47" s="61"/>
      <c r="C47" s="61" t="s">
        <v>108</v>
      </c>
      <c r="D47" s="75"/>
      <c r="E47" s="61"/>
      <c r="F47" s="70" t="s">
        <v>265</v>
      </c>
      <c r="G47" s="7">
        <f>'Debt Service'!M19</f>
        <v>2317.6756</v>
      </c>
      <c r="H47" s="61"/>
      <c r="I47" s="7" t="s">
        <v>269</v>
      </c>
      <c r="J47" s="61"/>
      <c r="K47" s="61"/>
      <c r="O47" s="7" t="s">
        <v>303</v>
      </c>
    </row>
    <row r="48" spans="1:15" x14ac:dyDescent="0.45">
      <c r="A48" s="69" t="s">
        <v>71</v>
      </c>
      <c r="B48" s="61"/>
      <c r="C48" s="61"/>
      <c r="D48" s="75"/>
      <c r="E48" s="61"/>
      <c r="F48" s="70"/>
      <c r="G48" s="7">
        <f>G45+G46+G47</f>
        <v>435924.70467686019</v>
      </c>
      <c r="H48" s="61"/>
      <c r="J48" s="61"/>
      <c r="K48" s="61"/>
    </row>
    <row r="49" spans="1:11" x14ac:dyDescent="0.45">
      <c r="A49" s="61" t="s">
        <v>24</v>
      </c>
      <c r="B49" s="61"/>
      <c r="C49" s="61" t="s">
        <v>25</v>
      </c>
      <c r="D49" s="75"/>
      <c r="E49" s="61"/>
      <c r="F49" s="70"/>
      <c r="G49" s="7">
        <f>SUM(G11:G13)</f>
        <v>3078.81</v>
      </c>
      <c r="H49" s="61"/>
      <c r="J49" s="61"/>
      <c r="K49" s="61"/>
    </row>
    <row r="50" spans="1:11" x14ac:dyDescent="0.45">
      <c r="A50" s="61"/>
      <c r="B50" s="61"/>
      <c r="C50" s="61" t="s">
        <v>64</v>
      </c>
      <c r="D50" s="75"/>
      <c r="E50" s="61"/>
      <c r="F50" s="70"/>
      <c r="G50" s="7">
        <f>G7</f>
        <v>0</v>
      </c>
      <c r="H50" s="61"/>
      <c r="J50" s="61"/>
      <c r="K50" s="61"/>
    </row>
    <row r="51" spans="1:11" x14ac:dyDescent="0.45">
      <c r="A51" s="61"/>
      <c r="B51" s="61"/>
      <c r="C51" s="61" t="s">
        <v>12</v>
      </c>
      <c r="D51" s="75"/>
      <c r="E51" s="61"/>
      <c r="F51" s="70"/>
      <c r="G51" s="37">
        <v>719.72</v>
      </c>
      <c r="H51" s="61"/>
      <c r="I51" s="37"/>
      <c r="J51" s="61"/>
      <c r="K51" s="61"/>
    </row>
    <row r="52" spans="1:11" x14ac:dyDescent="0.45">
      <c r="A52" s="69" t="s">
        <v>69</v>
      </c>
      <c r="B52" s="61"/>
      <c r="C52" s="61"/>
      <c r="D52" s="75"/>
      <c r="E52" s="61"/>
      <c r="F52" s="70"/>
      <c r="G52" s="7">
        <f>G48-G49-G50-G51</f>
        <v>432126.17467686022</v>
      </c>
      <c r="H52" s="61"/>
      <c r="J52" s="61"/>
      <c r="K52" s="61"/>
    </row>
    <row r="53" spans="1:11" ht="16.5" x14ac:dyDescent="0.75">
      <c r="A53" s="61" t="s">
        <v>24</v>
      </c>
      <c r="B53" s="61"/>
      <c r="C53" s="61" t="s">
        <v>70</v>
      </c>
      <c r="D53" s="75"/>
      <c r="E53" s="61"/>
      <c r="F53" s="70"/>
      <c r="G53" s="27">
        <f>G6</f>
        <v>437389.41579999996</v>
      </c>
      <c r="H53" s="61"/>
      <c r="I53" s="37"/>
      <c r="J53" s="61"/>
      <c r="K53" s="61"/>
    </row>
    <row r="54" spans="1:11" x14ac:dyDescent="0.45">
      <c r="A54" s="69" t="s">
        <v>72</v>
      </c>
      <c r="B54" s="61"/>
      <c r="C54" s="61"/>
      <c r="D54" s="75"/>
      <c r="E54" s="61"/>
      <c r="F54" s="70"/>
      <c r="G54" s="61">
        <f>G52-G53</f>
        <v>-5263.2411231397418</v>
      </c>
      <c r="H54" s="61"/>
      <c r="I54" s="61"/>
      <c r="J54" s="61"/>
      <c r="K54" s="61"/>
    </row>
    <row r="55" spans="1:11" ht="4.05" customHeight="1" x14ac:dyDescent="0.45">
      <c r="A55" s="61"/>
      <c r="B55" s="61"/>
      <c r="C55" s="61"/>
      <c r="D55" s="75"/>
      <c r="E55" s="61"/>
      <c r="F55" s="70"/>
      <c r="G55" s="61"/>
      <c r="H55" s="61"/>
      <c r="I55" s="61"/>
      <c r="J55" s="61"/>
      <c r="K55" s="61"/>
    </row>
    <row r="56" spans="1:11" x14ac:dyDescent="0.45">
      <c r="A56" s="69" t="s">
        <v>73</v>
      </c>
      <c r="B56" s="61"/>
      <c r="C56" s="61"/>
      <c r="D56" s="75"/>
      <c r="E56" s="61"/>
      <c r="F56" s="70"/>
      <c r="G56" s="77">
        <f>IF(G54&lt;0,0,G54/G53)</f>
        <v>0</v>
      </c>
      <c r="H56" s="61"/>
      <c r="I56" s="61"/>
      <c r="J56" s="61"/>
      <c r="K56" s="61"/>
    </row>
    <row r="59" spans="1:11" x14ac:dyDescent="0.45">
      <c r="A59" s="69"/>
      <c r="B59" s="61"/>
      <c r="C59" s="61"/>
      <c r="D59" s="75"/>
      <c r="E59" s="61"/>
      <c r="F59" s="70"/>
      <c r="G59" s="61"/>
    </row>
    <row r="60" spans="1:11" x14ac:dyDescent="0.45">
      <c r="A60" s="61"/>
      <c r="B60" s="61"/>
      <c r="C60" s="61"/>
      <c r="D60" s="75"/>
      <c r="E60" s="61"/>
      <c r="F60" s="70"/>
      <c r="G60" s="61"/>
    </row>
    <row r="61" spans="1:11" x14ac:dyDescent="0.45">
      <c r="A61" s="69"/>
      <c r="B61" s="61"/>
      <c r="C61" s="61"/>
      <c r="D61" s="75"/>
      <c r="E61" s="61"/>
      <c r="F61" s="70"/>
      <c r="G61" s="61"/>
    </row>
  </sheetData>
  <mergeCells count="2">
    <mergeCell ref="A44:G44"/>
    <mergeCell ref="A1:G1"/>
  </mergeCells>
  <printOptions horizontalCentered="1"/>
  <pageMargins left="0.45" right="0.25" top="0.5" bottom="0.5" header="0.3" footer="0.3"/>
  <pageSetup scale="92" orientation="portrait" horizontalDpi="4294967293" r:id="rId1"/>
  <rowBreaks count="2" manualBreakCount="2">
    <brk id="42" max="16383" man="1"/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I27" sqref="B1:I27"/>
    </sheetView>
  </sheetViews>
  <sheetFormatPr defaultColWidth="8.88671875" defaultRowHeight="14.25" x14ac:dyDescent="0.45"/>
  <cols>
    <col min="1" max="1" width="9" style="7" customWidth="1"/>
    <col min="2" max="2" width="1.77734375" style="7" customWidth="1"/>
    <col min="3" max="8" width="9.77734375" style="7" customWidth="1"/>
    <col min="9" max="9" width="1.77734375" style="7" customWidth="1"/>
    <col min="10" max="16384" width="8.88671875" style="7"/>
  </cols>
  <sheetData>
    <row r="1" spans="2:11" x14ac:dyDescent="0.45">
      <c r="B1" s="8"/>
      <c r="C1" s="9"/>
      <c r="D1" s="9"/>
      <c r="E1" s="9"/>
      <c r="F1" s="9"/>
      <c r="G1" s="9"/>
      <c r="H1" s="9"/>
      <c r="I1" s="10"/>
    </row>
    <row r="2" spans="2:11" ht="18" x14ac:dyDescent="0.55000000000000004">
      <c r="B2" s="11"/>
      <c r="C2" s="350" t="s">
        <v>222</v>
      </c>
      <c r="D2" s="350"/>
      <c r="E2" s="350"/>
      <c r="F2" s="350"/>
      <c r="G2" s="350"/>
      <c r="H2" s="350"/>
      <c r="I2" s="351"/>
    </row>
    <row r="3" spans="2:11" ht="18" x14ac:dyDescent="0.55000000000000004">
      <c r="B3" s="11"/>
      <c r="C3" s="346" t="s">
        <v>228</v>
      </c>
      <c r="D3" s="346"/>
      <c r="E3" s="346"/>
      <c r="F3" s="346"/>
      <c r="G3" s="346"/>
      <c r="H3" s="346"/>
      <c r="I3" s="347"/>
    </row>
    <row r="4" spans="2:11" ht="15.75" x14ac:dyDescent="0.45">
      <c r="B4" s="11"/>
      <c r="C4" s="348" t="s">
        <v>234</v>
      </c>
      <c r="D4" s="348"/>
      <c r="E4" s="348"/>
      <c r="F4" s="348"/>
      <c r="G4" s="348"/>
      <c r="H4" s="348"/>
      <c r="I4" s="349"/>
    </row>
    <row r="5" spans="2:11" x14ac:dyDescent="0.45">
      <c r="B5" s="13"/>
      <c r="C5" s="5"/>
      <c r="D5" s="5"/>
      <c r="E5" s="5"/>
      <c r="F5" s="5"/>
      <c r="G5" s="5"/>
      <c r="H5" s="5"/>
      <c r="I5" s="14"/>
    </row>
    <row r="6" spans="2:11" ht="6" customHeight="1" x14ac:dyDescent="0.45">
      <c r="B6" s="11"/>
      <c r="C6" s="6"/>
      <c r="D6" s="12"/>
      <c r="E6" s="40"/>
      <c r="F6" s="41"/>
      <c r="G6" s="41"/>
      <c r="H6" s="41"/>
      <c r="I6" s="42"/>
      <c r="J6" s="39"/>
      <c r="K6" s="39"/>
    </row>
    <row r="7" spans="2:11" ht="16.5" x14ac:dyDescent="0.75">
      <c r="B7" s="11"/>
      <c r="C7" s="16" t="s">
        <v>14</v>
      </c>
      <c r="D7" s="38" t="s">
        <v>74</v>
      </c>
      <c r="E7" s="43" t="s">
        <v>26</v>
      </c>
      <c r="F7" s="16" t="s">
        <v>11</v>
      </c>
      <c r="G7" s="16"/>
      <c r="H7" s="16"/>
      <c r="I7" s="38"/>
    </row>
    <row r="8" spans="2:11" ht="16.5" x14ac:dyDescent="0.75">
      <c r="B8" s="11"/>
      <c r="C8" s="16" t="s">
        <v>81</v>
      </c>
      <c r="D8" s="38" t="s">
        <v>78</v>
      </c>
      <c r="E8" s="43" t="s">
        <v>76</v>
      </c>
      <c r="F8" s="16" t="s">
        <v>76</v>
      </c>
      <c r="G8" s="16" t="s">
        <v>27</v>
      </c>
      <c r="H8" s="16" t="s">
        <v>77</v>
      </c>
      <c r="I8" s="38"/>
    </row>
    <row r="9" spans="2:11" x14ac:dyDescent="0.45">
      <c r="B9" s="11"/>
      <c r="C9" s="17">
        <v>0</v>
      </c>
      <c r="D9" s="44" t="s">
        <v>79</v>
      </c>
      <c r="E9" s="31">
        <f>Rates!D$11</f>
        <v>20.12</v>
      </c>
      <c r="F9" s="17">
        <f>Rates!E$11</f>
        <v>20.12</v>
      </c>
      <c r="G9" s="56">
        <f>F9-E9</f>
        <v>0</v>
      </c>
      <c r="H9" s="81">
        <f>G9/E9</f>
        <v>0</v>
      </c>
      <c r="I9" s="48"/>
    </row>
    <row r="10" spans="2:11" x14ac:dyDescent="0.45">
      <c r="B10" s="11"/>
      <c r="C10" s="6">
        <v>2000</v>
      </c>
      <c r="D10" s="44" t="s">
        <v>79</v>
      </c>
      <c r="E10" s="31">
        <f>Rates!D$11</f>
        <v>20.12</v>
      </c>
      <c r="F10" s="31">
        <f>Rates!E$11</f>
        <v>20.12</v>
      </c>
      <c r="G10" s="17">
        <f t="shared" ref="G10:G17" si="0">F10-E10</f>
        <v>0</v>
      </c>
      <c r="H10" s="81">
        <f t="shared" ref="H10:H24" si="1">G10/E10</f>
        <v>0</v>
      </c>
      <c r="I10" s="48"/>
    </row>
    <row r="11" spans="2:11" x14ac:dyDescent="0.45">
      <c r="B11" s="11"/>
      <c r="C11" s="49">
        <v>4000</v>
      </c>
      <c r="D11" s="50" t="s">
        <v>79</v>
      </c>
      <c r="E11" s="304">
        <f>Rates!D$11+(C11-2000)*Rates!D$12</f>
        <v>33.86</v>
      </c>
      <c r="F11" s="304">
        <f>Rates!E$11+(C11-2000)*Rates!E$12</f>
        <v>33.86</v>
      </c>
      <c r="G11" s="51">
        <f t="shared" si="0"/>
        <v>0</v>
      </c>
      <c r="H11" s="82">
        <f t="shared" si="1"/>
        <v>0</v>
      </c>
      <c r="I11" s="52"/>
    </row>
    <row r="12" spans="2:11" x14ac:dyDescent="0.45">
      <c r="B12" s="11"/>
      <c r="C12" s="6">
        <v>6000</v>
      </c>
      <c r="D12" s="44" t="s">
        <v>79</v>
      </c>
      <c r="E12" s="31">
        <f>Rates!D$11+(C12-2000)*Rates!D$12</f>
        <v>47.6</v>
      </c>
      <c r="F12" s="31">
        <f>Rates!E$11+(C12-2000)*Rates!E$12</f>
        <v>47.6</v>
      </c>
      <c r="G12" s="17">
        <f t="shared" si="0"/>
        <v>0</v>
      </c>
      <c r="H12" s="81">
        <f t="shared" si="1"/>
        <v>0</v>
      </c>
      <c r="I12" s="48"/>
    </row>
    <row r="13" spans="2:11" x14ac:dyDescent="0.45">
      <c r="B13" s="11"/>
      <c r="C13" s="6">
        <v>8000</v>
      </c>
      <c r="D13" s="44" t="s">
        <v>79</v>
      </c>
      <c r="E13" s="31">
        <f>Rates!D$11+(C13-2000)*Rates!D$12</f>
        <v>61.34</v>
      </c>
      <c r="F13" s="31">
        <f>Rates!E$11+(C13-2000)*Rates!E$12</f>
        <v>61.34</v>
      </c>
      <c r="G13" s="17">
        <f t="shared" si="0"/>
        <v>0</v>
      </c>
      <c r="H13" s="81">
        <f t="shared" si="1"/>
        <v>0</v>
      </c>
      <c r="I13" s="48"/>
    </row>
    <row r="14" spans="2:11" x14ac:dyDescent="0.45">
      <c r="B14" s="11"/>
      <c r="C14" s="6">
        <v>10000</v>
      </c>
      <c r="D14" s="44" t="s">
        <v>79</v>
      </c>
      <c r="E14" s="31">
        <f>Rates!D$11+(C14-2000)*Rates!D$12</f>
        <v>75.08</v>
      </c>
      <c r="F14" s="31">
        <f>Rates!E$11+(C14-2000)*Rates!E$12</f>
        <v>75.08</v>
      </c>
      <c r="G14" s="17">
        <f t="shared" si="0"/>
        <v>0</v>
      </c>
      <c r="H14" s="81">
        <f t="shared" si="1"/>
        <v>0</v>
      </c>
      <c r="I14" s="48"/>
    </row>
    <row r="15" spans="2:11" x14ac:dyDescent="0.45">
      <c r="B15" s="11"/>
      <c r="C15" s="6">
        <v>15000</v>
      </c>
      <c r="D15" s="44" t="s">
        <v>79</v>
      </c>
      <c r="E15" s="31">
        <f>Rates!D$11+(C15-2000)*Rates!D$12</f>
        <v>109.43</v>
      </c>
      <c r="F15" s="31">
        <f>Rates!E$11+(C15-2000)*Rates!E$12</f>
        <v>109.43</v>
      </c>
      <c r="G15" s="17">
        <f t="shared" si="0"/>
        <v>0</v>
      </c>
      <c r="H15" s="81">
        <f t="shared" si="1"/>
        <v>0</v>
      </c>
      <c r="I15" s="48"/>
    </row>
    <row r="16" spans="2:11" x14ac:dyDescent="0.45">
      <c r="B16" s="11"/>
      <c r="C16" s="6">
        <v>20000</v>
      </c>
      <c r="D16" s="44" t="s">
        <v>79</v>
      </c>
      <c r="E16" s="31">
        <f>Rates!D$11+(C16-2000)*Rates!D$12</f>
        <v>143.78</v>
      </c>
      <c r="F16" s="31">
        <f>Rates!E$11+(C16-2000)*Rates!E$12</f>
        <v>143.78</v>
      </c>
      <c r="G16" s="17">
        <f t="shared" si="0"/>
        <v>0</v>
      </c>
      <c r="H16" s="81">
        <f t="shared" si="1"/>
        <v>0</v>
      </c>
      <c r="I16" s="48"/>
    </row>
    <row r="17" spans="2:15" x14ac:dyDescent="0.45">
      <c r="B17" s="11"/>
      <c r="C17" s="6">
        <v>25000</v>
      </c>
      <c r="D17" s="45" t="s">
        <v>28</v>
      </c>
      <c r="E17" s="31">
        <f>Rates!D$11+(C17-2000)*Rates!D$12</f>
        <v>178.13000000000002</v>
      </c>
      <c r="F17" s="31">
        <f>Rates!E$11+(C17-2000)*Rates!E$12</f>
        <v>178.13000000000002</v>
      </c>
      <c r="G17" s="17">
        <f t="shared" si="0"/>
        <v>0</v>
      </c>
      <c r="H17" s="81">
        <f t="shared" si="1"/>
        <v>0</v>
      </c>
      <c r="I17" s="48"/>
    </row>
    <row r="18" spans="2:15" x14ac:dyDescent="0.45">
      <c r="B18" s="11"/>
      <c r="C18" s="6">
        <v>30000</v>
      </c>
      <c r="D18" s="45" t="s">
        <v>28</v>
      </c>
      <c r="E18" s="31">
        <f>Rates!D$11+(C18-2000)*Rates!D$12</f>
        <v>212.48000000000002</v>
      </c>
      <c r="F18" s="31">
        <f>Rates!E$11+(C18-2000)*Rates!E$12</f>
        <v>212.48000000000002</v>
      </c>
      <c r="G18" s="17">
        <f t="shared" ref="G18:G24" si="2">F18-E18</f>
        <v>0</v>
      </c>
      <c r="H18" s="81">
        <f t="shared" si="1"/>
        <v>0</v>
      </c>
      <c r="I18" s="48"/>
      <c r="O18" s="6"/>
    </row>
    <row r="19" spans="2:15" x14ac:dyDescent="0.45">
      <c r="B19" s="11"/>
      <c r="C19" s="6">
        <v>40000</v>
      </c>
      <c r="D19" s="45" t="s">
        <v>28</v>
      </c>
      <c r="E19" s="31">
        <f>Rates!D$11+(C19-2000)*Rates!D$12</f>
        <v>281.18</v>
      </c>
      <c r="F19" s="31">
        <f>Rates!E$11+(C19-2000)*Rates!E$12</f>
        <v>281.18</v>
      </c>
      <c r="G19" s="17">
        <f t="shared" si="2"/>
        <v>0</v>
      </c>
      <c r="H19" s="81">
        <f t="shared" si="1"/>
        <v>0</v>
      </c>
      <c r="I19" s="48"/>
    </row>
    <row r="20" spans="2:15" x14ac:dyDescent="0.45">
      <c r="B20" s="11"/>
      <c r="C20" s="6">
        <v>50000</v>
      </c>
      <c r="D20" s="45" t="s">
        <v>28</v>
      </c>
      <c r="E20" s="31">
        <f>Rates!D$11+(C20-2000)*Rates!D$12</f>
        <v>349.88</v>
      </c>
      <c r="F20" s="31">
        <f>Rates!E$11+(C20-2000)*Rates!E$12</f>
        <v>349.88</v>
      </c>
      <c r="G20" s="17">
        <f t="shared" si="2"/>
        <v>0</v>
      </c>
      <c r="H20" s="81">
        <f t="shared" si="1"/>
        <v>0</v>
      </c>
      <c r="I20" s="48"/>
    </row>
    <row r="21" spans="2:15" x14ac:dyDescent="0.45">
      <c r="B21" s="11"/>
      <c r="C21" s="6">
        <v>75000</v>
      </c>
      <c r="D21" s="45" t="s">
        <v>29</v>
      </c>
      <c r="E21" s="31">
        <f>Rates!D$11+(C21-2000)*Rates!D$12</f>
        <v>521.63</v>
      </c>
      <c r="F21" s="31">
        <f>Rates!E$11+(C21-2000)*Rates!E$12</f>
        <v>521.63</v>
      </c>
      <c r="G21" s="17">
        <f t="shared" si="2"/>
        <v>0</v>
      </c>
      <c r="H21" s="81">
        <f t="shared" si="1"/>
        <v>0</v>
      </c>
      <c r="I21" s="48"/>
    </row>
    <row r="22" spans="2:15" x14ac:dyDescent="0.45">
      <c r="B22" s="11"/>
      <c r="C22" s="6">
        <v>100000</v>
      </c>
      <c r="D22" s="45" t="s">
        <v>29</v>
      </c>
      <c r="E22" s="31">
        <f>Rates!D$11+(C22-2000)*Rates!D$12</f>
        <v>693.38</v>
      </c>
      <c r="F22" s="31">
        <f>Rates!E$11+(C22-2000)*Rates!E$12</f>
        <v>693.38</v>
      </c>
      <c r="G22" s="17">
        <f t="shared" si="2"/>
        <v>0</v>
      </c>
      <c r="H22" s="81">
        <f t="shared" si="1"/>
        <v>0</v>
      </c>
      <c r="I22" s="48"/>
    </row>
    <row r="23" spans="2:15" x14ac:dyDescent="0.45">
      <c r="B23" s="11"/>
      <c r="C23" s="6">
        <v>200000</v>
      </c>
      <c r="D23" s="45" t="s">
        <v>29</v>
      </c>
      <c r="E23" s="31">
        <f>Rates!D$11+(Rates!D$12*98000)+(C23-100000)*Rates!D$13</f>
        <v>1290.3800000000001</v>
      </c>
      <c r="F23" s="31">
        <f>Rates!E$11+(Rates!E$12*98000)+(C23-100000)*Rates!E$13</f>
        <v>1290.3800000000001</v>
      </c>
      <c r="G23" s="17">
        <f t="shared" si="2"/>
        <v>0</v>
      </c>
      <c r="H23" s="81">
        <f t="shared" si="1"/>
        <v>0</v>
      </c>
      <c r="I23" s="48"/>
    </row>
    <row r="24" spans="2:15" x14ac:dyDescent="0.45">
      <c r="B24" s="11"/>
      <c r="C24" s="6">
        <v>500000</v>
      </c>
      <c r="D24" s="45" t="s">
        <v>29</v>
      </c>
      <c r="E24" s="31">
        <f>Rates!D$11+(Rates!D$12*98000)+(C24-100000)*Rates!D$13</f>
        <v>3081.38</v>
      </c>
      <c r="F24" s="31">
        <f>Rates!E$11+(Rates!E$12*98000)+(C24-100000)*Rates!E$13</f>
        <v>3081.38</v>
      </c>
      <c r="G24" s="17">
        <f t="shared" si="2"/>
        <v>0</v>
      </c>
      <c r="H24" s="81">
        <f t="shared" si="1"/>
        <v>0</v>
      </c>
      <c r="I24" s="48"/>
    </row>
    <row r="25" spans="2:15" ht="6" customHeight="1" x14ac:dyDescent="0.45">
      <c r="B25" s="13"/>
      <c r="C25" s="5"/>
      <c r="D25" s="4"/>
      <c r="E25" s="47"/>
      <c r="F25" s="46"/>
      <c r="G25" s="46"/>
      <c r="H25" s="5"/>
      <c r="I25" s="14"/>
    </row>
    <row r="27" spans="2:15" x14ac:dyDescent="0.45">
      <c r="D27" s="57" t="s">
        <v>82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5C76-0BB3-4641-8635-4C8CCF8B407C}">
  <dimension ref="B1:O27"/>
  <sheetViews>
    <sheetView showGridLines="0" workbookViewId="0">
      <selection activeCell="I27" sqref="B1:I27"/>
    </sheetView>
  </sheetViews>
  <sheetFormatPr defaultColWidth="8.88671875" defaultRowHeight="14.25" x14ac:dyDescent="0.45"/>
  <cols>
    <col min="1" max="1" width="9" style="7" customWidth="1"/>
    <col min="2" max="2" width="1.77734375" style="7" customWidth="1"/>
    <col min="3" max="8" width="9.77734375" style="7" customWidth="1"/>
    <col min="9" max="9" width="1.77734375" style="7" customWidth="1"/>
    <col min="10" max="16384" width="8.88671875" style="7"/>
  </cols>
  <sheetData>
    <row r="1" spans="2:11" x14ac:dyDescent="0.45">
      <c r="B1" s="8"/>
      <c r="C1" s="9"/>
      <c r="D1" s="9"/>
      <c r="E1" s="9"/>
      <c r="F1" s="9"/>
      <c r="G1" s="9"/>
      <c r="H1" s="9"/>
      <c r="I1" s="10"/>
    </row>
    <row r="2" spans="2:11" ht="18" x14ac:dyDescent="0.55000000000000004">
      <c r="B2" s="11"/>
      <c r="C2" s="350" t="s">
        <v>231</v>
      </c>
      <c r="D2" s="350"/>
      <c r="E2" s="350"/>
      <c r="F2" s="350"/>
      <c r="G2" s="350"/>
      <c r="H2" s="350"/>
      <c r="I2" s="351"/>
    </row>
    <row r="3" spans="2:11" ht="18" x14ac:dyDescent="0.55000000000000004">
      <c r="B3" s="11"/>
      <c r="C3" s="346" t="s">
        <v>230</v>
      </c>
      <c r="D3" s="346"/>
      <c r="E3" s="346"/>
      <c r="F3" s="346"/>
      <c r="G3" s="346"/>
      <c r="H3" s="346"/>
      <c r="I3" s="347"/>
    </row>
    <row r="4" spans="2:11" ht="15.75" x14ac:dyDescent="0.45">
      <c r="B4" s="11"/>
      <c r="C4" s="348" t="s">
        <v>234</v>
      </c>
      <c r="D4" s="348"/>
      <c r="E4" s="348"/>
      <c r="F4" s="348"/>
      <c r="G4" s="348"/>
      <c r="H4" s="348"/>
      <c r="I4" s="349"/>
    </row>
    <row r="5" spans="2:11" x14ac:dyDescent="0.45">
      <c r="B5" s="13"/>
      <c r="C5" s="5"/>
      <c r="D5" s="5"/>
      <c r="E5" s="5"/>
      <c r="F5" s="5"/>
      <c r="G5" s="5"/>
      <c r="H5" s="5"/>
      <c r="I5" s="14"/>
    </row>
    <row r="6" spans="2:11" ht="6" customHeight="1" x14ac:dyDescent="0.45">
      <c r="B6" s="11"/>
      <c r="C6" s="6"/>
      <c r="D6" s="12"/>
      <c r="E6" s="40"/>
      <c r="F6" s="253"/>
      <c r="G6" s="253"/>
      <c r="H6" s="253"/>
      <c r="I6" s="254"/>
      <c r="J6" s="255"/>
      <c r="K6" s="255"/>
    </row>
    <row r="7" spans="2:11" ht="16.5" x14ac:dyDescent="0.75">
      <c r="B7" s="11"/>
      <c r="C7" s="16" t="s">
        <v>14</v>
      </c>
      <c r="D7" s="38" t="s">
        <v>74</v>
      </c>
      <c r="E7" s="43" t="s">
        <v>26</v>
      </c>
      <c r="F7" s="16" t="s">
        <v>11</v>
      </c>
      <c r="G7" s="16"/>
      <c r="H7" s="16"/>
      <c r="I7" s="38"/>
    </row>
    <row r="8" spans="2:11" ht="16.5" x14ac:dyDescent="0.75">
      <c r="B8" s="11"/>
      <c r="C8" s="16" t="s">
        <v>81</v>
      </c>
      <c r="D8" s="38" t="s">
        <v>78</v>
      </c>
      <c r="E8" s="43" t="s">
        <v>76</v>
      </c>
      <c r="F8" s="16" t="s">
        <v>76</v>
      </c>
      <c r="G8" s="16" t="s">
        <v>27</v>
      </c>
      <c r="H8" s="16" t="s">
        <v>77</v>
      </c>
      <c r="I8" s="38"/>
    </row>
    <row r="9" spans="2:11" x14ac:dyDescent="0.45">
      <c r="B9" s="11"/>
      <c r="C9" s="17">
        <v>0</v>
      </c>
      <c r="D9" s="44" t="s">
        <v>79</v>
      </c>
      <c r="E9" s="31">
        <f>Rates!D$11</f>
        <v>20.12</v>
      </c>
      <c r="F9" s="17">
        <f>Rates!E$11+Rates!$E$23</f>
        <v>26.364288388112723</v>
      </c>
      <c r="G9" s="56">
        <f>F9-E9</f>
        <v>6.2442883881127216</v>
      </c>
      <c r="H9" s="81">
        <f>G9/E9</f>
        <v>0.31035230557220284</v>
      </c>
      <c r="I9" s="48"/>
    </row>
    <row r="10" spans="2:11" x14ac:dyDescent="0.45">
      <c r="B10" s="11"/>
      <c r="C10" s="6">
        <v>2000</v>
      </c>
      <c r="D10" s="44" t="s">
        <v>79</v>
      </c>
      <c r="E10" s="31">
        <f>Rates!D$11</f>
        <v>20.12</v>
      </c>
      <c r="F10" s="17">
        <f>Rates!E$11+Rates!$E$23</f>
        <v>26.364288388112723</v>
      </c>
      <c r="G10" s="17">
        <f t="shared" ref="G10:G24" si="0">F10-E10</f>
        <v>6.2442883881127216</v>
      </c>
      <c r="H10" s="81">
        <f t="shared" ref="H10:H24" si="1">G10/E10</f>
        <v>0.31035230557220284</v>
      </c>
      <c r="I10" s="48"/>
    </row>
    <row r="11" spans="2:11" x14ac:dyDescent="0.45">
      <c r="B11" s="11"/>
      <c r="C11" s="49">
        <v>4000</v>
      </c>
      <c r="D11" s="50" t="s">
        <v>79</v>
      </c>
      <c r="E11" s="304">
        <f>Rates!D$11+(C11-2000)*Rates!D$12</f>
        <v>33.86</v>
      </c>
      <c r="F11" s="304">
        <f>Rates!E$11+(C11-2000)*Rates!E$12+Rates!$E$23</f>
        <v>40.104288388112721</v>
      </c>
      <c r="G11" s="51">
        <f t="shared" si="0"/>
        <v>6.2442883881127216</v>
      </c>
      <c r="H11" s="82">
        <f t="shared" si="1"/>
        <v>0.1844148962821241</v>
      </c>
      <c r="I11" s="52"/>
    </row>
    <row r="12" spans="2:11" x14ac:dyDescent="0.45">
      <c r="B12" s="11"/>
      <c r="C12" s="6">
        <v>6000</v>
      </c>
      <c r="D12" s="44" t="s">
        <v>79</v>
      </c>
      <c r="E12" s="31">
        <f>Rates!D$11+(C12-2000)*Rates!D$12</f>
        <v>47.6</v>
      </c>
      <c r="F12" s="31">
        <f>Rates!E$11+(C12-2000)*Rates!E$12+Rates!$E$23</f>
        <v>53.844288388112723</v>
      </c>
      <c r="G12" s="17">
        <f t="shared" si="0"/>
        <v>6.2442883881127216</v>
      </c>
      <c r="H12" s="81">
        <f t="shared" si="1"/>
        <v>0.13118252916203196</v>
      </c>
      <c r="I12" s="48"/>
    </row>
    <row r="13" spans="2:11" x14ac:dyDescent="0.45">
      <c r="B13" s="11"/>
      <c r="C13" s="6">
        <v>8000</v>
      </c>
      <c r="D13" s="44" t="s">
        <v>79</v>
      </c>
      <c r="E13" s="31">
        <f>Rates!D$11+(C13-2000)*Rates!D$12</f>
        <v>61.34</v>
      </c>
      <c r="F13" s="31">
        <f>Rates!E$11+(C13-2000)*Rates!E$12+Rates!$E$23</f>
        <v>67.584288388112725</v>
      </c>
      <c r="G13" s="17">
        <f t="shared" si="0"/>
        <v>6.2442883881127216</v>
      </c>
      <c r="H13" s="81">
        <f t="shared" si="1"/>
        <v>0.101797984807837</v>
      </c>
      <c r="I13" s="48"/>
    </row>
    <row r="14" spans="2:11" x14ac:dyDescent="0.45">
      <c r="B14" s="11"/>
      <c r="C14" s="6">
        <v>10000</v>
      </c>
      <c r="D14" s="44" t="s">
        <v>79</v>
      </c>
      <c r="E14" s="31">
        <f>Rates!D$11+(C14-2000)*Rates!D$12</f>
        <v>75.08</v>
      </c>
      <c r="F14" s="31">
        <f>Rates!E$11+(C14-2000)*Rates!E$12+Rates!$E$23</f>
        <v>81.32428838811272</v>
      </c>
      <c r="G14" s="17">
        <f t="shared" si="0"/>
        <v>6.2442883881127216</v>
      </c>
      <c r="H14" s="81">
        <f t="shared" si="1"/>
        <v>8.316846547832607E-2</v>
      </c>
      <c r="I14" s="48"/>
    </row>
    <row r="15" spans="2:11" x14ac:dyDescent="0.45">
      <c r="B15" s="11"/>
      <c r="C15" s="6">
        <v>15000</v>
      </c>
      <c r="D15" s="44" t="s">
        <v>79</v>
      </c>
      <c r="E15" s="31">
        <f>Rates!D$11+(C15-2000)*Rates!D$12</f>
        <v>109.43</v>
      </c>
      <c r="F15" s="31">
        <f>Rates!E$11+(C15-2000)*Rates!E$12+Rates!$E$23</f>
        <v>115.67428838811273</v>
      </c>
      <c r="G15" s="17">
        <f t="shared" si="0"/>
        <v>6.2442883881127216</v>
      </c>
      <c r="H15" s="81">
        <f t="shared" si="1"/>
        <v>5.7061942685851422E-2</v>
      </c>
      <c r="I15" s="48"/>
    </row>
    <row r="16" spans="2:11" x14ac:dyDescent="0.45">
      <c r="B16" s="11"/>
      <c r="C16" s="6">
        <v>20000</v>
      </c>
      <c r="D16" s="44" t="s">
        <v>79</v>
      </c>
      <c r="E16" s="31">
        <f>Rates!D$11+(C16-2000)*Rates!D$12</f>
        <v>143.78</v>
      </c>
      <c r="F16" s="31">
        <f>Rates!E$11+(C16-2000)*Rates!E$12+Rates!$E$23</f>
        <v>150.02428838811272</v>
      </c>
      <c r="G16" s="17">
        <f t="shared" si="0"/>
        <v>6.2442883881127216</v>
      </c>
      <c r="H16" s="81">
        <f t="shared" si="1"/>
        <v>4.3429464376914188E-2</v>
      </c>
      <c r="I16" s="48"/>
    </row>
    <row r="17" spans="2:15" x14ac:dyDescent="0.45">
      <c r="B17" s="11"/>
      <c r="C17" s="6">
        <v>25000</v>
      </c>
      <c r="D17" s="45" t="s">
        <v>28</v>
      </c>
      <c r="E17" s="31">
        <f>Rates!D$11+(C17-2000)*Rates!D$12</f>
        <v>178.13000000000002</v>
      </c>
      <c r="F17" s="31">
        <f>Rates!E$11+(C17-2000)*Rates!E$12+Rates!$E$23</f>
        <v>184.37428838811275</v>
      </c>
      <c r="G17" s="17">
        <f t="shared" si="0"/>
        <v>6.2442883881127216</v>
      </c>
      <c r="H17" s="81">
        <f t="shared" si="1"/>
        <v>3.5054670117962837E-2</v>
      </c>
      <c r="I17" s="48"/>
    </row>
    <row r="18" spans="2:15" x14ac:dyDescent="0.45">
      <c r="B18" s="11"/>
      <c r="C18" s="6">
        <v>30000</v>
      </c>
      <c r="D18" s="45" t="s">
        <v>28</v>
      </c>
      <c r="E18" s="31">
        <f>Rates!D$11+(C18-2000)*Rates!D$12</f>
        <v>212.48000000000002</v>
      </c>
      <c r="F18" s="31">
        <f>Rates!E$11+(C18-2000)*Rates!E$12+Rates!$E$23</f>
        <v>218.72428838811274</v>
      </c>
      <c r="G18" s="17">
        <f t="shared" si="0"/>
        <v>6.2442883881127216</v>
      </c>
      <c r="H18" s="81">
        <f t="shared" si="1"/>
        <v>2.9387652428994358E-2</v>
      </c>
      <c r="I18" s="48"/>
      <c r="O18" s="6"/>
    </row>
    <row r="19" spans="2:15" x14ac:dyDescent="0.45">
      <c r="B19" s="11"/>
      <c r="C19" s="6">
        <v>40000</v>
      </c>
      <c r="D19" s="45" t="s">
        <v>28</v>
      </c>
      <c r="E19" s="31">
        <f>Rates!D$11+(C19-2000)*Rates!D$12</f>
        <v>281.18</v>
      </c>
      <c r="F19" s="31">
        <f>Rates!E$11+(C19-2000)*Rates!E$12+Rates!$E$23</f>
        <v>287.4242883881127</v>
      </c>
      <c r="G19" s="17">
        <f t="shared" si="0"/>
        <v>6.2442883881126932</v>
      </c>
      <c r="H19" s="81">
        <f t="shared" si="1"/>
        <v>2.2207441454273748E-2</v>
      </c>
      <c r="I19" s="48"/>
    </row>
    <row r="20" spans="2:15" x14ac:dyDescent="0.45">
      <c r="B20" s="11"/>
      <c r="C20" s="6">
        <v>50000</v>
      </c>
      <c r="D20" s="45" t="s">
        <v>28</v>
      </c>
      <c r="E20" s="31">
        <f>Rates!D$11+(C20-2000)*Rates!D$12</f>
        <v>349.88</v>
      </c>
      <c r="F20" s="31">
        <f>Rates!E$11+(C20-2000)*Rates!E$12+Rates!$E$23</f>
        <v>356.12428838811275</v>
      </c>
      <c r="G20" s="17">
        <f t="shared" si="0"/>
        <v>6.24428838811275</v>
      </c>
      <c r="H20" s="81">
        <f t="shared" si="1"/>
        <v>1.7846942917893991E-2</v>
      </c>
      <c r="I20" s="48"/>
    </row>
    <row r="21" spans="2:15" x14ac:dyDescent="0.45">
      <c r="B21" s="11"/>
      <c r="C21" s="6">
        <v>75000</v>
      </c>
      <c r="D21" s="45" t="s">
        <v>29</v>
      </c>
      <c r="E21" s="31">
        <f>Rates!D$11+(C21-2000)*Rates!D$12</f>
        <v>521.63</v>
      </c>
      <c r="F21" s="31">
        <f>Rates!E$11+(C21-2000)*Rates!E$12+Rates!$E$23</f>
        <v>527.87428838811275</v>
      </c>
      <c r="G21" s="17">
        <f t="shared" si="0"/>
        <v>6.24428838811275</v>
      </c>
      <c r="H21" s="81">
        <f t="shared" si="1"/>
        <v>1.1970723286836933E-2</v>
      </c>
      <c r="I21" s="48"/>
    </row>
    <row r="22" spans="2:15" x14ac:dyDescent="0.45">
      <c r="B22" s="11"/>
      <c r="C22" s="6">
        <v>100000</v>
      </c>
      <c r="D22" s="45" t="s">
        <v>29</v>
      </c>
      <c r="E22" s="31">
        <f>Rates!D$11+(C22-2000)*Rates!D$12</f>
        <v>693.38</v>
      </c>
      <c r="F22" s="31">
        <f>Rates!E$11+(C22-2000)*Rates!E$12+Rates!$E$23</f>
        <v>699.62428838811275</v>
      </c>
      <c r="G22" s="17">
        <f t="shared" si="0"/>
        <v>6.24428838811275</v>
      </c>
      <c r="H22" s="81">
        <f t="shared" si="1"/>
        <v>9.0055790304201886E-3</v>
      </c>
      <c r="I22" s="48"/>
    </row>
    <row r="23" spans="2:15" x14ac:dyDescent="0.45">
      <c r="B23" s="11"/>
      <c r="C23" s="6">
        <v>200000</v>
      </c>
      <c r="D23" s="45" t="s">
        <v>29</v>
      </c>
      <c r="E23" s="31">
        <f>Rates!D$11+(Rates!D$12*98000)+(C23-100000)*Rates!D$13</f>
        <v>1290.3800000000001</v>
      </c>
      <c r="F23" s="31">
        <f>Rates!E$11+(Rates!E$12*98000)+(C23-100000)*Rates!E$13+Rates!$E$23</f>
        <v>1296.6242883881127</v>
      </c>
      <c r="G23" s="17">
        <f t="shared" si="0"/>
        <v>6.2442883881126363</v>
      </c>
      <c r="H23" s="81">
        <f t="shared" si="1"/>
        <v>4.8391081604741513E-3</v>
      </c>
      <c r="I23" s="48"/>
    </row>
    <row r="24" spans="2:15" x14ac:dyDescent="0.45">
      <c r="B24" s="11"/>
      <c r="C24" s="6">
        <v>500000</v>
      </c>
      <c r="D24" s="45" t="s">
        <v>29</v>
      </c>
      <c r="E24" s="31">
        <f>Rates!D$11+(Rates!D$12*98000)+(C24-100000)*Rates!D$13</f>
        <v>3081.38</v>
      </c>
      <c r="F24" s="31">
        <f>Rates!E$11+(Rates!E$12*98000)+(C24-100000)*Rates!E$13+Rates!$E$23</f>
        <v>3087.6242883881127</v>
      </c>
      <c r="G24" s="17">
        <f t="shared" si="0"/>
        <v>6.2442883881126363</v>
      </c>
      <c r="H24" s="81">
        <f t="shared" si="1"/>
        <v>2.0264584011425515E-3</v>
      </c>
      <c r="I24" s="48"/>
    </row>
    <row r="25" spans="2:15" ht="6" customHeight="1" x14ac:dyDescent="0.45">
      <c r="B25" s="13"/>
      <c r="C25" s="5"/>
      <c r="D25" s="4"/>
      <c r="E25" s="47"/>
      <c r="F25" s="46"/>
      <c r="G25" s="46"/>
      <c r="H25" s="5"/>
      <c r="I25" s="14"/>
    </row>
    <row r="27" spans="2:15" x14ac:dyDescent="0.45">
      <c r="D27" s="57" t="s">
        <v>82</v>
      </c>
    </row>
  </sheetData>
  <mergeCells count="3">
    <mergeCell ref="C2:I2"/>
    <mergeCell ref="C3:I3"/>
    <mergeCell ref="C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N35"/>
  <sheetViews>
    <sheetView showGridLines="0" workbookViewId="0">
      <selection sqref="A1:K32"/>
    </sheetView>
  </sheetViews>
  <sheetFormatPr defaultRowHeight="15" x14ac:dyDescent="0.4"/>
  <cols>
    <col min="1" max="1" width="7.77734375" style="162" customWidth="1"/>
    <col min="2" max="2" width="8.21875" style="162" customWidth="1"/>
    <col min="3" max="8" width="12.609375" style="162" customWidth="1"/>
    <col min="9" max="12" width="10.5" style="162" customWidth="1"/>
    <col min="13" max="13" width="13.109375" style="162" customWidth="1"/>
    <col min="14" max="16384" width="8.88671875" style="162"/>
  </cols>
  <sheetData>
    <row r="1" spans="1:14" ht="21" x14ac:dyDescent="0.65">
      <c r="A1" s="352" t="s">
        <v>150</v>
      </c>
      <c r="B1" s="352"/>
      <c r="C1" s="352"/>
      <c r="D1" s="352"/>
      <c r="E1" s="352"/>
      <c r="F1" s="352"/>
      <c r="G1" s="352"/>
    </row>
    <row r="2" spans="1:14" ht="18" x14ac:dyDescent="0.4">
      <c r="A2" s="353" t="s">
        <v>251</v>
      </c>
      <c r="B2" s="353"/>
      <c r="C2" s="353"/>
      <c r="D2" s="353"/>
      <c r="E2" s="353"/>
      <c r="F2" s="353"/>
      <c r="G2" s="353"/>
    </row>
    <row r="3" spans="1:14" x14ac:dyDescent="0.45">
      <c r="A3" s="25"/>
      <c r="B3" s="26"/>
      <c r="C3" s="26"/>
      <c r="D3" s="26"/>
      <c r="E3" s="26"/>
      <c r="F3" s="26"/>
      <c r="G3" s="26"/>
    </row>
    <row r="4" spans="1:14" ht="15.75" x14ac:dyDescent="0.45">
      <c r="A4" s="84"/>
      <c r="B4" s="170"/>
      <c r="C4" s="354" t="s">
        <v>52</v>
      </c>
      <c r="D4" s="354"/>
      <c r="E4" s="354"/>
      <c r="F4" s="354"/>
      <c r="G4" s="84"/>
      <c r="H4" s="170"/>
      <c r="I4" s="170"/>
      <c r="J4" s="170"/>
    </row>
    <row r="5" spans="1:14" x14ac:dyDescent="0.45">
      <c r="A5" s="84"/>
      <c r="B5" s="84"/>
      <c r="C5" s="171" t="s">
        <v>179</v>
      </c>
      <c r="D5" s="171"/>
      <c r="E5" s="172" t="s">
        <v>56</v>
      </c>
      <c r="F5" s="172" t="s">
        <v>57</v>
      </c>
      <c r="G5" s="166" t="s">
        <v>60</v>
      </c>
      <c r="H5" s="166"/>
      <c r="I5" s="167"/>
      <c r="J5" s="170"/>
      <c r="K5" s="170"/>
    </row>
    <row r="6" spans="1:14" x14ac:dyDescent="0.45">
      <c r="A6" s="84"/>
      <c r="B6" s="84"/>
      <c r="C6" s="173" t="s">
        <v>252</v>
      </c>
      <c r="D6" s="173"/>
      <c r="E6" s="174">
        <f>C21</f>
        <v>7045</v>
      </c>
      <c r="F6" s="175">
        <f>H21</f>
        <v>55784740</v>
      </c>
      <c r="G6" s="176">
        <f>F28</f>
        <v>436446.91579999996</v>
      </c>
      <c r="H6" s="177"/>
      <c r="I6" s="178"/>
      <c r="J6" s="179"/>
      <c r="K6" s="170"/>
      <c r="L6" s="163"/>
      <c r="M6" s="163"/>
      <c r="N6" s="163"/>
    </row>
    <row r="7" spans="1:14" x14ac:dyDescent="0.45">
      <c r="A7" s="84"/>
      <c r="B7" s="84"/>
      <c r="C7" s="173" t="s">
        <v>292</v>
      </c>
      <c r="D7" s="173"/>
      <c r="E7" s="174"/>
      <c r="F7" s="315">
        <f>D32</f>
        <v>145000</v>
      </c>
      <c r="G7" s="314">
        <f>F32</f>
        <v>942.5</v>
      </c>
      <c r="H7" s="177"/>
      <c r="I7" s="178"/>
      <c r="J7" s="179"/>
      <c r="K7" s="170"/>
      <c r="L7" s="163"/>
      <c r="M7" s="163"/>
      <c r="N7" s="163"/>
    </row>
    <row r="8" spans="1:14" x14ac:dyDescent="0.45">
      <c r="A8" s="84"/>
      <c r="B8" s="84"/>
      <c r="C8" s="173" t="s">
        <v>293</v>
      </c>
      <c r="D8" s="173"/>
      <c r="E8" s="174"/>
      <c r="F8" s="175">
        <f>F6+F7</f>
        <v>55929740</v>
      </c>
      <c r="G8" s="176">
        <f>G6+G7</f>
        <v>437389.41579999996</v>
      </c>
      <c r="H8" s="177"/>
      <c r="I8" s="178"/>
      <c r="J8" s="179"/>
      <c r="K8" s="170"/>
      <c r="L8" s="163"/>
      <c r="M8" s="163"/>
      <c r="N8" s="163"/>
    </row>
    <row r="9" spans="1:14" ht="15.75" customHeight="1" x14ac:dyDescent="0.45">
      <c r="A9" s="84"/>
      <c r="B9" s="84"/>
      <c r="C9" s="180" t="s">
        <v>180</v>
      </c>
      <c r="D9" s="180"/>
      <c r="E9" s="175"/>
      <c r="F9" s="175"/>
      <c r="G9" s="249">
        <v>0</v>
      </c>
      <c r="H9" s="84"/>
      <c r="I9" s="170"/>
      <c r="J9" s="170"/>
      <c r="K9" s="170"/>
      <c r="L9" s="163"/>
      <c r="M9" s="163"/>
      <c r="N9" s="163"/>
    </row>
    <row r="10" spans="1:14" x14ac:dyDescent="0.45">
      <c r="A10" s="84"/>
      <c r="B10" s="84"/>
      <c r="C10" s="182" t="s">
        <v>253</v>
      </c>
      <c r="D10" s="182"/>
      <c r="E10" s="175"/>
      <c r="F10" s="175"/>
      <c r="G10" s="181">
        <f>G8+G9</f>
        <v>437389.41579999996</v>
      </c>
      <c r="H10" s="84"/>
      <c r="I10" s="170"/>
      <c r="J10" s="170"/>
      <c r="K10" s="170"/>
    </row>
    <row r="11" spans="1:14" x14ac:dyDescent="0.45">
      <c r="A11" s="84"/>
      <c r="B11" s="84"/>
      <c r="C11" s="182" t="s">
        <v>181</v>
      </c>
      <c r="D11" s="182"/>
      <c r="E11" s="175"/>
      <c r="F11" s="175"/>
      <c r="G11" s="278">
        <v>344017.67</v>
      </c>
      <c r="H11" s="84"/>
      <c r="I11" s="170"/>
      <c r="J11" s="170"/>
      <c r="K11" s="170"/>
    </row>
    <row r="12" spans="1:14" x14ac:dyDescent="0.45">
      <c r="A12" s="84"/>
      <c r="B12" s="84"/>
      <c r="C12" s="182" t="s">
        <v>182</v>
      </c>
      <c r="D12" s="182"/>
      <c r="E12" s="175"/>
      <c r="F12" s="175"/>
      <c r="G12" s="281">
        <f>G10-G11</f>
        <v>93371.745799999975</v>
      </c>
      <c r="H12" s="84" t="s">
        <v>183</v>
      </c>
      <c r="I12" s="170"/>
      <c r="J12" s="170"/>
      <c r="K12" s="282">
        <f>G12/G11</f>
        <v>0.27141555199766332</v>
      </c>
    </row>
    <row r="13" spans="1:14" x14ac:dyDescent="0.45">
      <c r="A13" s="84"/>
      <c r="B13" s="84"/>
      <c r="C13" s="182"/>
      <c r="D13" s="175"/>
      <c r="E13" s="175"/>
      <c r="F13" s="181"/>
      <c r="G13" s="84"/>
      <c r="H13" s="170"/>
      <c r="I13" s="170"/>
      <c r="J13" s="170"/>
    </row>
    <row r="14" spans="1:14" x14ac:dyDescent="0.45">
      <c r="A14" s="84"/>
      <c r="B14" s="84"/>
      <c r="C14" s="183"/>
      <c r="D14" s="176"/>
      <c r="E14" s="84"/>
      <c r="F14" s="84"/>
      <c r="G14" s="84"/>
      <c r="H14" s="170"/>
      <c r="I14" s="170"/>
      <c r="J14" s="170"/>
    </row>
    <row r="15" spans="1:14" x14ac:dyDescent="0.45">
      <c r="A15" s="312" t="s">
        <v>290</v>
      </c>
      <c r="B15" s="84"/>
      <c r="C15" s="84"/>
      <c r="D15" s="84"/>
      <c r="E15" s="84"/>
      <c r="F15" s="84"/>
      <c r="G15" s="84"/>
      <c r="H15" s="170"/>
      <c r="I15" s="170"/>
      <c r="J15" s="170"/>
    </row>
    <row r="16" spans="1:14" x14ac:dyDescent="0.45">
      <c r="A16" s="84"/>
      <c r="B16" s="84"/>
      <c r="C16" s="84"/>
      <c r="D16" s="166"/>
      <c r="E16" s="166" t="s">
        <v>53</v>
      </c>
      <c r="F16" s="166" t="s">
        <v>151</v>
      </c>
      <c r="G16" s="166" t="s">
        <v>54</v>
      </c>
      <c r="H16" s="84"/>
      <c r="I16" s="170"/>
    </row>
    <row r="17" spans="1:10" x14ac:dyDescent="0.45">
      <c r="A17" s="84"/>
      <c r="B17" s="166" t="s">
        <v>55</v>
      </c>
      <c r="C17" s="172" t="s">
        <v>56</v>
      </c>
      <c r="D17" s="184" t="s">
        <v>57</v>
      </c>
      <c r="E17" s="172">
        <f>B18</f>
        <v>2000</v>
      </c>
      <c r="F17" s="172">
        <f>B19</f>
        <v>98000</v>
      </c>
      <c r="G17" s="172">
        <f>B20</f>
        <v>100000</v>
      </c>
      <c r="H17" s="166" t="s">
        <v>58</v>
      </c>
      <c r="I17" s="170"/>
    </row>
    <row r="18" spans="1:10" x14ac:dyDescent="0.45">
      <c r="A18" s="185" t="s">
        <v>53</v>
      </c>
      <c r="B18" s="186">
        <v>2000</v>
      </c>
      <c r="C18" s="24">
        <v>2181</v>
      </c>
      <c r="D18" s="24">
        <v>1800000</v>
      </c>
      <c r="E18" s="24">
        <f>D18</f>
        <v>1800000</v>
      </c>
      <c r="F18" s="24">
        <v>0</v>
      </c>
      <c r="G18" s="24">
        <v>0</v>
      </c>
      <c r="H18" s="24">
        <f>SUM(E18:G18)</f>
        <v>1800000</v>
      </c>
      <c r="I18" s="170"/>
    </row>
    <row r="19" spans="1:10" x14ac:dyDescent="0.45">
      <c r="A19" s="185" t="s">
        <v>151</v>
      </c>
      <c r="B19" s="187">
        <v>98000</v>
      </c>
      <c r="C19" s="24">
        <v>4751</v>
      </c>
      <c r="D19" s="24">
        <v>32304420</v>
      </c>
      <c r="E19" s="24">
        <f>C19*2000</f>
        <v>9502000</v>
      </c>
      <c r="F19" s="24">
        <f>D19-E19</f>
        <v>22802420</v>
      </c>
      <c r="G19" s="24">
        <v>0</v>
      </c>
      <c r="H19" s="24">
        <f>SUM(E19:G19)</f>
        <v>32304420</v>
      </c>
      <c r="I19" s="170"/>
    </row>
    <row r="20" spans="1:10" x14ac:dyDescent="0.45">
      <c r="A20" s="185" t="s">
        <v>54</v>
      </c>
      <c r="B20" s="187">
        <v>100000</v>
      </c>
      <c r="C20" s="23">
        <f>78+35</f>
        <v>113</v>
      </c>
      <c r="D20" s="23">
        <f>13924160+7756160</f>
        <v>21680320</v>
      </c>
      <c r="E20" s="23">
        <f>C20*B18</f>
        <v>226000</v>
      </c>
      <c r="F20" s="23">
        <f>C20*B19</f>
        <v>11074000</v>
      </c>
      <c r="G20" s="23">
        <f>D20-E20-F20</f>
        <v>10380320</v>
      </c>
      <c r="H20" s="23">
        <f>SUM(E20:G20)</f>
        <v>21680320</v>
      </c>
      <c r="I20" s="170"/>
    </row>
    <row r="21" spans="1:10" x14ac:dyDescent="0.45">
      <c r="A21" s="185"/>
      <c r="B21" s="187"/>
      <c r="C21" s="24">
        <f t="shared" ref="C21:H21" si="0">SUM(C18:C20)</f>
        <v>7045</v>
      </c>
      <c r="D21" s="24">
        <f t="shared" si="0"/>
        <v>55784740</v>
      </c>
      <c r="E21" s="24">
        <f t="shared" si="0"/>
        <v>11528000</v>
      </c>
      <c r="F21" s="24">
        <f t="shared" si="0"/>
        <v>33876420</v>
      </c>
      <c r="G21" s="24">
        <f t="shared" si="0"/>
        <v>10380320</v>
      </c>
      <c r="H21" s="24">
        <f t="shared" si="0"/>
        <v>55784740</v>
      </c>
      <c r="I21" s="170"/>
    </row>
    <row r="22" spans="1:10" x14ac:dyDescent="0.45">
      <c r="A22" s="185"/>
      <c r="B22" s="187"/>
      <c r="C22" s="84"/>
      <c r="D22" s="187"/>
      <c r="E22" s="187"/>
      <c r="F22" s="187"/>
      <c r="G22" s="170"/>
      <c r="H22" s="170"/>
      <c r="I22" s="170"/>
    </row>
    <row r="23" spans="1:10" x14ac:dyDescent="0.45">
      <c r="A23" s="188" t="s">
        <v>152</v>
      </c>
      <c r="B23" s="188"/>
      <c r="C23" s="84"/>
      <c r="D23" s="187"/>
      <c r="E23" s="187"/>
      <c r="F23" s="187"/>
      <c r="G23" s="187"/>
      <c r="H23" s="170"/>
      <c r="I23" s="170"/>
      <c r="J23" s="170"/>
    </row>
    <row r="24" spans="1:10" x14ac:dyDescent="0.45">
      <c r="A24" s="185"/>
      <c r="B24" s="84"/>
      <c r="C24" s="172" t="s">
        <v>56</v>
      </c>
      <c r="D24" s="189" t="s">
        <v>57</v>
      </c>
      <c r="E24" s="189" t="s">
        <v>59</v>
      </c>
      <c r="F24" s="189" t="s">
        <v>60</v>
      </c>
      <c r="G24" s="84"/>
      <c r="H24" s="170"/>
      <c r="I24" s="170"/>
      <c r="J24" s="170"/>
    </row>
    <row r="25" spans="1:10" x14ac:dyDescent="0.45">
      <c r="A25" s="185" t="s">
        <v>53</v>
      </c>
      <c r="B25" s="187">
        <f>B18</f>
        <v>2000</v>
      </c>
      <c r="C25" s="191">
        <f>C21</f>
        <v>7045</v>
      </c>
      <c r="D25" s="24">
        <f>E21</f>
        <v>11528000</v>
      </c>
      <c r="E25" s="33">
        <f>Rates!D11</f>
        <v>20.12</v>
      </c>
      <c r="F25" s="33">
        <f>C25*E25</f>
        <v>141745.4</v>
      </c>
      <c r="G25" s="84"/>
      <c r="H25" s="170"/>
      <c r="I25" s="170"/>
      <c r="J25" s="170"/>
    </row>
    <row r="26" spans="1:10" x14ac:dyDescent="0.45">
      <c r="A26" s="185" t="s">
        <v>151</v>
      </c>
      <c r="B26" s="187">
        <f>B19</f>
        <v>98000</v>
      </c>
      <c r="C26" s="191"/>
      <c r="D26" s="24">
        <f>F21</f>
        <v>33876420</v>
      </c>
      <c r="E26" s="266">
        <f>Rates!D12</f>
        <v>6.8700000000000002E-3</v>
      </c>
      <c r="F26" s="33">
        <f>D26*E26</f>
        <v>232731.00539999999</v>
      </c>
      <c r="G26" s="84"/>
      <c r="H26" s="170"/>
      <c r="I26" s="170"/>
      <c r="J26" s="170"/>
    </row>
    <row r="27" spans="1:10" x14ac:dyDescent="0.45">
      <c r="A27" s="185" t="s">
        <v>54</v>
      </c>
      <c r="B27" s="187">
        <f>B20</f>
        <v>100000</v>
      </c>
      <c r="C27" s="164"/>
      <c r="D27" s="35">
        <f>G21</f>
        <v>10380320</v>
      </c>
      <c r="E27" s="277">
        <f>Rates!D13</f>
        <v>5.9699999999999996E-3</v>
      </c>
      <c r="F27" s="165">
        <f t="shared" ref="F27" si="1">D27*E27</f>
        <v>61970.510399999999</v>
      </c>
      <c r="G27" s="84"/>
      <c r="H27" s="170"/>
      <c r="I27" s="170"/>
      <c r="J27" s="170"/>
    </row>
    <row r="28" spans="1:10" x14ac:dyDescent="0.45">
      <c r="A28" s="185"/>
      <c r="B28" s="190" t="s">
        <v>58</v>
      </c>
      <c r="C28" s="24">
        <f>SUM(C25:C27)</f>
        <v>7045</v>
      </c>
      <c r="D28" s="24">
        <f>SUM(D25:D27)</f>
        <v>55784740</v>
      </c>
      <c r="E28" s="24"/>
      <c r="F28" s="192">
        <f>SUM(F25:F27)</f>
        <v>436446.91579999996</v>
      </c>
      <c r="G28" s="84"/>
      <c r="H28" s="170"/>
      <c r="I28" s="170"/>
      <c r="J28" s="170"/>
    </row>
    <row r="29" spans="1:10" x14ac:dyDescent="0.45">
      <c r="A29" s="84"/>
      <c r="B29" s="84"/>
      <c r="C29" s="84"/>
      <c r="D29" s="84"/>
      <c r="E29" s="84"/>
      <c r="F29" s="84"/>
      <c r="G29" s="84"/>
      <c r="H29" s="170"/>
      <c r="I29" s="170"/>
      <c r="J29" s="170"/>
    </row>
    <row r="30" spans="1:10" x14ac:dyDescent="0.45">
      <c r="A30" s="188" t="s">
        <v>291</v>
      </c>
      <c r="B30" s="188"/>
      <c r="C30" s="84"/>
      <c r="D30" s="187"/>
      <c r="E30" s="187"/>
      <c r="F30" s="187"/>
      <c r="G30" s="187"/>
      <c r="H30" s="170"/>
      <c r="I30" s="170"/>
      <c r="J30" s="170"/>
    </row>
    <row r="31" spans="1:10" x14ac:dyDescent="0.45">
      <c r="A31" s="185"/>
      <c r="B31" s="84"/>
      <c r="C31" s="172"/>
      <c r="D31" s="189" t="s">
        <v>57</v>
      </c>
      <c r="E31" s="189" t="s">
        <v>59</v>
      </c>
      <c r="F31" s="189" t="s">
        <v>60</v>
      </c>
      <c r="G31" s="84"/>
      <c r="H31" s="170"/>
      <c r="I31" s="170"/>
      <c r="J31" s="170"/>
    </row>
    <row r="32" spans="1:10" x14ac:dyDescent="0.45">
      <c r="A32" s="185"/>
      <c r="B32" s="187"/>
      <c r="C32" s="191"/>
      <c r="D32" s="317">
        <v>145000</v>
      </c>
      <c r="E32" s="266">
        <f>Rates!D18</f>
        <v>6.4999999999999997E-3</v>
      </c>
      <c r="F32" s="33">
        <f>D32*E32</f>
        <v>942.5</v>
      </c>
      <c r="G32" s="84"/>
      <c r="H32" s="170"/>
      <c r="I32" s="170"/>
      <c r="J32" s="170"/>
    </row>
    <row r="33" spans="1:7" s="170" customFormat="1" x14ac:dyDescent="0.45">
      <c r="A33" s="185"/>
      <c r="B33" s="187"/>
      <c r="C33" s="191"/>
      <c r="D33" s="24"/>
      <c r="E33" s="266"/>
      <c r="F33" s="33"/>
      <c r="G33" s="84"/>
    </row>
    <row r="34" spans="1:7" s="170" customFormat="1" x14ac:dyDescent="0.45">
      <c r="A34" s="185"/>
      <c r="B34" s="187"/>
      <c r="C34" s="313"/>
      <c r="D34" s="174"/>
      <c r="E34" s="266"/>
      <c r="F34" s="33"/>
      <c r="G34" s="84"/>
    </row>
    <row r="35" spans="1:7" s="170" customFormat="1" x14ac:dyDescent="0.45">
      <c r="A35" s="185"/>
      <c r="B35" s="190"/>
      <c r="C35" s="24"/>
      <c r="D35" s="24"/>
      <c r="E35" s="24"/>
      <c r="F35" s="192"/>
      <c r="G35" s="84"/>
    </row>
  </sheetData>
  <mergeCells count="3">
    <mergeCell ref="A1:G1"/>
    <mergeCell ref="A2:G2"/>
    <mergeCell ref="C4:F4"/>
  </mergeCells>
  <pageMargins left="0.7" right="0.7" top="0.75" bottom="0.75" header="0.3" footer="0.3"/>
  <pageSetup scale="83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0A63-85C1-4112-A56F-95AD21BF73A8}">
  <sheetPr>
    <pageSetUpPr fitToPage="1"/>
  </sheetPr>
  <dimension ref="A1:N42"/>
  <sheetViews>
    <sheetView workbookViewId="0">
      <selection sqref="A1:H32"/>
    </sheetView>
  </sheetViews>
  <sheetFormatPr defaultRowHeight="15" x14ac:dyDescent="0.4"/>
  <cols>
    <col min="1" max="1" width="7.77734375" style="162" customWidth="1"/>
    <col min="2" max="2" width="8.21875" style="162" customWidth="1"/>
    <col min="3" max="8" width="12.609375" style="162" customWidth="1"/>
    <col min="9" max="12" width="10.5" style="162" customWidth="1"/>
    <col min="13" max="13" width="13.109375" style="162" customWidth="1"/>
    <col min="14" max="16384" width="8.88671875" style="162"/>
  </cols>
  <sheetData>
    <row r="1" spans="1:14" ht="21" x14ac:dyDescent="0.65">
      <c r="A1" s="352" t="s">
        <v>154</v>
      </c>
      <c r="B1" s="352"/>
      <c r="C1" s="352"/>
      <c r="D1" s="352"/>
      <c r="E1" s="352"/>
      <c r="F1" s="352"/>
      <c r="G1" s="352"/>
    </row>
    <row r="2" spans="1:14" ht="18" x14ac:dyDescent="0.4">
      <c r="A2" s="353" t="s">
        <v>251</v>
      </c>
      <c r="B2" s="353"/>
      <c r="C2" s="353"/>
      <c r="D2" s="353"/>
      <c r="E2" s="353"/>
      <c r="F2" s="353"/>
      <c r="G2" s="353"/>
    </row>
    <row r="3" spans="1:14" x14ac:dyDescent="0.45">
      <c r="A3" s="25"/>
      <c r="B3" s="26"/>
      <c r="C3" s="26"/>
      <c r="D3" s="26"/>
      <c r="E3" s="26"/>
      <c r="F3" s="26"/>
      <c r="G3" s="26"/>
    </row>
    <row r="4" spans="1:14" ht="15.75" x14ac:dyDescent="0.45">
      <c r="A4" s="84"/>
      <c r="B4" s="170"/>
      <c r="C4" s="354" t="s">
        <v>52</v>
      </c>
      <c r="D4" s="354"/>
      <c r="E4" s="354"/>
      <c r="F4" s="354"/>
      <c r="G4" s="84"/>
      <c r="H4" s="170"/>
      <c r="I4" s="170"/>
      <c r="J4" s="170"/>
    </row>
    <row r="5" spans="1:14" x14ac:dyDescent="0.45">
      <c r="A5" s="84"/>
      <c r="B5" s="84"/>
      <c r="C5" s="171" t="s">
        <v>179</v>
      </c>
      <c r="D5" s="171"/>
      <c r="E5" s="172" t="s">
        <v>56</v>
      </c>
      <c r="F5" s="172" t="s">
        <v>57</v>
      </c>
      <c r="G5" s="166" t="s">
        <v>60</v>
      </c>
      <c r="H5" s="166"/>
      <c r="I5" s="167"/>
      <c r="J5" s="170"/>
      <c r="K5" s="170"/>
    </row>
    <row r="6" spans="1:14" x14ac:dyDescent="0.45">
      <c r="A6" s="84"/>
      <c r="B6" s="84"/>
      <c r="C6" s="173" t="s">
        <v>252</v>
      </c>
      <c r="D6" s="173"/>
      <c r="E6" s="174">
        <f>C21</f>
        <v>7045</v>
      </c>
      <c r="F6" s="175">
        <f>H21</f>
        <v>55784740</v>
      </c>
      <c r="G6" s="176">
        <f>F28</f>
        <v>436446.91579999996</v>
      </c>
      <c r="H6" s="177"/>
      <c r="I6" s="178"/>
      <c r="J6" s="179"/>
      <c r="K6" s="170"/>
      <c r="L6" s="163"/>
      <c r="M6" s="163"/>
      <c r="N6" s="163"/>
    </row>
    <row r="7" spans="1:14" x14ac:dyDescent="0.45">
      <c r="A7" s="84"/>
      <c r="B7" s="84"/>
      <c r="C7" s="173" t="s">
        <v>292</v>
      </c>
      <c r="D7" s="173"/>
      <c r="E7" s="174"/>
      <c r="F7" s="315">
        <f>D32</f>
        <v>145000</v>
      </c>
      <c r="G7" s="314">
        <f>F32</f>
        <v>942.5</v>
      </c>
      <c r="H7" s="177"/>
      <c r="I7" s="178"/>
      <c r="J7" s="179"/>
      <c r="K7" s="170"/>
      <c r="L7" s="163"/>
      <c r="M7" s="163"/>
      <c r="N7" s="163"/>
    </row>
    <row r="8" spans="1:14" x14ac:dyDescent="0.45">
      <c r="A8" s="84"/>
      <c r="B8" s="84"/>
      <c r="C8" s="173" t="s">
        <v>293</v>
      </c>
      <c r="D8" s="173"/>
      <c r="E8" s="174"/>
      <c r="F8" s="175">
        <f>F6+F7</f>
        <v>55929740</v>
      </c>
      <c r="G8" s="176">
        <f>G6+G7</f>
        <v>437389.41579999996</v>
      </c>
      <c r="H8" s="177"/>
      <c r="I8" s="178"/>
      <c r="J8" s="179"/>
      <c r="K8" s="170"/>
      <c r="L8" s="163"/>
      <c r="M8" s="163"/>
      <c r="N8" s="163"/>
    </row>
    <row r="9" spans="1:14" ht="15.75" customHeight="1" x14ac:dyDescent="0.45">
      <c r="A9" s="84"/>
      <c r="B9" s="84"/>
      <c r="C9" s="180" t="s">
        <v>180</v>
      </c>
      <c r="D9" s="180"/>
      <c r="E9" s="175"/>
      <c r="F9" s="175"/>
      <c r="G9" s="249">
        <v>0</v>
      </c>
      <c r="H9" s="84"/>
      <c r="I9" s="170"/>
      <c r="J9" s="170"/>
      <c r="K9" s="170"/>
      <c r="L9" s="163"/>
      <c r="M9" s="163"/>
      <c r="N9" s="163"/>
    </row>
    <row r="10" spans="1:14" x14ac:dyDescent="0.45">
      <c r="A10" s="84"/>
      <c r="B10" s="84"/>
      <c r="C10" s="182" t="s">
        <v>253</v>
      </c>
      <c r="D10" s="182"/>
      <c r="E10" s="175"/>
      <c r="F10" s="175"/>
      <c r="G10" s="181">
        <f>G8+G9</f>
        <v>437389.41579999996</v>
      </c>
      <c r="H10" s="84"/>
      <c r="I10" s="170"/>
      <c r="J10" s="170"/>
      <c r="K10" s="170"/>
    </row>
    <row r="11" spans="1:14" x14ac:dyDescent="0.45">
      <c r="A11" s="84"/>
      <c r="B11" s="84"/>
      <c r="C11" s="182" t="s">
        <v>257</v>
      </c>
      <c r="D11" s="182"/>
      <c r="E11" s="175"/>
      <c r="F11" s="175"/>
      <c r="G11" s="278">
        <f>SAO!G52</f>
        <v>432126.17467686022</v>
      </c>
      <c r="H11" s="84"/>
      <c r="I11" s="170"/>
      <c r="J11" s="170"/>
      <c r="K11" s="170"/>
    </row>
    <row r="12" spans="1:14" x14ac:dyDescent="0.45">
      <c r="A12" s="84"/>
      <c r="B12" s="84"/>
      <c r="C12" s="182" t="s">
        <v>182</v>
      </c>
      <c r="D12" s="182"/>
      <c r="E12" s="175"/>
      <c r="F12" s="175"/>
      <c r="G12" s="181">
        <f>G10-G11</f>
        <v>5263.2411231397418</v>
      </c>
      <c r="H12" s="84"/>
      <c r="I12" s="170"/>
      <c r="J12" s="170"/>
      <c r="K12" s="170"/>
    </row>
    <row r="13" spans="1:14" x14ac:dyDescent="0.45">
      <c r="A13" s="84"/>
      <c r="B13" s="84"/>
      <c r="C13" s="182"/>
      <c r="D13" s="175"/>
      <c r="E13" s="175"/>
      <c r="F13" s="181"/>
      <c r="G13" s="84"/>
      <c r="H13" s="170"/>
      <c r="I13" s="170"/>
      <c r="J13" s="170"/>
    </row>
    <row r="14" spans="1:14" x14ac:dyDescent="0.45">
      <c r="A14" s="84"/>
      <c r="B14" s="84"/>
      <c r="C14" s="183"/>
      <c r="D14" s="176"/>
      <c r="E14" s="84"/>
      <c r="F14" s="84"/>
      <c r="G14" s="84"/>
      <c r="H14" s="170"/>
      <c r="I14" s="170"/>
      <c r="J14" s="170"/>
    </row>
    <row r="15" spans="1:14" x14ac:dyDescent="0.45">
      <c r="A15" s="316" t="s">
        <v>290</v>
      </c>
      <c r="B15" s="84"/>
      <c r="C15" s="84"/>
      <c r="D15" s="84"/>
      <c r="E15" s="84"/>
      <c r="F15" s="84"/>
      <c r="G15" s="84"/>
      <c r="H15" s="170"/>
      <c r="I15" s="170"/>
      <c r="J15" s="170"/>
    </row>
    <row r="16" spans="1:14" x14ac:dyDescent="0.45">
      <c r="A16" s="84"/>
      <c r="B16" s="84"/>
      <c r="C16" s="84"/>
      <c r="D16" s="166"/>
      <c r="E16" s="166" t="s">
        <v>53</v>
      </c>
      <c r="F16" s="166" t="s">
        <v>151</v>
      </c>
      <c r="G16" s="166" t="s">
        <v>54</v>
      </c>
      <c r="H16" s="84"/>
      <c r="I16" s="170"/>
    </row>
    <row r="17" spans="1:10" x14ac:dyDescent="0.45">
      <c r="A17" s="84"/>
      <c r="B17" s="166" t="s">
        <v>55</v>
      </c>
      <c r="C17" s="172" t="s">
        <v>56</v>
      </c>
      <c r="D17" s="184" t="s">
        <v>57</v>
      </c>
      <c r="E17" s="172">
        <f>B18</f>
        <v>2000</v>
      </c>
      <c r="F17" s="172">
        <f>B19</f>
        <v>98000</v>
      </c>
      <c r="G17" s="172">
        <f>B20</f>
        <v>100000</v>
      </c>
      <c r="H17" s="166" t="s">
        <v>58</v>
      </c>
      <c r="I17" s="170"/>
    </row>
    <row r="18" spans="1:10" x14ac:dyDescent="0.45">
      <c r="A18" s="185" t="s">
        <v>53</v>
      </c>
      <c r="B18" s="186">
        <v>2000</v>
      </c>
      <c r="C18" s="24">
        <f>ExBA!C18</f>
        <v>2181</v>
      </c>
      <c r="D18" s="24">
        <f>ExBA!D18</f>
        <v>1800000</v>
      </c>
      <c r="E18" s="274">
        <f>ExBA!E18</f>
        <v>1800000</v>
      </c>
      <c r="F18" s="274">
        <f>ExBA!F18</f>
        <v>0</v>
      </c>
      <c r="G18" s="274">
        <f>ExBA!G18</f>
        <v>0</v>
      </c>
      <c r="H18" s="274">
        <f>SUM(E18:G18)</f>
        <v>1800000</v>
      </c>
      <c r="I18" s="170"/>
    </row>
    <row r="19" spans="1:10" x14ac:dyDescent="0.45">
      <c r="A19" s="185" t="s">
        <v>151</v>
      </c>
      <c r="B19" s="187">
        <v>98000</v>
      </c>
      <c r="C19" s="24">
        <f>ExBA!C19</f>
        <v>4751</v>
      </c>
      <c r="D19" s="24">
        <f>ExBA!D19</f>
        <v>32304420</v>
      </c>
      <c r="E19" s="274">
        <f>ExBA!E19</f>
        <v>9502000</v>
      </c>
      <c r="F19" s="274">
        <f>ExBA!F19</f>
        <v>22802420</v>
      </c>
      <c r="G19" s="274">
        <f>ExBA!G19</f>
        <v>0</v>
      </c>
      <c r="H19" s="274">
        <f>SUM(E19:G19)</f>
        <v>32304420</v>
      </c>
      <c r="I19" s="170"/>
    </row>
    <row r="20" spans="1:10" x14ac:dyDescent="0.45">
      <c r="A20" s="185" t="s">
        <v>54</v>
      </c>
      <c r="B20" s="187">
        <v>100000</v>
      </c>
      <c r="C20" s="24">
        <f>ExBA!C20</f>
        <v>113</v>
      </c>
      <c r="D20" s="24">
        <f>ExBA!D20</f>
        <v>21680320</v>
      </c>
      <c r="E20" s="279">
        <f>ExBA!E20</f>
        <v>226000</v>
      </c>
      <c r="F20" s="279">
        <f>ExBA!F20</f>
        <v>11074000</v>
      </c>
      <c r="G20" s="279">
        <f>ExBA!G20</f>
        <v>10380320</v>
      </c>
      <c r="H20" s="279">
        <f>SUM(E20:G20)</f>
        <v>21680320</v>
      </c>
      <c r="I20" s="170"/>
    </row>
    <row r="21" spans="1:10" x14ac:dyDescent="0.45">
      <c r="A21" s="185"/>
      <c r="B21" s="187"/>
      <c r="C21" s="24">
        <f t="shared" ref="C21:H21" si="0">SUM(C18:C20)</f>
        <v>7045</v>
      </c>
      <c r="D21" s="24">
        <f t="shared" si="0"/>
        <v>55784740</v>
      </c>
      <c r="E21" s="274">
        <f t="shared" si="0"/>
        <v>11528000</v>
      </c>
      <c r="F21" s="274">
        <f t="shared" si="0"/>
        <v>33876420</v>
      </c>
      <c r="G21" s="274">
        <f t="shared" si="0"/>
        <v>10380320</v>
      </c>
      <c r="H21" s="274">
        <f t="shared" si="0"/>
        <v>55784740</v>
      </c>
      <c r="I21" s="170"/>
    </row>
    <row r="22" spans="1:10" x14ac:dyDescent="0.45">
      <c r="A22" s="185"/>
      <c r="B22" s="187"/>
      <c r="C22" s="84"/>
      <c r="D22" s="187"/>
      <c r="E22" s="187"/>
      <c r="F22" s="187"/>
      <c r="G22" s="170"/>
      <c r="H22" s="170"/>
      <c r="I22" s="170"/>
    </row>
    <row r="23" spans="1:10" x14ac:dyDescent="0.45">
      <c r="A23" s="188" t="s">
        <v>152</v>
      </c>
      <c r="B23" s="188"/>
      <c r="C23" s="84"/>
      <c r="D23" s="187"/>
      <c r="E23" s="187"/>
      <c r="F23" s="187"/>
      <c r="G23" s="187"/>
      <c r="H23" s="170"/>
      <c r="I23" s="170"/>
      <c r="J23" s="170"/>
    </row>
    <row r="24" spans="1:10" ht="28.5" x14ac:dyDescent="0.45">
      <c r="A24" s="185"/>
      <c r="B24" s="84"/>
      <c r="C24" s="172" t="s">
        <v>56</v>
      </c>
      <c r="D24" s="189" t="s">
        <v>153</v>
      </c>
      <c r="E24" s="189" t="s">
        <v>59</v>
      </c>
      <c r="F24" s="189" t="s">
        <v>60</v>
      </c>
      <c r="G24" s="84"/>
      <c r="H24" s="170"/>
      <c r="I24" s="170"/>
      <c r="J24" s="170"/>
    </row>
    <row r="25" spans="1:10" x14ac:dyDescent="0.45">
      <c r="A25" s="185" t="s">
        <v>53</v>
      </c>
      <c r="B25" s="187">
        <f>B18</f>
        <v>2000</v>
      </c>
      <c r="C25" s="24">
        <f>ExBA!C25</f>
        <v>7045</v>
      </c>
      <c r="D25" s="24">
        <f>ExBA!D25</f>
        <v>11528000</v>
      </c>
      <c r="E25" s="56">
        <f>Rates!E11</f>
        <v>20.12</v>
      </c>
      <c r="F25" s="274">
        <f>C25*E25</f>
        <v>141745.4</v>
      </c>
      <c r="G25" s="84"/>
      <c r="H25" s="170"/>
      <c r="I25" s="170"/>
      <c r="J25" s="170"/>
    </row>
    <row r="26" spans="1:10" x14ac:dyDescent="0.45">
      <c r="A26" s="185" t="s">
        <v>151</v>
      </c>
      <c r="B26" s="187">
        <f>B19</f>
        <v>98000</v>
      </c>
      <c r="C26" s="24">
        <f>ExBA!C26</f>
        <v>0</v>
      </c>
      <c r="D26" s="24">
        <f>ExBA!D26</f>
        <v>33876420</v>
      </c>
      <c r="E26" s="275">
        <f>Rates!E12</f>
        <v>6.8700000000000002E-3</v>
      </c>
      <c r="F26" s="274">
        <f>D26*E26</f>
        <v>232731.00539999999</v>
      </c>
      <c r="G26" s="84"/>
      <c r="H26" s="170"/>
      <c r="I26" s="170"/>
      <c r="J26" s="170"/>
    </row>
    <row r="27" spans="1:10" x14ac:dyDescent="0.45">
      <c r="A27" s="185" t="s">
        <v>54</v>
      </c>
      <c r="B27" s="187">
        <f>B20</f>
        <v>100000</v>
      </c>
      <c r="C27" s="24">
        <f>ExBA!C27</f>
        <v>0</v>
      </c>
      <c r="D27" s="23">
        <f>ExBA!D27</f>
        <v>10380320</v>
      </c>
      <c r="E27" s="275">
        <f>Rates!E13</f>
        <v>5.9699999999999996E-3</v>
      </c>
      <c r="F27" s="279">
        <f>D27*E27</f>
        <v>61970.510399999999</v>
      </c>
      <c r="G27" s="84"/>
      <c r="H27" s="170"/>
      <c r="I27" s="170"/>
      <c r="J27" s="170"/>
    </row>
    <row r="28" spans="1:10" x14ac:dyDescent="0.45">
      <c r="A28" s="185"/>
      <c r="B28" s="190" t="s">
        <v>58</v>
      </c>
      <c r="C28" s="24">
        <f>SUM(C25:C27)</f>
        <v>7045</v>
      </c>
      <c r="D28" s="24">
        <f>SUM(D25:D27)</f>
        <v>55784740</v>
      </c>
      <c r="E28" s="24"/>
      <c r="F28" s="280">
        <f>SUM(F25:F27)</f>
        <v>436446.91579999996</v>
      </c>
      <c r="G28" s="84"/>
      <c r="H28" s="170"/>
      <c r="I28" s="170"/>
      <c r="J28" s="170"/>
    </row>
    <row r="29" spans="1:10" x14ac:dyDescent="0.45">
      <c r="A29" s="84"/>
      <c r="B29" s="84"/>
      <c r="C29" s="84"/>
      <c r="D29" s="84"/>
      <c r="E29" s="84"/>
      <c r="F29" s="84"/>
      <c r="G29" s="84"/>
      <c r="H29" s="170"/>
      <c r="I29" s="170"/>
      <c r="J29" s="170"/>
    </row>
    <row r="30" spans="1:10" x14ac:dyDescent="0.45">
      <c r="A30" s="188" t="s">
        <v>291</v>
      </c>
      <c r="B30" s="188"/>
      <c r="C30" s="84"/>
      <c r="D30" s="187"/>
      <c r="E30" s="187"/>
      <c r="F30" s="187"/>
      <c r="G30" s="170"/>
      <c r="H30" s="170"/>
      <c r="I30" s="170"/>
      <c r="J30" s="170"/>
    </row>
    <row r="31" spans="1:10" x14ac:dyDescent="0.45">
      <c r="A31" s="185"/>
      <c r="B31" s="84"/>
      <c r="C31" s="172"/>
      <c r="D31" s="189" t="s">
        <v>57</v>
      </c>
      <c r="E31" s="189" t="s">
        <v>59</v>
      </c>
      <c r="F31" s="189" t="s">
        <v>60</v>
      </c>
      <c r="G31" s="170"/>
      <c r="H31" s="170"/>
      <c r="I31" s="170"/>
      <c r="J31" s="170"/>
    </row>
    <row r="32" spans="1:10" x14ac:dyDescent="0.45">
      <c r="A32" s="185"/>
      <c r="B32" s="187"/>
      <c r="C32" s="191"/>
      <c r="D32" s="317">
        <f>ExBA!D32</f>
        <v>145000</v>
      </c>
      <c r="E32" s="266">
        <f>Rates!E18</f>
        <v>6.4999999999999997E-3</v>
      </c>
      <c r="F32" s="33">
        <f>D32*E32</f>
        <v>942.5</v>
      </c>
      <c r="G32" s="170"/>
      <c r="H32" s="170"/>
      <c r="I32" s="170"/>
      <c r="J32" s="170"/>
    </row>
    <row r="33" spans="1:10" x14ac:dyDescent="0.4">
      <c r="A33" s="170"/>
      <c r="B33" s="170"/>
      <c r="C33" s="170"/>
      <c r="D33" s="170"/>
      <c r="E33" s="170"/>
      <c r="F33" s="170"/>
      <c r="H33" s="170"/>
      <c r="I33" s="170"/>
      <c r="J33" s="170"/>
    </row>
    <row r="34" spans="1:10" x14ac:dyDescent="0.4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x14ac:dyDescent="0.4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x14ac:dyDescent="0.4">
      <c r="A36" s="170"/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x14ac:dyDescent="0.4">
      <c r="A37" s="170"/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x14ac:dyDescent="0.4">
      <c r="A38" s="170"/>
      <c r="B38" s="170"/>
      <c r="C38" s="170"/>
      <c r="D38" s="170"/>
      <c r="E38" s="170"/>
      <c r="F38" s="170"/>
      <c r="G38" s="170"/>
      <c r="H38" s="170"/>
      <c r="I38" s="170"/>
      <c r="J38" s="170"/>
    </row>
    <row r="39" spans="1:10" x14ac:dyDescent="0.4">
      <c r="A39" s="170"/>
      <c r="B39" s="170"/>
      <c r="C39" s="170"/>
      <c r="D39" s="170"/>
      <c r="E39" s="170"/>
      <c r="F39" s="170"/>
      <c r="G39" s="170"/>
      <c r="H39" s="170"/>
      <c r="I39" s="170"/>
      <c r="J39" s="170"/>
    </row>
    <row r="40" spans="1:10" x14ac:dyDescent="0.4">
      <c r="A40" s="170"/>
      <c r="B40" s="170"/>
      <c r="C40" s="170"/>
      <c r="D40" s="170"/>
      <c r="E40" s="170"/>
      <c r="F40" s="170"/>
      <c r="G40" s="170"/>
      <c r="H40" s="170"/>
      <c r="I40" s="170"/>
      <c r="J40" s="170"/>
    </row>
    <row r="41" spans="1:10" x14ac:dyDescent="0.4">
      <c r="A41" s="170"/>
      <c r="B41" s="170"/>
      <c r="C41" s="170"/>
      <c r="D41" s="170"/>
      <c r="E41" s="170"/>
      <c r="F41" s="170"/>
      <c r="G41" s="170"/>
      <c r="H41" s="170"/>
      <c r="I41" s="170"/>
      <c r="J41" s="170"/>
    </row>
    <row r="42" spans="1:10" x14ac:dyDescent="0.4">
      <c r="A42" s="170"/>
      <c r="B42" s="170"/>
      <c r="C42" s="170"/>
      <c r="D42" s="170"/>
      <c r="E42" s="170"/>
      <c r="F42" s="170"/>
      <c r="G42" s="170"/>
      <c r="H42" s="170"/>
      <c r="I42" s="170"/>
      <c r="J42" s="170"/>
    </row>
  </sheetData>
  <mergeCells count="3">
    <mergeCell ref="A1:G1"/>
    <mergeCell ref="A2:G2"/>
    <mergeCell ref="C4:F4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H34"/>
  <sheetViews>
    <sheetView topLeftCell="A10" workbookViewId="0">
      <selection activeCell="H33" sqref="H33"/>
    </sheetView>
  </sheetViews>
  <sheetFormatPr defaultRowHeight="14.25" x14ac:dyDescent="0.45"/>
  <cols>
    <col min="1" max="1" width="20.609375" style="1" customWidth="1"/>
    <col min="2" max="7" width="12.609375" style="15" customWidth="1"/>
    <col min="8" max="8" width="8.88671875" style="22"/>
    <col min="9" max="16384" width="8.88671875" style="1"/>
  </cols>
  <sheetData>
    <row r="1" spans="1:8" x14ac:dyDescent="0.45">
      <c r="A1" s="1" t="s">
        <v>85</v>
      </c>
    </row>
    <row r="2" spans="1:8" x14ac:dyDescent="0.45">
      <c r="B2" s="168"/>
      <c r="C2" s="168"/>
      <c r="D2" s="168"/>
      <c r="E2" s="168"/>
      <c r="F2" s="168"/>
      <c r="G2" s="168" t="s">
        <v>13</v>
      </c>
    </row>
    <row r="3" spans="1:8" x14ac:dyDescent="0.45">
      <c r="B3" s="168" t="s">
        <v>86</v>
      </c>
      <c r="C3" s="168" t="s">
        <v>86</v>
      </c>
      <c r="D3" s="168" t="s">
        <v>87</v>
      </c>
      <c r="E3" s="168" t="s">
        <v>86</v>
      </c>
      <c r="F3" s="168" t="s">
        <v>86</v>
      </c>
      <c r="G3" s="168" t="s">
        <v>86</v>
      </c>
      <c r="H3" s="22" t="s">
        <v>220</v>
      </c>
    </row>
    <row r="4" spans="1:8" x14ac:dyDescent="0.45">
      <c r="A4" s="1" t="s">
        <v>88</v>
      </c>
      <c r="B4" s="168" t="s">
        <v>89</v>
      </c>
      <c r="C4" s="168" t="s">
        <v>90</v>
      </c>
      <c r="D4" s="168" t="s">
        <v>91</v>
      </c>
      <c r="E4" s="168" t="s">
        <v>92</v>
      </c>
      <c r="F4" s="168" t="s">
        <v>93</v>
      </c>
      <c r="G4" s="168" t="s">
        <v>94</v>
      </c>
      <c r="H4" s="22" t="s">
        <v>221</v>
      </c>
    </row>
    <row r="5" spans="1:8" x14ac:dyDescent="0.45">
      <c r="A5" s="1" t="s">
        <v>238</v>
      </c>
      <c r="B5" s="15">
        <v>2080</v>
      </c>
      <c r="C5" s="15">
        <v>0</v>
      </c>
      <c r="D5" s="15">
        <v>17.489999999999998</v>
      </c>
      <c r="E5" s="15">
        <f>B5*D5</f>
        <v>36379.199999999997</v>
      </c>
      <c r="F5" s="15">
        <f>C5*D5*1.5</f>
        <v>0</v>
      </c>
      <c r="G5" s="15">
        <f>E5+F5</f>
        <v>36379.199999999997</v>
      </c>
      <c r="H5" s="22" t="s">
        <v>240</v>
      </c>
    </row>
    <row r="6" spans="1:8" x14ac:dyDescent="0.45">
      <c r="A6" s="1" t="s">
        <v>239</v>
      </c>
      <c r="B6" s="15">
        <v>2080</v>
      </c>
      <c r="C6" s="15">
        <v>0</v>
      </c>
      <c r="D6" s="15">
        <v>17.489999999999998</v>
      </c>
      <c r="E6" s="15">
        <f t="shared" ref="E6" si="0">B6*D6</f>
        <v>36379.199999999997</v>
      </c>
      <c r="F6" s="15">
        <f t="shared" ref="F6" si="1">C6*D6*1.5</f>
        <v>0</v>
      </c>
      <c r="G6" s="15">
        <f t="shared" ref="G6" si="2">E6+F6</f>
        <v>36379.199999999997</v>
      </c>
      <c r="H6" s="22" t="s">
        <v>240</v>
      </c>
    </row>
    <row r="7" spans="1:8" x14ac:dyDescent="0.45">
      <c r="B7" s="15">
        <f>SUM(B5:B6)</f>
        <v>4160</v>
      </c>
      <c r="C7" s="15">
        <f>SUM(C5:C6)</f>
        <v>0</v>
      </c>
      <c r="E7" s="15">
        <f>SUM(E5:E6)</f>
        <v>72758.399999999994</v>
      </c>
      <c r="F7" s="15">
        <f>SUM(F5:F6)</f>
        <v>0</v>
      </c>
      <c r="G7" s="15">
        <f>SUM(G5:G6)</f>
        <v>72758.399999999994</v>
      </c>
    </row>
    <row r="9" spans="1:8" x14ac:dyDescent="0.45">
      <c r="A9" s="1" t="s">
        <v>175</v>
      </c>
      <c r="G9" s="15">
        <f>G7</f>
        <v>72758.399999999994</v>
      </c>
    </row>
    <row r="11" spans="1:8" x14ac:dyDescent="0.45">
      <c r="A11" s="1" t="s">
        <v>176</v>
      </c>
      <c r="G11" s="15">
        <v>0</v>
      </c>
    </row>
    <row r="13" spans="1:8" x14ac:dyDescent="0.45">
      <c r="G13" s="168" t="s">
        <v>33</v>
      </c>
    </row>
    <row r="14" spans="1:8" x14ac:dyDescent="0.45">
      <c r="D14" s="15" t="s">
        <v>95</v>
      </c>
      <c r="G14" s="7">
        <f>G9</f>
        <v>72758.399999999994</v>
      </c>
    </row>
    <row r="15" spans="1:8" x14ac:dyDescent="0.45">
      <c r="D15" s="15" t="s">
        <v>244</v>
      </c>
      <c r="G15" s="5">
        <f>-B34</f>
        <v>-72706.609999999986</v>
      </c>
    </row>
    <row r="16" spans="1:8" x14ac:dyDescent="0.45">
      <c r="D16" s="15" t="s">
        <v>96</v>
      </c>
      <c r="G16" s="7">
        <f>G14+G15</f>
        <v>51.790000000008149</v>
      </c>
      <c r="H16" s="21" t="s">
        <v>178</v>
      </c>
    </row>
    <row r="17" spans="1:7" x14ac:dyDescent="0.45">
      <c r="G17" s="15" t="s">
        <v>97</v>
      </c>
    </row>
    <row r="18" spans="1:7" x14ac:dyDescent="0.45">
      <c r="D18" s="15" t="s">
        <v>98</v>
      </c>
      <c r="G18" s="7">
        <f>G9</f>
        <v>72758.399999999994</v>
      </c>
    </row>
    <row r="19" spans="1:7" x14ac:dyDescent="0.45">
      <c r="D19" s="15" t="s">
        <v>99</v>
      </c>
      <c r="G19" s="169">
        <v>7.6499999999999999E-2</v>
      </c>
    </row>
    <row r="20" spans="1:7" x14ac:dyDescent="0.45">
      <c r="D20" s="15" t="s">
        <v>100</v>
      </c>
      <c r="G20" s="7">
        <f>G18*G19</f>
        <v>5566.0175999999992</v>
      </c>
    </row>
    <row r="21" spans="1:7" x14ac:dyDescent="0.45">
      <c r="D21" s="15" t="s">
        <v>245</v>
      </c>
      <c r="G21" s="5">
        <f>B32</f>
        <v>-5566.08</v>
      </c>
    </row>
    <row r="22" spans="1:7" x14ac:dyDescent="0.45">
      <c r="D22" s="15" t="s">
        <v>101</v>
      </c>
      <c r="G22" s="7">
        <f>G20+G21</f>
        <v>-6.2400000000707223E-2</v>
      </c>
    </row>
    <row r="24" spans="1:7" x14ac:dyDescent="0.45">
      <c r="D24" s="15" t="s">
        <v>102</v>
      </c>
      <c r="G24" s="15">
        <f>G11</f>
        <v>0</v>
      </c>
    </row>
    <row r="25" spans="1:7" x14ac:dyDescent="0.45">
      <c r="D25" s="15" t="s">
        <v>103</v>
      </c>
      <c r="G25" s="169">
        <v>0.26950000000000002</v>
      </c>
    </row>
    <row r="26" spans="1:7" x14ac:dyDescent="0.45">
      <c r="D26" s="15" t="s">
        <v>104</v>
      </c>
      <c r="G26" s="15">
        <f>G24*G25</f>
        <v>0</v>
      </c>
    </row>
    <row r="27" spans="1:7" x14ac:dyDescent="0.45">
      <c r="D27" s="15" t="s">
        <v>105</v>
      </c>
      <c r="G27" s="46">
        <v>0</v>
      </c>
    </row>
    <row r="28" spans="1:7" x14ac:dyDescent="0.45">
      <c r="D28" s="15" t="s">
        <v>106</v>
      </c>
      <c r="G28" s="15">
        <f>G26+G27</f>
        <v>0</v>
      </c>
    </row>
    <row r="30" spans="1:7" x14ac:dyDescent="0.45">
      <c r="A30" s="1" t="s">
        <v>241</v>
      </c>
      <c r="B30" s="15">
        <f>SAO!D18</f>
        <v>80909.25</v>
      </c>
      <c r="D30" s="15" t="s">
        <v>274</v>
      </c>
    </row>
    <row r="31" spans="1:7" x14ac:dyDescent="0.45">
      <c r="A31" s="1" t="s">
        <v>242</v>
      </c>
      <c r="B31" s="15">
        <v>-2182.96</v>
      </c>
      <c r="C31" s="294" t="s">
        <v>261</v>
      </c>
      <c r="D31" s="15" t="s">
        <v>271</v>
      </c>
    </row>
    <row r="32" spans="1:7" x14ac:dyDescent="0.45">
      <c r="A32" s="1" t="s">
        <v>246</v>
      </c>
      <c r="B32" s="17">
        <v>-5566.08</v>
      </c>
      <c r="C32" s="294" t="s">
        <v>262</v>
      </c>
      <c r="D32" s="15" t="s">
        <v>272</v>
      </c>
    </row>
    <row r="33" spans="1:4" x14ac:dyDescent="0.45">
      <c r="A33" s="1" t="s">
        <v>247</v>
      </c>
      <c r="B33" s="46">
        <v>-453.6</v>
      </c>
      <c r="C33" s="294" t="s">
        <v>177</v>
      </c>
      <c r="D33" s="15" t="s">
        <v>273</v>
      </c>
    </row>
    <row r="34" spans="1:4" x14ac:dyDescent="0.45">
      <c r="A34" s="1" t="s">
        <v>243</v>
      </c>
      <c r="B34" s="15">
        <f>B30+B31+B32+B33</f>
        <v>72706.609999999986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D14" sqref="D14"/>
    </sheetView>
  </sheetViews>
  <sheetFormatPr defaultColWidth="8.88671875" defaultRowHeight="14.25" x14ac:dyDescent="0.45"/>
  <cols>
    <col min="1" max="1" width="12.6640625" style="198" customWidth="1"/>
    <col min="2" max="2" width="11.5546875" style="207" bestFit="1" customWidth="1"/>
    <col min="3" max="3" width="9.88671875" style="207" customWidth="1"/>
    <col min="4" max="4" width="9.77734375" style="215" customWidth="1"/>
    <col min="5" max="5" width="9.77734375" style="208" customWidth="1"/>
    <col min="6" max="6" width="11.44140625" style="207" customWidth="1"/>
    <col min="7" max="7" width="10.6640625" style="209" customWidth="1"/>
    <col min="8" max="8" width="10.109375" style="207" customWidth="1"/>
    <col min="9" max="9" width="10.5546875" style="198" customWidth="1"/>
    <col min="10" max="11" width="8.88671875" style="198"/>
    <col min="12" max="12" width="10.109375" style="198" customWidth="1"/>
    <col min="13" max="13" width="9" style="198" bestFit="1" customWidth="1"/>
    <col min="14" max="14" width="9.77734375" style="198" bestFit="1" customWidth="1"/>
    <col min="15" max="16384" width="8.88671875" style="198"/>
  </cols>
  <sheetData>
    <row r="1" spans="1:12" x14ac:dyDescent="0.45">
      <c r="A1" s="198" t="s">
        <v>190</v>
      </c>
    </row>
    <row r="2" spans="1:12" x14ac:dyDescent="0.45">
      <c r="B2" s="210"/>
    </row>
    <row r="3" spans="1:12" x14ac:dyDescent="0.45">
      <c r="C3" s="207" t="s">
        <v>191</v>
      </c>
      <c r="F3" s="207" t="s">
        <v>192</v>
      </c>
      <c r="G3" s="209" t="s">
        <v>193</v>
      </c>
      <c r="H3" s="207" t="s">
        <v>193</v>
      </c>
    </row>
    <row r="4" spans="1:12" x14ac:dyDescent="0.45">
      <c r="B4" s="211" t="s">
        <v>191</v>
      </c>
      <c r="C4" s="207" t="s">
        <v>194</v>
      </c>
      <c r="D4" s="215" t="s">
        <v>194</v>
      </c>
      <c r="E4" s="208" t="s">
        <v>195</v>
      </c>
      <c r="F4" s="207" t="s">
        <v>196</v>
      </c>
      <c r="G4" s="209" t="s">
        <v>197</v>
      </c>
      <c r="H4" s="207" t="s">
        <v>197</v>
      </c>
    </row>
    <row r="5" spans="1:12" x14ac:dyDescent="0.45">
      <c r="B5" s="207" t="s">
        <v>198</v>
      </c>
      <c r="C5" s="207" t="s">
        <v>199</v>
      </c>
      <c r="D5" s="215" t="s">
        <v>200</v>
      </c>
      <c r="E5" s="208" t="s">
        <v>200</v>
      </c>
      <c r="F5" s="207" t="s">
        <v>198</v>
      </c>
      <c r="G5" s="209" t="s">
        <v>201</v>
      </c>
      <c r="H5" s="207" t="s">
        <v>202</v>
      </c>
      <c r="I5" s="202"/>
    </row>
    <row r="6" spans="1:12" x14ac:dyDescent="0.45">
      <c r="A6" s="198" t="s">
        <v>205</v>
      </c>
      <c r="B6" s="207">
        <v>0</v>
      </c>
      <c r="C6" s="207">
        <v>0</v>
      </c>
      <c r="D6" s="215">
        <v>0</v>
      </c>
      <c r="E6" s="208">
        <v>1</v>
      </c>
      <c r="F6" s="207">
        <f>B6*12</f>
        <v>0</v>
      </c>
      <c r="G6" s="209">
        <v>0.79</v>
      </c>
      <c r="H6" s="207">
        <f>F6*G6</f>
        <v>0</v>
      </c>
      <c r="I6" s="202"/>
    </row>
    <row r="7" spans="1:12" x14ac:dyDescent="0.45">
      <c r="A7" s="198" t="s">
        <v>207</v>
      </c>
      <c r="B7" s="207">
        <v>0</v>
      </c>
      <c r="C7" s="207">
        <v>0</v>
      </c>
      <c r="D7" s="215">
        <v>0</v>
      </c>
      <c r="E7" s="208">
        <v>1</v>
      </c>
      <c r="F7" s="207">
        <f t="shared" ref="F7:F9" si="0">B7*12</f>
        <v>0</v>
      </c>
      <c r="G7" s="221">
        <v>1</v>
      </c>
      <c r="H7" s="207">
        <f t="shared" ref="H7:H9" si="1">F7*G7</f>
        <v>0</v>
      </c>
      <c r="I7" s="54"/>
    </row>
    <row r="8" spans="1:12" x14ac:dyDescent="0.45">
      <c r="A8" s="198" t="s">
        <v>206</v>
      </c>
      <c r="B8" s="207">
        <v>0</v>
      </c>
      <c r="C8" s="212">
        <v>0</v>
      </c>
      <c r="D8" s="215">
        <v>0</v>
      </c>
      <c r="E8" s="217">
        <v>1</v>
      </c>
      <c r="F8" s="207">
        <f t="shared" si="0"/>
        <v>0</v>
      </c>
      <c r="G8" s="209">
        <v>0.6</v>
      </c>
      <c r="H8" s="207">
        <f t="shared" si="1"/>
        <v>0</v>
      </c>
      <c r="I8" s="203"/>
      <c r="K8" s="204"/>
      <c r="L8" s="205"/>
    </row>
    <row r="9" spans="1:12" x14ac:dyDescent="0.45">
      <c r="A9" s="198" t="s">
        <v>208</v>
      </c>
      <c r="B9" s="213">
        <v>0</v>
      </c>
      <c r="C9" s="214">
        <v>0</v>
      </c>
      <c r="D9" s="215">
        <v>0</v>
      </c>
      <c r="E9" s="217">
        <v>1</v>
      </c>
      <c r="F9" s="213">
        <f t="shared" si="0"/>
        <v>0</v>
      </c>
      <c r="G9" s="209">
        <v>1</v>
      </c>
      <c r="H9" s="213">
        <f t="shared" si="1"/>
        <v>0</v>
      </c>
    </row>
    <row r="10" spans="1:12" x14ac:dyDescent="0.45">
      <c r="A10" s="199" t="s">
        <v>58</v>
      </c>
      <c r="B10" s="207">
        <f>SUM(B6:B9)</f>
        <v>0</v>
      </c>
      <c r="C10" s="207">
        <f>SUM(C6:C9)</f>
        <v>0</v>
      </c>
      <c r="F10" s="207">
        <f>SUM(F6:F9)</f>
        <v>0</v>
      </c>
      <c r="G10" s="222"/>
      <c r="H10" s="224">
        <f>SUM(H6:H9)</f>
        <v>0</v>
      </c>
      <c r="I10" s="54"/>
    </row>
    <row r="11" spans="1:12" x14ac:dyDescent="0.45">
      <c r="C11" s="212"/>
      <c r="E11" s="217"/>
      <c r="H11" s="225"/>
      <c r="I11" s="203"/>
    </row>
    <row r="12" spans="1:12" x14ac:dyDescent="0.45">
      <c r="A12" s="198" t="s">
        <v>203</v>
      </c>
      <c r="C12" s="212">
        <f>H10</f>
        <v>0</v>
      </c>
      <c r="E12" s="217"/>
      <c r="H12" s="225"/>
      <c r="I12" s="200"/>
    </row>
    <row r="13" spans="1:12" ht="16.5" x14ac:dyDescent="0.75">
      <c r="A13" s="198" t="s">
        <v>209</v>
      </c>
      <c r="C13" s="212">
        <v>0</v>
      </c>
      <c r="E13" s="217"/>
      <c r="G13" s="223"/>
      <c r="H13" s="225"/>
      <c r="I13" s="206"/>
    </row>
    <row r="14" spans="1:12" x14ac:dyDescent="0.45">
      <c r="A14" s="198" t="s">
        <v>204</v>
      </c>
      <c r="C14" s="207">
        <f>C12+C13</f>
        <v>0</v>
      </c>
      <c r="D14" s="229"/>
    </row>
    <row r="15" spans="1:12" x14ac:dyDescent="0.45">
      <c r="I15" s="203"/>
    </row>
    <row r="16" spans="1:12" x14ac:dyDescent="0.45">
      <c r="I16" s="203"/>
    </row>
    <row r="17" spans="1:12" x14ac:dyDescent="0.45">
      <c r="I17" s="203"/>
    </row>
    <row r="18" spans="1:12" x14ac:dyDescent="0.45">
      <c r="E18" s="218"/>
      <c r="H18" s="226"/>
      <c r="I18" s="54"/>
      <c r="K18" s="201"/>
      <c r="L18" s="201"/>
    </row>
    <row r="19" spans="1:12" x14ac:dyDescent="0.45">
      <c r="D19" s="216"/>
      <c r="E19" s="219"/>
      <c r="H19" s="227"/>
      <c r="I19" s="196"/>
      <c r="K19" s="204"/>
    </row>
    <row r="20" spans="1:12" ht="16.5" x14ac:dyDescent="0.75">
      <c r="E20" s="220"/>
      <c r="H20" s="228"/>
      <c r="I20" s="197"/>
    </row>
    <row r="21" spans="1:12" x14ac:dyDescent="0.45">
      <c r="E21" s="219"/>
      <c r="H21" s="227"/>
      <c r="I21" s="196"/>
    </row>
    <row r="26" spans="1:12" x14ac:dyDescent="0.45">
      <c r="A26" s="2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0"/>
  <sheetViews>
    <sheetView showGridLines="0" workbookViewId="0">
      <selection activeCell="C6" sqref="C6"/>
    </sheetView>
  </sheetViews>
  <sheetFormatPr defaultRowHeight="15" x14ac:dyDescent="0.4"/>
  <cols>
    <col min="1" max="1" width="1.77734375" customWidth="1"/>
    <col min="2" max="2" width="17.77734375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8"/>
      <c r="P2" s="18"/>
    </row>
    <row r="3" spans="2:16" ht="18" x14ac:dyDescent="0.55000000000000004">
      <c r="B3" s="93" t="s">
        <v>109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83"/>
      <c r="O3" s="18"/>
      <c r="P3" s="18"/>
    </row>
    <row r="4" spans="2:16" ht="18" x14ac:dyDescent="0.55000000000000004">
      <c r="B4" s="95" t="s">
        <v>110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83"/>
      <c r="O4" s="18"/>
      <c r="P4" s="18"/>
    </row>
    <row r="5" spans="2:16" ht="15.75" x14ac:dyDescent="0.45">
      <c r="B5" s="97" t="s">
        <v>232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83"/>
      <c r="O5" s="18"/>
      <c r="P5" s="18"/>
    </row>
    <row r="6" spans="2:16" ht="15.75" x14ac:dyDescent="0.5">
      <c r="B6" s="98" t="s">
        <v>111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83"/>
      <c r="O6" s="18"/>
      <c r="P6" s="18"/>
    </row>
    <row r="7" spans="2:16" ht="15.4" x14ac:dyDescent="0.45">
      <c r="B7" s="100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83"/>
      <c r="O7" s="18"/>
      <c r="P7" s="18"/>
    </row>
    <row r="8" spans="2:16" ht="15.4" x14ac:dyDescent="0.45">
      <c r="B8" s="101"/>
      <c r="C8" s="102"/>
      <c r="D8" s="103"/>
      <c r="E8" s="102"/>
      <c r="F8" s="104"/>
      <c r="G8" s="102"/>
      <c r="H8" s="104"/>
      <c r="I8" s="102"/>
      <c r="J8" s="104"/>
      <c r="K8" s="102"/>
      <c r="L8" s="104"/>
      <c r="M8" s="103"/>
      <c r="N8" s="92"/>
      <c r="O8" s="18"/>
      <c r="P8" s="18"/>
    </row>
    <row r="9" spans="2:16" ht="16.5" x14ac:dyDescent="0.45">
      <c r="B9" s="105"/>
      <c r="C9" s="320" t="s">
        <v>112</v>
      </c>
      <c r="D9" s="321"/>
      <c r="E9" s="320" t="s">
        <v>113</v>
      </c>
      <c r="F9" s="321"/>
      <c r="G9" s="320" t="s">
        <v>114</v>
      </c>
      <c r="H9" s="321"/>
      <c r="I9" s="320" t="s">
        <v>115</v>
      </c>
      <c r="J9" s="321"/>
      <c r="K9" s="320" t="s">
        <v>116</v>
      </c>
      <c r="L9" s="321"/>
      <c r="M9" s="18"/>
      <c r="N9" s="83"/>
      <c r="O9" s="18"/>
      <c r="P9" s="18"/>
    </row>
    <row r="10" spans="2:16" ht="16.5" x14ac:dyDescent="0.45">
      <c r="B10" s="105"/>
      <c r="C10" s="106"/>
      <c r="D10" s="107" t="s">
        <v>117</v>
      </c>
      <c r="E10" s="108"/>
      <c r="F10" s="107" t="s">
        <v>117</v>
      </c>
      <c r="G10" s="108"/>
      <c r="H10" s="107" t="s">
        <v>117</v>
      </c>
      <c r="I10" s="108"/>
      <c r="J10" s="107" t="s">
        <v>117</v>
      </c>
      <c r="K10" s="108"/>
      <c r="L10" s="107" t="s">
        <v>117</v>
      </c>
      <c r="M10" s="18"/>
      <c r="N10" s="83"/>
      <c r="O10" s="18"/>
      <c r="P10" s="18"/>
    </row>
    <row r="11" spans="2:16" ht="16.5" x14ac:dyDescent="0.45">
      <c r="B11" s="105"/>
      <c r="C11" s="106" t="s">
        <v>118</v>
      </c>
      <c r="D11" s="109" t="s">
        <v>119</v>
      </c>
      <c r="E11" s="106" t="s">
        <v>118</v>
      </c>
      <c r="F11" s="109" t="s">
        <v>119</v>
      </c>
      <c r="G11" s="106" t="s">
        <v>118</v>
      </c>
      <c r="H11" s="109" t="s">
        <v>119</v>
      </c>
      <c r="I11" s="106" t="s">
        <v>118</v>
      </c>
      <c r="J11" s="109" t="s">
        <v>119</v>
      </c>
      <c r="K11" s="106" t="s">
        <v>118</v>
      </c>
      <c r="L11" s="109" t="s">
        <v>119</v>
      </c>
      <c r="M11" s="110" t="s">
        <v>80</v>
      </c>
      <c r="N11" s="83"/>
      <c r="O11" s="18"/>
      <c r="P11" s="18"/>
    </row>
    <row r="12" spans="2:16" ht="15.4" x14ac:dyDescent="0.45">
      <c r="B12" s="111" t="s">
        <v>275</v>
      </c>
      <c r="C12" s="112">
        <f>823+825.06+827.12+829.19+831.26+833.34+835.42+837.51+839.61+841.7+843.81+845.92</f>
        <v>10012.94</v>
      </c>
      <c r="D12" s="113">
        <f>142.61+140.55+138.49+136.42+134.35+132.27+130.18+128.1+126+123.9+121.8+119.69</f>
        <v>1574.3600000000001</v>
      </c>
      <c r="E12" s="112">
        <f>848.03+850.15+852.28+854.41+856.55+858.69+860.83+862.99+865.14+867.31+869.47+871.65</f>
        <v>10317.5</v>
      </c>
      <c r="F12" s="114">
        <f>117.57+115.45+113.33+111.2+109.06+106.92+104.77+102.62+100.46+98.3+96.13+93.96</f>
        <v>1269.77</v>
      </c>
      <c r="G12" s="112">
        <f>873.83+876.01+878.2+880.4+882.6+884.8+887.02+889.23+891.46+893.69+895.92+898.16</f>
        <v>10631.32</v>
      </c>
      <c r="H12" s="114">
        <f>97.18+89.6+87.41+85.21+83.01+80.8+78.59+76.37+74.15+71.92+69.69+67.45</f>
        <v>961.37999999999988</v>
      </c>
      <c r="I12" s="112">
        <f>900.41+902.66+904.91+907.18+909.44+911.72+914+916.28+918.57+920.87+923.17+925.48</f>
        <v>10954.69</v>
      </c>
      <c r="J12" s="114">
        <f>65.2+62.95+60.69+58.43+56.16+53.89+51.61+49.33+47.04+44.74+42.44+40.14</f>
        <v>632.62</v>
      </c>
      <c r="K12" s="292">
        <f>927.79+930.11+932.44+934.77+937.1+939.45+941.8+944.15+946.51+948.88+951.25+953.63</f>
        <v>11287.879999999997</v>
      </c>
      <c r="L12" s="293">
        <f>37.82+35.5+33.17+30.84+28.5+26.16+23.81+21.46+19.1+16.73+14.36+11.98</f>
        <v>299.43000000000006</v>
      </c>
      <c r="M12" s="115">
        <f t="shared" ref="M12" si="0">SUM(C12:L12)</f>
        <v>57941.89</v>
      </c>
      <c r="N12" s="83"/>
      <c r="O12" s="18"/>
      <c r="P12" s="18"/>
    </row>
    <row r="13" spans="2:16" ht="15.4" x14ac:dyDescent="0.45">
      <c r="B13" s="116"/>
      <c r="C13" s="117"/>
      <c r="D13" s="118"/>
      <c r="E13" s="117"/>
      <c r="F13" s="118"/>
      <c r="G13" s="117"/>
      <c r="H13" s="118"/>
      <c r="I13" s="117"/>
      <c r="J13" s="118"/>
      <c r="K13" s="117"/>
      <c r="L13" s="119"/>
      <c r="M13" s="115"/>
      <c r="N13" s="83"/>
      <c r="O13" s="18"/>
      <c r="P13" s="18"/>
    </row>
    <row r="14" spans="2:16" ht="15.4" x14ac:dyDescent="0.45">
      <c r="B14" s="85" t="s">
        <v>80</v>
      </c>
      <c r="C14" s="120">
        <f t="shared" ref="C14:M14" si="1">SUM(C12:C13)</f>
        <v>10012.94</v>
      </c>
      <c r="D14" s="121">
        <f t="shared" si="1"/>
        <v>1574.3600000000001</v>
      </c>
      <c r="E14" s="120">
        <f t="shared" si="1"/>
        <v>10317.5</v>
      </c>
      <c r="F14" s="122">
        <f t="shared" si="1"/>
        <v>1269.77</v>
      </c>
      <c r="G14" s="120">
        <f t="shared" si="1"/>
        <v>10631.32</v>
      </c>
      <c r="H14" s="122">
        <f t="shared" si="1"/>
        <v>961.37999999999988</v>
      </c>
      <c r="I14" s="120">
        <f t="shared" si="1"/>
        <v>10954.69</v>
      </c>
      <c r="J14" s="122">
        <f t="shared" si="1"/>
        <v>632.62</v>
      </c>
      <c r="K14" s="120">
        <f t="shared" si="1"/>
        <v>11287.879999999997</v>
      </c>
      <c r="L14" s="122">
        <f t="shared" si="1"/>
        <v>299.43000000000006</v>
      </c>
      <c r="M14" s="123">
        <f t="shared" si="1"/>
        <v>57941.89</v>
      </c>
      <c r="N14" s="83"/>
      <c r="O14" s="18"/>
      <c r="P14" s="18">
        <f>SUM(C14:L14)</f>
        <v>57941.89</v>
      </c>
    </row>
    <row r="15" spans="2:16" ht="15.4" x14ac:dyDescent="0.45">
      <c r="B15" s="124"/>
      <c r="C15" s="125"/>
      <c r="D15" s="126"/>
      <c r="E15" s="125"/>
      <c r="F15" s="127"/>
      <c r="G15" s="125"/>
      <c r="H15" s="127"/>
      <c r="I15" s="125"/>
      <c r="J15" s="128"/>
      <c r="K15" s="125"/>
      <c r="L15" s="127"/>
      <c r="M15" s="126"/>
      <c r="N15" s="78"/>
      <c r="O15" s="18"/>
      <c r="P15" s="18"/>
    </row>
    <row r="16" spans="2:16" ht="15.4" x14ac:dyDescent="0.45">
      <c r="B16" s="129"/>
      <c r="C16" s="130"/>
      <c r="D16" s="130"/>
      <c r="E16" s="130"/>
      <c r="F16" s="130"/>
      <c r="G16" s="130"/>
      <c r="H16" s="130"/>
      <c r="I16" s="130"/>
      <c r="J16" s="131"/>
      <c r="K16" s="131"/>
      <c r="L16" s="131"/>
      <c r="M16" s="130"/>
      <c r="N16" s="83"/>
      <c r="O16" s="18"/>
      <c r="P16" s="18"/>
    </row>
    <row r="17" spans="2:16" ht="15.4" x14ac:dyDescent="0.45">
      <c r="B17" s="132"/>
      <c r="C17" s="133"/>
      <c r="D17" s="134"/>
      <c r="E17" s="133"/>
      <c r="F17" s="133"/>
      <c r="G17" s="133"/>
      <c r="H17" s="133"/>
      <c r="I17" s="134" t="s">
        <v>120</v>
      </c>
      <c r="J17" s="18"/>
      <c r="K17" s="135"/>
      <c r="L17" s="136"/>
      <c r="M17" s="133">
        <f>M14/5</f>
        <v>11588.378000000001</v>
      </c>
      <c r="N17" s="83"/>
      <c r="O17" s="18"/>
      <c r="P17" s="18"/>
    </row>
    <row r="18" spans="2:16" ht="15.4" x14ac:dyDescent="0.45">
      <c r="B18" s="20"/>
      <c r="C18" s="134"/>
      <c r="D18" s="18"/>
      <c r="E18" s="134"/>
      <c r="F18" s="134"/>
      <c r="G18" s="134"/>
      <c r="H18" s="134"/>
      <c r="I18" s="134"/>
      <c r="J18" s="18"/>
      <c r="K18" s="24"/>
      <c r="L18" s="135"/>
      <c r="M18" s="36"/>
      <c r="N18" s="83"/>
      <c r="O18" s="18"/>
      <c r="P18" s="18"/>
    </row>
    <row r="19" spans="2:16" ht="15.4" x14ac:dyDescent="0.45">
      <c r="B19" s="132"/>
      <c r="C19" s="134"/>
      <c r="D19" s="134"/>
      <c r="E19" s="134"/>
      <c r="F19" s="134"/>
      <c r="G19" s="134"/>
      <c r="H19" s="134"/>
      <c r="I19" s="134" t="s">
        <v>121</v>
      </c>
      <c r="J19" s="18"/>
      <c r="K19" s="135"/>
      <c r="L19" s="134"/>
      <c r="M19" s="133">
        <f>M17*0.2</f>
        <v>2317.6756</v>
      </c>
      <c r="N19" s="83"/>
      <c r="O19" s="18"/>
      <c r="P19" s="18">
        <f>M19+M17</f>
        <v>13906.053600000001</v>
      </c>
    </row>
    <row r="20" spans="2:16" ht="15.4" x14ac:dyDescent="0.45">
      <c r="B20" s="137"/>
      <c r="C20" s="138"/>
      <c r="D20" s="138"/>
      <c r="E20" s="138"/>
      <c r="F20" s="138" t="s">
        <v>219</v>
      </c>
      <c r="G20" s="138"/>
      <c r="H20" s="138"/>
      <c r="I20" s="138"/>
      <c r="J20" s="138"/>
      <c r="K20" s="138"/>
      <c r="L20" s="138"/>
      <c r="M20" s="138"/>
      <c r="N20" s="78"/>
      <c r="O20" s="18"/>
      <c r="P20" s="18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2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1"/>
  <sheetViews>
    <sheetView showGridLines="0" workbookViewId="0">
      <selection sqref="A1:M47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237" customWidth="1"/>
    <col min="7" max="7" width="6.109375" style="1" customWidth="1"/>
    <col min="8" max="8" width="9.33203125" style="233" customWidth="1"/>
    <col min="9" max="9" width="6.109375" customWidth="1"/>
    <col min="10" max="10" width="9.33203125" style="233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49"/>
      <c r="H1" s="19"/>
      <c r="I1" s="149"/>
      <c r="J1" s="19"/>
      <c r="K1" s="3"/>
      <c r="L1" s="3"/>
      <c r="M1" s="3"/>
    </row>
    <row r="2" spans="1:13" x14ac:dyDescent="0.45">
      <c r="A2" s="1"/>
      <c r="B2" s="139"/>
      <c r="C2" s="141"/>
      <c r="D2" s="141"/>
      <c r="E2" s="141"/>
      <c r="F2" s="238"/>
      <c r="G2" s="150"/>
      <c r="H2" s="230"/>
      <c r="I2" s="150"/>
      <c r="J2" s="230"/>
      <c r="K2" s="141"/>
      <c r="L2" s="157"/>
      <c r="M2" s="160"/>
    </row>
    <row r="3" spans="1:13" ht="18" x14ac:dyDescent="0.55000000000000004">
      <c r="A3" s="1"/>
      <c r="B3" s="58"/>
      <c r="C3" s="322" t="s">
        <v>30</v>
      </c>
      <c r="D3" s="322"/>
      <c r="E3" s="322"/>
      <c r="F3" s="322"/>
      <c r="G3" s="322"/>
      <c r="H3" s="322"/>
      <c r="I3" s="322"/>
      <c r="J3" s="322"/>
      <c r="K3" s="322"/>
      <c r="L3" s="158"/>
      <c r="M3" s="160"/>
    </row>
    <row r="4" spans="1:13" ht="18" x14ac:dyDescent="0.55000000000000004">
      <c r="A4" s="1"/>
      <c r="B4" s="58"/>
      <c r="C4" s="323" t="s">
        <v>44</v>
      </c>
      <c r="D4" s="323"/>
      <c r="E4" s="323"/>
      <c r="F4" s="323"/>
      <c r="G4" s="323"/>
      <c r="H4" s="323"/>
      <c r="I4" s="323"/>
      <c r="J4" s="323"/>
      <c r="K4" s="323"/>
      <c r="L4" s="158"/>
      <c r="M4" s="160"/>
    </row>
    <row r="5" spans="1:13" ht="15.75" x14ac:dyDescent="0.45">
      <c r="A5" s="1"/>
      <c r="B5" s="58"/>
      <c r="C5" s="324" t="s">
        <v>232</v>
      </c>
      <c r="D5" s="324"/>
      <c r="E5" s="324"/>
      <c r="F5" s="324"/>
      <c r="G5" s="324"/>
      <c r="H5" s="324"/>
      <c r="I5" s="324"/>
      <c r="J5" s="324"/>
      <c r="K5" s="324"/>
      <c r="L5" s="158"/>
      <c r="M5" s="160"/>
    </row>
    <row r="6" spans="1:13" x14ac:dyDescent="0.45">
      <c r="A6" s="1"/>
      <c r="B6" s="58"/>
      <c r="C6" s="3"/>
      <c r="D6" s="3"/>
      <c r="E6" s="3"/>
      <c r="G6" s="151"/>
      <c r="H6" s="19"/>
      <c r="I6" s="151"/>
      <c r="J6" s="19"/>
      <c r="K6" s="143" t="s">
        <v>45</v>
      </c>
      <c r="L6" s="158"/>
      <c r="M6" s="160"/>
    </row>
    <row r="7" spans="1:13" x14ac:dyDescent="0.45">
      <c r="A7" s="1"/>
      <c r="B7" s="58"/>
      <c r="C7" s="142"/>
      <c r="D7" s="142"/>
      <c r="E7" s="142" t="s">
        <v>46</v>
      </c>
      <c r="F7" s="239" t="s">
        <v>47</v>
      </c>
      <c r="G7" s="325" t="s">
        <v>148</v>
      </c>
      <c r="H7" s="325"/>
      <c r="I7" s="325" t="s">
        <v>35</v>
      </c>
      <c r="J7" s="325"/>
      <c r="K7" s="143" t="s">
        <v>48</v>
      </c>
      <c r="L7" s="158"/>
      <c r="M7" s="160"/>
    </row>
    <row r="8" spans="1:13" ht="17.649999999999999" x14ac:dyDescent="0.75">
      <c r="A8" s="1"/>
      <c r="B8" s="58"/>
      <c r="C8" s="143"/>
      <c r="D8" s="147" t="s">
        <v>127</v>
      </c>
      <c r="E8" s="143" t="s">
        <v>49</v>
      </c>
      <c r="F8" s="240" t="s">
        <v>147</v>
      </c>
      <c r="G8" s="244" t="s">
        <v>50</v>
      </c>
      <c r="H8" s="143" t="s">
        <v>51</v>
      </c>
      <c r="I8" s="28" t="s">
        <v>50</v>
      </c>
      <c r="J8" s="143" t="s">
        <v>51</v>
      </c>
      <c r="K8" s="143" t="s">
        <v>41</v>
      </c>
      <c r="L8" s="158"/>
      <c r="M8" s="160"/>
    </row>
    <row r="9" spans="1:13" x14ac:dyDescent="0.45">
      <c r="A9" s="1"/>
      <c r="B9" s="58"/>
      <c r="C9" s="144" t="s">
        <v>122</v>
      </c>
      <c r="D9" s="3"/>
      <c r="E9" s="148"/>
      <c r="G9" s="151"/>
      <c r="H9" s="232"/>
      <c r="I9" s="151"/>
      <c r="J9" s="232"/>
      <c r="K9" s="2"/>
      <c r="L9" s="158"/>
      <c r="M9" s="160"/>
    </row>
    <row r="10" spans="1:13" x14ac:dyDescent="0.45">
      <c r="A10" s="1"/>
      <c r="B10" s="58"/>
      <c r="C10" s="144"/>
      <c r="D10" s="3" t="s">
        <v>128</v>
      </c>
      <c r="E10" s="148" t="s">
        <v>149</v>
      </c>
      <c r="F10" s="276">
        <v>200970.55</v>
      </c>
      <c r="G10" s="79" t="s">
        <v>149</v>
      </c>
      <c r="H10" s="191">
        <v>15951.03</v>
      </c>
      <c r="I10" s="151">
        <v>37.5</v>
      </c>
      <c r="J10" s="191">
        <f>F10/I10</f>
        <v>5359.2146666666667</v>
      </c>
      <c r="K10" s="24">
        <f>J10-H10</f>
        <v>-10591.815333333334</v>
      </c>
      <c r="L10" s="158"/>
      <c r="M10" s="160"/>
    </row>
    <row r="11" spans="1:13" x14ac:dyDescent="0.45">
      <c r="A11" s="1"/>
      <c r="B11" s="58"/>
      <c r="C11" s="144"/>
      <c r="D11" s="3" t="s">
        <v>129</v>
      </c>
      <c r="E11" s="148"/>
      <c r="F11" s="242"/>
      <c r="G11" s="79"/>
      <c r="H11" s="191"/>
      <c r="I11" s="151">
        <v>10</v>
      </c>
      <c r="J11" s="191">
        <f>F11/I11</f>
        <v>0</v>
      </c>
      <c r="K11" s="24">
        <f>J11-H11</f>
        <v>0</v>
      </c>
      <c r="L11" s="158"/>
      <c r="M11" s="160"/>
    </row>
    <row r="12" spans="1:13" x14ac:dyDescent="0.45">
      <c r="A12" s="1"/>
      <c r="B12" s="58"/>
      <c r="C12" s="3"/>
      <c r="D12" s="3" t="s">
        <v>130</v>
      </c>
      <c r="E12" s="148" t="s">
        <v>149</v>
      </c>
      <c r="F12" s="242">
        <v>0</v>
      </c>
      <c r="G12" s="79" t="s">
        <v>149</v>
      </c>
      <c r="H12" s="191">
        <v>0</v>
      </c>
      <c r="I12" s="151">
        <v>22.5</v>
      </c>
      <c r="J12" s="191">
        <f>F12/I12</f>
        <v>0</v>
      </c>
      <c r="K12" s="24">
        <f>J12-H12</f>
        <v>0</v>
      </c>
      <c r="L12" s="158"/>
      <c r="M12" s="160"/>
    </row>
    <row r="13" spans="1:13" x14ac:dyDescent="0.45">
      <c r="A13" s="1"/>
      <c r="B13" s="58"/>
      <c r="C13" s="3"/>
      <c r="D13" s="3" t="s">
        <v>131</v>
      </c>
      <c r="E13" s="148" t="s">
        <v>149</v>
      </c>
      <c r="F13" s="242">
        <v>0</v>
      </c>
      <c r="G13" s="79" t="s">
        <v>149</v>
      </c>
      <c r="H13" s="191">
        <v>0</v>
      </c>
      <c r="I13" s="151">
        <v>12.5</v>
      </c>
      <c r="J13" s="191">
        <f t="shared" ref="J13:J15" si="0">F13/I13</f>
        <v>0</v>
      </c>
      <c r="K13" s="24">
        <f t="shared" ref="K13:K15" si="1">J13-H13</f>
        <v>0</v>
      </c>
      <c r="L13" s="158"/>
      <c r="M13" s="160"/>
    </row>
    <row r="14" spans="1:13" x14ac:dyDescent="0.45">
      <c r="A14" s="1"/>
      <c r="B14" s="58"/>
      <c r="C14" s="3"/>
      <c r="D14" s="3" t="s">
        <v>132</v>
      </c>
      <c r="E14" s="148"/>
      <c r="F14" s="242"/>
      <c r="G14" s="79"/>
      <c r="H14" s="191"/>
      <c r="I14" s="151">
        <v>17.5</v>
      </c>
      <c r="J14" s="191">
        <f t="shared" si="0"/>
        <v>0</v>
      </c>
      <c r="K14" s="24">
        <f t="shared" si="1"/>
        <v>0</v>
      </c>
      <c r="L14" s="158"/>
      <c r="M14" s="160"/>
    </row>
    <row r="15" spans="1:13" x14ac:dyDescent="0.45">
      <c r="A15" s="1"/>
      <c r="B15" s="58"/>
      <c r="C15" s="3"/>
      <c r="D15" s="3" t="s">
        <v>133</v>
      </c>
      <c r="E15" s="148"/>
      <c r="F15" s="242"/>
      <c r="G15" s="79"/>
      <c r="H15" s="191"/>
      <c r="I15" s="151">
        <v>15</v>
      </c>
      <c r="J15" s="191">
        <f t="shared" si="0"/>
        <v>0</v>
      </c>
      <c r="K15" s="24">
        <f t="shared" si="1"/>
        <v>0</v>
      </c>
      <c r="L15" s="158"/>
      <c r="M15" s="160"/>
    </row>
    <row r="16" spans="1:13" x14ac:dyDescent="0.45">
      <c r="A16" s="1"/>
      <c r="B16" s="58"/>
      <c r="C16" s="3"/>
      <c r="D16" s="3"/>
      <c r="E16" s="148"/>
      <c r="F16" s="242"/>
      <c r="G16" s="79"/>
      <c r="H16" s="191"/>
      <c r="I16" s="151"/>
      <c r="J16" s="191"/>
      <c r="K16" s="24"/>
      <c r="L16" s="158"/>
      <c r="M16" s="160"/>
    </row>
    <row r="17" spans="1:13" x14ac:dyDescent="0.45">
      <c r="A17" s="1"/>
      <c r="B17" s="58"/>
      <c r="C17" s="144" t="s">
        <v>212</v>
      </c>
      <c r="D17" s="3"/>
      <c r="E17" s="148"/>
      <c r="F17" s="242"/>
      <c r="G17" s="79"/>
      <c r="H17" s="191"/>
      <c r="I17" s="151"/>
      <c r="J17" s="191"/>
      <c r="K17" s="24"/>
      <c r="L17" s="158"/>
      <c r="M17" s="160"/>
    </row>
    <row r="18" spans="1:13" x14ac:dyDescent="0.45">
      <c r="A18" s="1"/>
      <c r="B18" s="58"/>
      <c r="C18" s="3"/>
      <c r="D18" s="3" t="s">
        <v>213</v>
      </c>
      <c r="E18" s="148"/>
      <c r="F18" s="242"/>
      <c r="G18" s="79"/>
      <c r="H18" s="191"/>
      <c r="I18" s="151">
        <v>62.5</v>
      </c>
      <c r="J18" s="191">
        <f t="shared" ref="J18:J19" si="2">F18/I18</f>
        <v>0</v>
      </c>
      <c r="K18" s="24">
        <f t="shared" ref="K18:K19" si="3">J18-H18</f>
        <v>0</v>
      </c>
      <c r="L18" s="158"/>
      <c r="M18" s="160"/>
    </row>
    <row r="19" spans="1:13" x14ac:dyDescent="0.45">
      <c r="A19" s="1"/>
      <c r="B19" s="58"/>
      <c r="C19" s="3"/>
      <c r="D19" s="3" t="s">
        <v>214</v>
      </c>
      <c r="E19" s="148" t="s">
        <v>149</v>
      </c>
      <c r="F19" s="242">
        <v>0</v>
      </c>
      <c r="G19" s="79" t="s">
        <v>149</v>
      </c>
      <c r="H19" s="191">
        <v>0</v>
      </c>
      <c r="I19" s="151">
        <v>62.5</v>
      </c>
      <c r="J19" s="191">
        <f t="shared" si="2"/>
        <v>0</v>
      </c>
      <c r="K19" s="24">
        <f t="shared" si="3"/>
        <v>0</v>
      </c>
      <c r="L19" s="158"/>
      <c r="M19" s="160"/>
    </row>
    <row r="20" spans="1:13" x14ac:dyDescent="0.45">
      <c r="A20" s="1"/>
      <c r="B20" s="58"/>
      <c r="C20" s="143"/>
      <c r="D20" s="143"/>
      <c r="E20" s="143"/>
      <c r="F20" s="241"/>
      <c r="G20" s="244"/>
      <c r="H20" s="231"/>
      <c r="I20" s="28"/>
      <c r="J20" s="231"/>
      <c r="K20" s="143"/>
      <c r="L20" s="158"/>
      <c r="M20" s="160"/>
    </row>
    <row r="21" spans="1:13" x14ac:dyDescent="0.45">
      <c r="A21" s="1"/>
      <c r="B21" s="58"/>
      <c r="C21" s="144" t="s">
        <v>123</v>
      </c>
      <c r="D21" s="3"/>
      <c r="E21" s="148"/>
      <c r="G21" s="152"/>
      <c r="H21" s="232"/>
      <c r="I21" s="152"/>
      <c r="J21" s="232"/>
      <c r="K21" s="2"/>
      <c r="L21" s="158"/>
      <c r="M21" s="160"/>
    </row>
    <row r="22" spans="1:13" x14ac:dyDescent="0.45">
      <c r="A22" s="1"/>
      <c r="B22" s="58"/>
      <c r="C22" s="144"/>
      <c r="D22" s="3" t="s">
        <v>128</v>
      </c>
      <c r="E22" s="148"/>
      <c r="F22" s="242"/>
      <c r="G22" s="79"/>
      <c r="H22" s="191"/>
      <c r="I22" s="151">
        <v>37.5</v>
      </c>
      <c r="J22" s="191">
        <f>F22/I22</f>
        <v>0</v>
      </c>
      <c r="K22" s="24">
        <f>J22-H22</f>
        <v>0</v>
      </c>
      <c r="L22" s="158"/>
      <c r="M22" s="160"/>
    </row>
    <row r="23" spans="1:13" x14ac:dyDescent="0.45">
      <c r="A23" s="1"/>
      <c r="B23" s="58"/>
      <c r="C23" s="3"/>
      <c r="D23" s="3" t="s">
        <v>134</v>
      </c>
      <c r="E23" s="148"/>
      <c r="G23" s="152"/>
      <c r="H23" s="191"/>
      <c r="I23" s="151">
        <v>10</v>
      </c>
      <c r="J23" s="232">
        <f>F23/I23</f>
        <v>0</v>
      </c>
      <c r="K23" s="24">
        <f>J23-H23</f>
        <v>0</v>
      </c>
      <c r="L23" s="158"/>
      <c r="M23" s="160"/>
    </row>
    <row r="24" spans="1:13" x14ac:dyDescent="0.45">
      <c r="A24" s="1"/>
      <c r="B24" s="58"/>
      <c r="C24" s="3"/>
      <c r="D24" s="3" t="s">
        <v>135</v>
      </c>
      <c r="E24" s="148"/>
      <c r="G24" s="152"/>
      <c r="H24" s="191"/>
      <c r="I24" s="151">
        <v>20</v>
      </c>
      <c r="J24" s="232">
        <f>F24/I24</f>
        <v>0</v>
      </c>
      <c r="K24" s="24">
        <f>J24-H24</f>
        <v>0</v>
      </c>
      <c r="L24" s="158"/>
      <c r="M24" s="160"/>
    </row>
    <row r="25" spans="1:13" x14ac:dyDescent="0.45">
      <c r="A25" s="1"/>
      <c r="B25" s="58"/>
      <c r="C25" s="143"/>
      <c r="D25" s="143"/>
      <c r="E25" s="143"/>
      <c r="G25" s="152"/>
      <c r="H25" s="232"/>
      <c r="I25" s="152"/>
      <c r="J25" s="232"/>
      <c r="K25" s="2"/>
      <c r="L25" s="158"/>
      <c r="M25" s="160"/>
    </row>
    <row r="26" spans="1:13" x14ac:dyDescent="0.45">
      <c r="A26" s="1"/>
      <c r="B26" s="58"/>
      <c r="C26" s="144" t="s">
        <v>124</v>
      </c>
      <c r="D26" s="3"/>
      <c r="E26" s="148"/>
      <c r="G26" s="151"/>
      <c r="H26" s="232"/>
      <c r="I26" s="151"/>
      <c r="J26" s="232"/>
      <c r="K26" s="2"/>
      <c r="L26" s="158"/>
      <c r="M26" s="160"/>
    </row>
    <row r="27" spans="1:13" x14ac:dyDescent="0.45">
      <c r="A27" s="1"/>
      <c r="B27" s="58"/>
      <c r="C27" s="144"/>
      <c r="D27" s="3" t="s">
        <v>136</v>
      </c>
      <c r="E27" s="148" t="s">
        <v>149</v>
      </c>
      <c r="F27" s="242">
        <v>3276.11</v>
      </c>
      <c r="G27" s="79"/>
      <c r="H27" s="191">
        <v>327.61</v>
      </c>
      <c r="I27" s="151">
        <v>50</v>
      </c>
      <c r="J27" s="191">
        <f>H27</f>
        <v>327.61</v>
      </c>
      <c r="K27" s="24">
        <f>J27-H27</f>
        <v>0</v>
      </c>
      <c r="L27" s="158"/>
      <c r="M27" s="160"/>
    </row>
    <row r="28" spans="1:13" x14ac:dyDescent="0.45">
      <c r="A28" s="1"/>
      <c r="B28" s="58"/>
      <c r="C28" s="144"/>
      <c r="D28" s="3" t="s">
        <v>137</v>
      </c>
      <c r="E28" s="148" t="s">
        <v>149</v>
      </c>
      <c r="F28" s="276">
        <v>82550.289999999994</v>
      </c>
      <c r="G28" s="79"/>
      <c r="H28" s="191">
        <v>7135.37</v>
      </c>
      <c r="I28" s="151">
        <v>62.5</v>
      </c>
      <c r="J28" s="191">
        <f t="shared" ref="J28:J35" si="4">F28/I28</f>
        <v>1320.8046399999998</v>
      </c>
      <c r="K28" s="24">
        <f t="shared" ref="K28:K35" si="5">J28-H28</f>
        <v>-5814.5653600000005</v>
      </c>
      <c r="L28" s="158"/>
      <c r="M28" s="160"/>
    </row>
    <row r="29" spans="1:13" x14ac:dyDescent="0.45">
      <c r="A29" s="1"/>
      <c r="B29" s="58"/>
      <c r="C29" s="144"/>
      <c r="D29" s="3" t="s">
        <v>138</v>
      </c>
      <c r="E29" s="148" t="s">
        <v>149</v>
      </c>
      <c r="F29" s="276">
        <v>55253.85</v>
      </c>
      <c r="G29" s="79"/>
      <c r="H29" s="191">
        <v>4950.67</v>
      </c>
      <c r="I29" s="151">
        <v>45</v>
      </c>
      <c r="J29" s="191">
        <f t="shared" si="4"/>
        <v>1227.8633333333332</v>
      </c>
      <c r="K29" s="24">
        <f t="shared" si="5"/>
        <v>-3722.8066666666668</v>
      </c>
      <c r="L29" s="158"/>
      <c r="M29" s="160"/>
    </row>
    <row r="30" spans="1:13" x14ac:dyDescent="0.45">
      <c r="A30" s="1"/>
      <c r="B30" s="58"/>
      <c r="C30" s="144"/>
      <c r="D30" s="3" t="s">
        <v>139</v>
      </c>
      <c r="E30" s="148"/>
      <c r="F30" s="242"/>
      <c r="G30" s="79"/>
      <c r="H30" s="191"/>
      <c r="I30" s="151">
        <v>15</v>
      </c>
      <c r="J30" s="191">
        <f t="shared" si="4"/>
        <v>0</v>
      </c>
      <c r="K30" s="24">
        <f t="shared" si="5"/>
        <v>0</v>
      </c>
      <c r="L30" s="158"/>
      <c r="M30" s="160"/>
    </row>
    <row r="31" spans="1:13" x14ac:dyDescent="0.45">
      <c r="A31" s="1"/>
      <c r="B31" s="58"/>
      <c r="C31" s="144"/>
      <c r="D31" s="3" t="s">
        <v>140</v>
      </c>
      <c r="E31" s="148"/>
      <c r="F31" s="242"/>
      <c r="G31" s="79"/>
      <c r="H31" s="191"/>
      <c r="I31" s="151">
        <v>20</v>
      </c>
      <c r="J31" s="191">
        <f t="shared" si="4"/>
        <v>0</v>
      </c>
      <c r="K31" s="24">
        <f t="shared" si="5"/>
        <v>0</v>
      </c>
      <c r="L31" s="158"/>
      <c r="M31" s="160"/>
    </row>
    <row r="32" spans="1:13" x14ac:dyDescent="0.45">
      <c r="A32" s="1"/>
      <c r="B32" s="58"/>
      <c r="C32" s="144"/>
      <c r="D32" s="3" t="s">
        <v>141</v>
      </c>
      <c r="E32" s="148"/>
      <c r="F32" s="242"/>
      <c r="G32" s="79"/>
      <c r="H32" s="191"/>
      <c r="I32" s="151">
        <v>37.5</v>
      </c>
      <c r="J32" s="191">
        <f t="shared" si="4"/>
        <v>0</v>
      </c>
      <c r="K32" s="24">
        <f t="shared" si="5"/>
        <v>0</v>
      </c>
      <c r="L32" s="158"/>
      <c r="M32" s="160"/>
    </row>
    <row r="33" spans="1:14" x14ac:dyDescent="0.45">
      <c r="A33" s="1"/>
      <c r="B33" s="58"/>
      <c r="C33" s="144"/>
      <c r="D33" s="3" t="s">
        <v>142</v>
      </c>
      <c r="E33" s="148"/>
      <c r="F33" s="242"/>
      <c r="G33" s="79"/>
      <c r="H33" s="191"/>
      <c r="I33" s="151">
        <v>40</v>
      </c>
      <c r="J33" s="191">
        <f t="shared" si="4"/>
        <v>0</v>
      </c>
      <c r="K33" s="24">
        <f t="shared" si="5"/>
        <v>0</v>
      </c>
      <c r="L33" s="158"/>
      <c r="M33" s="160"/>
    </row>
    <row r="34" spans="1:14" x14ac:dyDescent="0.45">
      <c r="A34" s="1"/>
      <c r="B34" s="58"/>
      <c r="C34" s="144"/>
      <c r="D34" s="3" t="s">
        <v>143</v>
      </c>
      <c r="E34" s="148" t="s">
        <v>149</v>
      </c>
      <c r="F34" s="276">
        <v>116430.12</v>
      </c>
      <c r="G34" s="79"/>
      <c r="H34" s="191">
        <v>4270.01</v>
      </c>
      <c r="I34" s="151">
        <v>45</v>
      </c>
      <c r="J34" s="191">
        <f t="shared" si="4"/>
        <v>2587.3359999999998</v>
      </c>
      <c r="K34" s="24">
        <f t="shared" si="5"/>
        <v>-1682.6740000000004</v>
      </c>
      <c r="L34" s="158"/>
      <c r="M34" s="160"/>
    </row>
    <row r="35" spans="1:14" x14ac:dyDescent="0.45">
      <c r="A35" s="1"/>
      <c r="B35" s="58"/>
      <c r="C35" s="144"/>
      <c r="D35" s="3" t="s">
        <v>144</v>
      </c>
      <c r="E35" s="148"/>
      <c r="F35" s="242"/>
      <c r="G35" s="79"/>
      <c r="H35" s="191"/>
      <c r="I35" s="151">
        <v>15</v>
      </c>
      <c r="J35" s="191">
        <f t="shared" si="4"/>
        <v>0</v>
      </c>
      <c r="K35" s="24">
        <f t="shared" si="5"/>
        <v>0</v>
      </c>
      <c r="L35" s="158"/>
      <c r="M35" s="160"/>
    </row>
    <row r="36" spans="1:14" x14ac:dyDescent="0.45">
      <c r="A36" s="1"/>
      <c r="B36" s="58"/>
      <c r="C36" s="144"/>
      <c r="E36" s="148"/>
      <c r="G36" s="152"/>
      <c r="H36" s="232"/>
      <c r="I36" s="152"/>
      <c r="J36" s="232"/>
      <c r="K36" s="24"/>
      <c r="L36" s="158"/>
      <c r="M36" s="160"/>
    </row>
    <row r="37" spans="1:14" x14ac:dyDescent="0.45">
      <c r="A37" s="1"/>
      <c r="B37" s="58"/>
      <c r="C37" s="144" t="s">
        <v>125</v>
      </c>
      <c r="E37" s="148"/>
      <c r="G37" s="151"/>
      <c r="H37" s="232"/>
      <c r="I37" s="156"/>
      <c r="J37" s="232"/>
      <c r="K37" s="2"/>
      <c r="L37" s="158"/>
      <c r="M37" s="160"/>
    </row>
    <row r="38" spans="1:14" x14ac:dyDescent="0.45">
      <c r="A38" s="1"/>
      <c r="B38" s="58"/>
      <c r="C38" s="3"/>
      <c r="D38" s="1" t="s">
        <v>145</v>
      </c>
      <c r="E38" s="148" t="s">
        <v>149</v>
      </c>
      <c r="F38" s="237">
        <v>35726</v>
      </c>
      <c r="G38" s="151"/>
      <c r="H38" s="232">
        <v>5103.83</v>
      </c>
      <c r="I38" s="156">
        <v>7</v>
      </c>
      <c r="J38" s="232">
        <f>F38/I38</f>
        <v>5103.7142857142853</v>
      </c>
      <c r="K38" s="2">
        <f>J38-H38</f>
        <v>-0.11571428571460274</v>
      </c>
      <c r="L38" s="158"/>
      <c r="M38" s="160"/>
    </row>
    <row r="39" spans="1:14" x14ac:dyDescent="0.45">
      <c r="A39" s="1"/>
      <c r="B39" s="58"/>
      <c r="C39" s="143"/>
      <c r="D39" s="143"/>
      <c r="E39" s="143"/>
      <c r="G39" s="152"/>
      <c r="H39" s="232"/>
      <c r="I39" s="152"/>
      <c r="J39" s="232"/>
      <c r="K39" s="2"/>
      <c r="L39" s="158"/>
      <c r="M39" s="160"/>
    </row>
    <row r="40" spans="1:14" x14ac:dyDescent="0.45">
      <c r="A40" s="1"/>
      <c r="B40" s="58"/>
      <c r="C40" s="144" t="s">
        <v>126</v>
      </c>
      <c r="D40" s="3"/>
      <c r="E40" s="148"/>
      <c r="G40" s="153"/>
      <c r="H40" s="232"/>
      <c r="I40" s="151"/>
      <c r="J40" s="232"/>
      <c r="K40" s="2"/>
      <c r="L40" s="158"/>
      <c r="M40" s="160"/>
    </row>
    <row r="41" spans="1:14" x14ac:dyDescent="0.45">
      <c r="A41" s="1"/>
      <c r="B41" s="58"/>
      <c r="C41" s="144"/>
      <c r="D41" s="1" t="s">
        <v>210</v>
      </c>
      <c r="E41" s="148"/>
      <c r="G41" s="151"/>
      <c r="H41" s="232"/>
      <c r="I41" s="156">
        <v>62.5</v>
      </c>
      <c r="J41" s="232">
        <f>F41/I41</f>
        <v>0</v>
      </c>
      <c r="K41" s="2">
        <f>J41-H41</f>
        <v>0</v>
      </c>
      <c r="L41" s="158"/>
      <c r="M41" s="160"/>
    </row>
    <row r="42" spans="1:14" x14ac:dyDescent="0.45">
      <c r="A42" s="1"/>
      <c r="B42" s="58"/>
      <c r="C42" s="144"/>
      <c r="D42" s="1" t="s">
        <v>211</v>
      </c>
      <c r="E42" s="148"/>
      <c r="G42" s="151"/>
      <c r="H42" s="232"/>
      <c r="I42" s="156">
        <v>27.5</v>
      </c>
      <c r="J42" s="232">
        <f>F42/I42</f>
        <v>0</v>
      </c>
      <c r="K42" s="2">
        <f>J42-H42</f>
        <v>0</v>
      </c>
      <c r="L42" s="158"/>
      <c r="M42" s="160"/>
    </row>
    <row r="43" spans="1:14" x14ac:dyDescent="0.45">
      <c r="A43" s="1"/>
      <c r="B43" s="58"/>
      <c r="C43" s="3"/>
      <c r="D43" s="3"/>
      <c r="E43" s="3"/>
      <c r="G43" s="2"/>
      <c r="H43" s="191"/>
      <c r="I43" s="2"/>
      <c r="J43" s="236"/>
      <c r="K43" s="2"/>
      <c r="L43" s="158"/>
      <c r="M43" s="160"/>
    </row>
    <row r="44" spans="1:14" x14ac:dyDescent="0.45">
      <c r="A44" s="1"/>
      <c r="B44" s="58"/>
      <c r="C44" s="145" t="s">
        <v>80</v>
      </c>
      <c r="F44" s="234">
        <f>SUM(F10:F43)</f>
        <v>494206.91999999993</v>
      </c>
      <c r="G44" s="154"/>
      <c r="H44" s="234">
        <f>SUM(H10:H43)</f>
        <v>37738.520000000004</v>
      </c>
      <c r="I44" s="155"/>
      <c r="J44" s="234">
        <f>SUM(J10:J43)</f>
        <v>15926.542925714282</v>
      </c>
      <c r="K44" s="155">
        <f>SUM(K10:K43)</f>
        <v>-21811.977074285714</v>
      </c>
      <c r="L44" s="158"/>
      <c r="M44" s="160"/>
      <c r="N44" s="21"/>
    </row>
    <row r="45" spans="1:14" x14ac:dyDescent="0.45">
      <c r="A45" s="1"/>
      <c r="B45" s="140"/>
      <c r="C45" s="146"/>
      <c r="D45" s="146"/>
      <c r="E45" s="146"/>
      <c r="F45" s="243"/>
      <c r="G45" s="146"/>
      <c r="H45" s="235"/>
      <c r="I45" s="146"/>
      <c r="J45" s="235"/>
      <c r="K45" s="146"/>
      <c r="L45" s="159"/>
      <c r="M45" s="161"/>
    </row>
    <row r="46" spans="1:14" x14ac:dyDescent="0.45">
      <c r="A46" s="1"/>
      <c r="B46" s="1"/>
      <c r="C46" s="3"/>
      <c r="D46" s="3"/>
      <c r="E46" s="3"/>
      <c r="G46" s="3"/>
      <c r="H46" s="236"/>
      <c r="I46" s="3"/>
      <c r="J46" s="236"/>
      <c r="K46" s="3"/>
      <c r="L46" s="3"/>
      <c r="M46" s="3"/>
    </row>
    <row r="47" spans="1:14" x14ac:dyDescent="0.45">
      <c r="D47" s="3" t="s">
        <v>146</v>
      </c>
    </row>
    <row r="49" spans="4:7" x14ac:dyDescent="0.45">
      <c r="D49" s="1" t="s">
        <v>215</v>
      </c>
      <c r="F49" s="237">
        <f>J44</f>
        <v>15926.542925714282</v>
      </c>
    </row>
    <row r="50" spans="4:7" ht="17.649999999999999" x14ac:dyDescent="0.75">
      <c r="D50" s="1" t="s">
        <v>216</v>
      </c>
      <c r="F50" s="245">
        <v>37738.720000000001</v>
      </c>
    </row>
    <row r="51" spans="4:7" x14ac:dyDescent="0.45">
      <c r="D51" s="1" t="s">
        <v>217</v>
      </c>
      <c r="F51" s="237">
        <f>F49-F50</f>
        <v>-21812.177074285719</v>
      </c>
      <c r="G51" s="21" t="s">
        <v>218</v>
      </c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D9" sqref="D9"/>
    </sheetView>
  </sheetViews>
  <sheetFormatPr defaultRowHeight="15" x14ac:dyDescent="0.4"/>
  <sheetData>
    <row r="1" spans="1:4" ht="15.4" x14ac:dyDescent="0.45">
      <c r="A1" s="1" t="s">
        <v>186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189</v>
      </c>
      <c r="B3" s="1"/>
      <c r="C3" s="194">
        <v>6800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187</v>
      </c>
      <c r="B5" s="195">
        <v>0.3</v>
      </c>
      <c r="C5" s="194">
        <f>B5*C3</f>
        <v>2040</v>
      </c>
      <c r="D5" s="1" t="s">
        <v>185</v>
      </c>
    </row>
    <row r="6" spans="1:4" ht="15.4" x14ac:dyDescent="0.45">
      <c r="A6" s="1" t="s">
        <v>188</v>
      </c>
      <c r="B6" s="195">
        <v>0.7</v>
      </c>
      <c r="C6" s="194">
        <f>B6*C3</f>
        <v>4760</v>
      </c>
      <c r="D6" s="1" t="s">
        <v>185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I50"/>
  <sheetViews>
    <sheetView showGridLines="0" topLeftCell="A11" workbookViewId="0">
      <selection activeCell="C33" sqref="C33"/>
    </sheetView>
  </sheetViews>
  <sheetFormatPr defaultRowHeight="14.25" x14ac:dyDescent="0.45"/>
  <cols>
    <col min="1" max="1" width="22.0546875" style="1" customWidth="1"/>
    <col min="2" max="2" width="9.88671875" style="7" bestFit="1" customWidth="1"/>
    <col min="3" max="3" width="9.71875" style="7" bestFit="1" customWidth="1"/>
    <col min="4" max="4" width="10.5" style="1" bestFit="1" customWidth="1"/>
    <col min="5" max="16384" width="8.88671875" style="1"/>
  </cols>
  <sheetData>
    <row r="1" spans="1:9" x14ac:dyDescent="0.45">
      <c r="A1" s="283" t="s">
        <v>304</v>
      </c>
    </row>
    <row r="2" spans="1:9" x14ac:dyDescent="0.45">
      <c r="A2" s="283"/>
    </row>
    <row r="3" spans="1:9" x14ac:dyDescent="0.45">
      <c r="A3" s="283" t="s">
        <v>287</v>
      </c>
      <c r="D3" s="55"/>
      <c r="G3" s="21"/>
    </row>
    <row r="4" spans="1:9" x14ac:dyDescent="0.45">
      <c r="A4" s="283"/>
      <c r="B4" s="307" t="s">
        <v>280</v>
      </c>
      <c r="C4" s="308" t="s">
        <v>278</v>
      </c>
      <c r="D4" s="55" t="s">
        <v>279</v>
      </c>
      <c r="G4" s="21"/>
    </row>
    <row r="5" spans="1:9" x14ac:dyDescent="0.45">
      <c r="A5" s="1" t="s">
        <v>276</v>
      </c>
      <c r="B5" s="7">
        <v>74725662</v>
      </c>
      <c r="C5" s="285">
        <v>3.8117000000000001</v>
      </c>
      <c r="D5" s="284">
        <f>(B5/1000)*C5</f>
        <v>284831.80584539997</v>
      </c>
      <c r="G5" s="21"/>
    </row>
    <row r="6" spans="1:9" x14ac:dyDescent="0.45">
      <c r="A6" s="1" t="s">
        <v>277</v>
      </c>
      <c r="B6" s="5">
        <v>3233600</v>
      </c>
      <c r="C6" s="284">
        <v>4.84</v>
      </c>
      <c r="D6" s="287">
        <f>(B6/1000)*C6</f>
        <v>15650.624</v>
      </c>
      <c r="G6" s="21"/>
    </row>
    <row r="7" spans="1:9" x14ac:dyDescent="0.45">
      <c r="A7" s="1" t="s">
        <v>281</v>
      </c>
      <c r="B7" s="7">
        <f>SUM(B5:B6)</f>
        <v>77959262</v>
      </c>
      <c r="D7" s="309">
        <f>SUM(D5:D6)</f>
        <v>300482.42984539998</v>
      </c>
      <c r="G7" s="21"/>
    </row>
    <row r="8" spans="1:9" x14ac:dyDescent="0.45">
      <c r="D8" s="309"/>
      <c r="G8" s="21"/>
    </row>
    <row r="9" spans="1:9" x14ac:dyDescent="0.45">
      <c r="A9" s="1" t="s">
        <v>281</v>
      </c>
      <c r="D9" s="309">
        <f>D7</f>
        <v>300482.42984539998</v>
      </c>
      <c r="G9" s="21"/>
    </row>
    <row r="10" spans="1:9" x14ac:dyDescent="0.45">
      <c r="A10" s="1" t="s">
        <v>282</v>
      </c>
      <c r="D10" s="310">
        <f>-SAO!D24</f>
        <v>-215049.14</v>
      </c>
      <c r="G10" s="21"/>
    </row>
    <row r="11" spans="1:9" x14ac:dyDescent="0.45">
      <c r="A11" s="283" t="s">
        <v>283</v>
      </c>
      <c r="B11" s="289"/>
      <c r="C11" s="289"/>
      <c r="D11" s="286">
        <f>D9+D10</f>
        <v>85433.289845399966</v>
      </c>
      <c r="E11" s="283" t="s">
        <v>284</v>
      </c>
      <c r="G11" s="21"/>
      <c r="I11" s="295" t="s">
        <v>184</v>
      </c>
    </row>
    <row r="12" spans="1:9" x14ac:dyDescent="0.45">
      <c r="A12" s="283"/>
    </row>
    <row r="13" spans="1:9" x14ac:dyDescent="0.45">
      <c r="A13" s="283" t="s">
        <v>258</v>
      </c>
    </row>
    <row r="14" spans="1:9" x14ac:dyDescent="0.45">
      <c r="A14" s="1" t="s">
        <v>160</v>
      </c>
      <c r="C14" s="7">
        <v>0</v>
      </c>
    </row>
    <row r="15" spans="1:9" x14ac:dyDescent="0.45">
      <c r="A15" s="1" t="s">
        <v>161</v>
      </c>
      <c r="C15" s="5">
        <v>79819</v>
      </c>
    </row>
    <row r="16" spans="1:9" x14ac:dyDescent="0.45">
      <c r="A16" s="1" t="s">
        <v>162</v>
      </c>
      <c r="C16" s="7">
        <f>C14+C15</f>
        <v>79819</v>
      </c>
    </row>
    <row r="18" spans="1:3" x14ac:dyDescent="0.45">
      <c r="A18" s="1" t="s">
        <v>155</v>
      </c>
      <c r="C18" s="7">
        <v>55806</v>
      </c>
    </row>
    <row r="20" spans="1:3" x14ac:dyDescent="0.45">
      <c r="A20" s="1" t="s">
        <v>156</v>
      </c>
    </row>
    <row r="21" spans="1:3" x14ac:dyDescent="0.45">
      <c r="A21" s="1" t="s">
        <v>165</v>
      </c>
      <c r="B21" s="7">
        <v>0</v>
      </c>
    </row>
    <row r="22" spans="1:3" x14ac:dyDescent="0.45">
      <c r="A22" s="1" t="s">
        <v>166</v>
      </c>
      <c r="B22" s="7">
        <v>550</v>
      </c>
    </row>
    <row r="23" spans="1:3" x14ac:dyDescent="0.45">
      <c r="A23" s="1" t="s">
        <v>167</v>
      </c>
      <c r="B23" s="7">
        <v>10</v>
      </c>
    </row>
    <row r="24" spans="1:3" x14ac:dyDescent="0.45">
      <c r="A24" s="1" t="s">
        <v>168</v>
      </c>
      <c r="B24" s="7">
        <v>0</v>
      </c>
    </row>
    <row r="25" spans="1:3" x14ac:dyDescent="0.45">
      <c r="A25" s="1" t="s">
        <v>163</v>
      </c>
      <c r="C25" s="7">
        <f>SUM(B21:B24)</f>
        <v>560</v>
      </c>
    </row>
    <row r="27" spans="1:3" x14ac:dyDescent="0.45">
      <c r="A27" s="1" t="s">
        <v>164</v>
      </c>
    </row>
    <row r="28" spans="1:3" x14ac:dyDescent="0.45">
      <c r="A28" s="1" t="s">
        <v>169</v>
      </c>
      <c r="B28" s="7">
        <v>0</v>
      </c>
    </row>
    <row r="29" spans="1:3" x14ac:dyDescent="0.45">
      <c r="A29" s="1" t="s">
        <v>170</v>
      </c>
      <c r="B29" s="7">
        <v>1990</v>
      </c>
    </row>
    <row r="30" spans="1:3" x14ac:dyDescent="0.45">
      <c r="A30" s="1" t="s">
        <v>171</v>
      </c>
      <c r="B30" s="7">
        <v>0</v>
      </c>
    </row>
    <row r="31" spans="1:3" x14ac:dyDescent="0.45">
      <c r="A31" s="1" t="s">
        <v>233</v>
      </c>
      <c r="B31" s="7">
        <v>500</v>
      </c>
    </row>
    <row r="32" spans="1:3" x14ac:dyDescent="0.45">
      <c r="A32" s="1" t="s">
        <v>172</v>
      </c>
      <c r="B32" s="7">
        <v>20963</v>
      </c>
    </row>
    <row r="33" spans="1:9" x14ac:dyDescent="0.45">
      <c r="A33" s="1" t="s">
        <v>173</v>
      </c>
      <c r="C33" s="5">
        <f>SUM(B28:B32)</f>
        <v>23453</v>
      </c>
    </row>
    <row r="34" spans="1:9" x14ac:dyDescent="0.45">
      <c r="A34" s="1" t="s">
        <v>174</v>
      </c>
      <c r="C34" s="7">
        <f>C18+C25+C33</f>
        <v>79819</v>
      </c>
    </row>
    <row r="36" spans="1:9" x14ac:dyDescent="0.45">
      <c r="D36" s="55">
        <f>C33/C16</f>
        <v>0.29382728423057169</v>
      </c>
      <c r="E36" s="1" t="s">
        <v>157</v>
      </c>
    </row>
    <row r="37" spans="1:9" x14ac:dyDescent="0.45">
      <c r="D37" s="288">
        <v>0.15</v>
      </c>
      <c r="E37" s="1" t="s">
        <v>158</v>
      </c>
    </row>
    <row r="38" spans="1:9" x14ac:dyDescent="0.45">
      <c r="D38" s="55">
        <f>D36-D37</f>
        <v>0.1438272842305717</v>
      </c>
      <c r="E38" s="1" t="s">
        <v>159</v>
      </c>
      <c r="G38" s="21"/>
    </row>
    <row r="39" spans="1:9" x14ac:dyDescent="0.45">
      <c r="A39" s="283"/>
      <c r="B39" s="289"/>
      <c r="C39" s="289"/>
      <c r="D39" s="286"/>
      <c r="E39" s="283"/>
      <c r="G39" s="21"/>
    </row>
    <row r="40" spans="1:9" s="283" customFormat="1" x14ac:dyDescent="0.45">
      <c r="A40" s="283" t="s">
        <v>286</v>
      </c>
      <c r="B40" s="289"/>
      <c r="C40" s="289"/>
      <c r="I40" s="295"/>
    </row>
    <row r="41" spans="1:9" x14ac:dyDescent="0.45">
      <c r="A41" s="1" t="s">
        <v>285</v>
      </c>
      <c r="B41" s="284">
        <f>D9</f>
        <v>300482.42984539998</v>
      </c>
      <c r="C41" s="271">
        <f>D38</f>
        <v>0.1438272842305717</v>
      </c>
      <c r="D41" s="296">
        <f t="shared" ref="D41:D43" si="0">B41*C41</f>
        <v>43217.571843667167</v>
      </c>
      <c r="E41" s="283" t="s">
        <v>248</v>
      </c>
      <c r="F41" s="283"/>
      <c r="G41" s="283"/>
      <c r="H41" s="283"/>
      <c r="I41" s="295" t="s">
        <v>264</v>
      </c>
    </row>
    <row r="42" spans="1:9" x14ac:dyDescent="0.45">
      <c r="A42" s="1" t="str">
        <f>SAO!C26</f>
        <v>Purchased Power</v>
      </c>
      <c r="B42" s="284">
        <f>SAO!D26</f>
        <v>5377.56</v>
      </c>
      <c r="C42" s="271">
        <f>D38</f>
        <v>0.1438272842305717</v>
      </c>
      <c r="D42" s="296">
        <f t="shared" si="0"/>
        <v>773.43985058695318</v>
      </c>
      <c r="E42" s="283" t="s">
        <v>249</v>
      </c>
      <c r="F42" s="283"/>
      <c r="G42" s="283"/>
      <c r="H42" s="283"/>
      <c r="I42" s="295" t="s">
        <v>264</v>
      </c>
    </row>
    <row r="43" spans="1:9" ht="16.5" x14ac:dyDescent="0.75">
      <c r="A43" s="1" t="str">
        <f>SAO!C27</f>
        <v>Chemicals</v>
      </c>
      <c r="B43" s="7">
        <f>SAO!D27</f>
        <v>0</v>
      </c>
      <c r="C43" s="272">
        <f>D38</f>
        <v>0.1438272842305717</v>
      </c>
      <c r="D43" s="297">
        <f t="shared" si="0"/>
        <v>0</v>
      </c>
      <c r="E43" s="283" t="s">
        <v>250</v>
      </c>
      <c r="F43" s="283"/>
      <c r="G43" s="283"/>
      <c r="H43" s="283"/>
      <c r="I43" s="295" t="s">
        <v>264</v>
      </c>
    </row>
    <row r="44" spans="1:9" x14ac:dyDescent="0.45">
      <c r="A44" s="283" t="s">
        <v>226</v>
      </c>
      <c r="B44" s="289"/>
      <c r="C44" s="290"/>
      <c r="D44" s="291">
        <f>SUM(D41:D43)</f>
        <v>43991.011694254121</v>
      </c>
    </row>
    <row r="45" spans="1:9" x14ac:dyDescent="0.45">
      <c r="A45" s="283"/>
      <c r="B45" s="289"/>
      <c r="C45" s="290"/>
      <c r="D45" s="291"/>
    </row>
    <row r="46" spans="1:9" x14ac:dyDescent="0.45">
      <c r="C46" s="250"/>
      <c r="D46" s="274"/>
    </row>
    <row r="47" spans="1:9" x14ac:dyDescent="0.45">
      <c r="A47" s="283" t="s">
        <v>259</v>
      </c>
      <c r="C47" s="250"/>
      <c r="D47" s="274"/>
    </row>
    <row r="48" spans="1:9" x14ac:dyDescent="0.45">
      <c r="A48" s="1" t="s">
        <v>226</v>
      </c>
      <c r="C48" s="250"/>
      <c r="D48" s="274">
        <f>D44</f>
        <v>43991.011694254121</v>
      </c>
    </row>
    <row r="49" spans="1:4" ht="16.5" x14ac:dyDescent="0.75">
      <c r="A49" s="1" t="s">
        <v>229</v>
      </c>
      <c r="C49" s="6"/>
      <c r="D49" s="273">
        <f>ExBA!C21</f>
        <v>7045</v>
      </c>
    </row>
    <row r="50" spans="1:4" x14ac:dyDescent="0.45">
      <c r="A50" s="283" t="s">
        <v>227</v>
      </c>
      <c r="B50" s="289"/>
      <c r="C50" s="290"/>
      <c r="D50" s="286">
        <f>D48/D49</f>
        <v>6.2442883881127216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C0D6-2302-48ED-B904-2D2B0DBF084B}">
  <dimension ref="A1:L30"/>
  <sheetViews>
    <sheetView tabSelected="1" topLeftCell="A6" workbookViewId="0">
      <selection activeCell="E31" sqref="E31"/>
    </sheetView>
  </sheetViews>
  <sheetFormatPr defaultRowHeight="15" x14ac:dyDescent="0.4"/>
  <cols>
    <col min="1" max="1" width="20.38671875" customWidth="1"/>
  </cols>
  <sheetData>
    <row r="1" spans="1:12" ht="15.4" x14ac:dyDescent="0.45">
      <c r="A1" s="355" t="s">
        <v>308</v>
      </c>
    </row>
    <row r="2" spans="1:12" ht="15.4" x14ac:dyDescent="0.45">
      <c r="A2" s="283" t="s">
        <v>258</v>
      </c>
      <c r="B2" s="7"/>
      <c r="C2" s="7"/>
      <c r="D2" s="1"/>
      <c r="E2" s="1"/>
      <c r="F2" s="1"/>
    </row>
    <row r="3" spans="1:12" ht="15.4" x14ac:dyDescent="0.45">
      <c r="A3" s="283"/>
      <c r="B3" s="7"/>
      <c r="C3" s="7"/>
      <c r="D3" s="1"/>
      <c r="E3" s="1"/>
      <c r="F3" s="1"/>
    </row>
    <row r="4" spans="1:12" ht="17.649999999999999" x14ac:dyDescent="0.75">
      <c r="A4" s="283"/>
      <c r="B4" s="27"/>
      <c r="C4" s="356" t="s">
        <v>312</v>
      </c>
      <c r="D4" s="1"/>
      <c r="F4" s="357" t="s">
        <v>310</v>
      </c>
      <c r="I4" s="358" t="s">
        <v>311</v>
      </c>
      <c r="L4" s="358" t="s">
        <v>313</v>
      </c>
    </row>
    <row r="5" spans="1:12" ht="15.4" x14ac:dyDescent="0.45">
      <c r="A5" s="1" t="s">
        <v>160</v>
      </c>
      <c r="B5" s="7"/>
      <c r="C5" s="7">
        <v>0</v>
      </c>
      <c r="D5" s="1"/>
      <c r="E5" s="1"/>
      <c r="F5" s="7">
        <v>0</v>
      </c>
      <c r="H5" s="1"/>
      <c r="I5" s="7">
        <v>0</v>
      </c>
      <c r="K5" s="1"/>
      <c r="L5" s="7">
        <v>0</v>
      </c>
    </row>
    <row r="6" spans="1:12" ht="15.4" x14ac:dyDescent="0.45">
      <c r="A6" s="1" t="s">
        <v>161</v>
      </c>
      <c r="B6" s="7"/>
      <c r="C6" s="5">
        <v>79819</v>
      </c>
      <c r="D6" s="1"/>
      <c r="E6" s="7"/>
      <c r="F6" s="5">
        <f>79819/0.992</f>
        <v>80462.701612903227</v>
      </c>
      <c r="H6" s="7"/>
      <c r="I6" s="5">
        <f>79819/0.954</f>
        <v>83667.714884696019</v>
      </c>
      <c r="K6" s="7"/>
      <c r="L6" s="5">
        <f>79819/0.948</f>
        <v>84197.257383966251</v>
      </c>
    </row>
    <row r="7" spans="1:12" ht="15.4" x14ac:dyDescent="0.45">
      <c r="A7" s="1" t="s">
        <v>162</v>
      </c>
      <c r="B7" s="7"/>
      <c r="C7" s="7">
        <f>C5+C6</f>
        <v>79819</v>
      </c>
      <c r="D7" s="1"/>
      <c r="E7" s="7"/>
      <c r="F7" s="7">
        <f>F5+F6</f>
        <v>80462.701612903227</v>
      </c>
      <c r="H7" s="7"/>
      <c r="I7" s="7">
        <f>I5+I6</f>
        <v>83667.714884696019</v>
      </c>
      <c r="K7" s="7"/>
      <c r="L7" s="7">
        <f>L5+L6</f>
        <v>84197.257383966251</v>
      </c>
    </row>
    <row r="8" spans="1:12" ht="15.4" x14ac:dyDescent="0.45">
      <c r="A8" s="1"/>
      <c r="B8" s="7"/>
      <c r="C8" s="7"/>
      <c r="D8" s="1"/>
      <c r="E8" s="7"/>
      <c r="F8" s="7"/>
      <c r="H8" s="7"/>
      <c r="I8" s="7"/>
      <c r="K8" s="7"/>
      <c r="L8" s="7"/>
    </row>
    <row r="9" spans="1:12" ht="15.4" x14ac:dyDescent="0.45">
      <c r="A9" s="1" t="s">
        <v>155</v>
      </c>
      <c r="B9" s="7"/>
      <c r="C9" s="7">
        <v>55806</v>
      </c>
      <c r="D9" s="1"/>
      <c r="E9" s="7"/>
      <c r="F9" s="7">
        <v>55806</v>
      </c>
      <c r="H9" s="7"/>
      <c r="I9" s="7">
        <v>55806</v>
      </c>
      <c r="K9" s="7"/>
      <c r="L9" s="7">
        <v>55806</v>
      </c>
    </row>
    <row r="10" spans="1:12" ht="15.4" x14ac:dyDescent="0.45">
      <c r="A10" s="1"/>
      <c r="B10" s="7"/>
      <c r="C10" s="7"/>
      <c r="D10" s="1"/>
      <c r="E10" s="7"/>
      <c r="F10" s="7"/>
      <c r="H10" s="7"/>
      <c r="I10" s="7"/>
      <c r="K10" s="7"/>
      <c r="L10" s="7"/>
    </row>
    <row r="11" spans="1:12" ht="15.4" x14ac:dyDescent="0.45">
      <c r="A11" s="1" t="s">
        <v>156</v>
      </c>
      <c r="B11" s="7"/>
      <c r="C11" s="7"/>
      <c r="D11" s="1"/>
      <c r="E11" s="7"/>
      <c r="F11" s="7"/>
      <c r="H11" s="7"/>
      <c r="I11" s="7"/>
      <c r="K11" s="7"/>
      <c r="L11" s="7"/>
    </row>
    <row r="12" spans="1:12" ht="15.4" x14ac:dyDescent="0.45">
      <c r="A12" s="1" t="s">
        <v>165</v>
      </c>
      <c r="B12" s="7">
        <v>0</v>
      </c>
      <c r="C12" s="7"/>
      <c r="D12" s="1"/>
      <c r="E12" s="7">
        <v>0</v>
      </c>
      <c r="F12" s="7"/>
      <c r="H12" s="7">
        <v>0</v>
      </c>
      <c r="I12" s="7"/>
      <c r="K12" s="7">
        <v>0</v>
      </c>
      <c r="L12" s="7"/>
    </row>
    <row r="13" spans="1:12" ht="15.4" x14ac:dyDescent="0.45">
      <c r="A13" s="1" t="s">
        <v>166</v>
      </c>
      <c r="B13" s="7">
        <v>550</v>
      </c>
      <c r="C13" s="7"/>
      <c r="D13" s="1"/>
      <c r="E13" s="7">
        <v>550</v>
      </c>
      <c r="F13" s="7"/>
      <c r="H13" s="7">
        <v>550</v>
      </c>
      <c r="I13" s="7"/>
      <c r="K13" s="7">
        <v>550</v>
      </c>
      <c r="L13" s="7"/>
    </row>
    <row r="14" spans="1:12" ht="15.4" x14ac:dyDescent="0.45">
      <c r="A14" s="1" t="s">
        <v>167</v>
      </c>
      <c r="B14" s="7">
        <v>10</v>
      </c>
      <c r="C14" s="7"/>
      <c r="D14" s="1"/>
      <c r="E14" s="7">
        <v>10</v>
      </c>
      <c r="F14" s="7"/>
      <c r="H14" s="7">
        <v>10</v>
      </c>
      <c r="I14" s="7"/>
      <c r="K14" s="7">
        <v>10</v>
      </c>
      <c r="L14" s="7"/>
    </row>
    <row r="15" spans="1:12" ht="15.4" x14ac:dyDescent="0.45">
      <c r="A15" s="1" t="s">
        <v>168</v>
      </c>
      <c r="B15" s="7">
        <v>0</v>
      </c>
      <c r="C15" s="7"/>
      <c r="D15" s="1"/>
      <c r="E15" s="7">
        <v>0</v>
      </c>
      <c r="F15" s="7"/>
      <c r="H15" s="7">
        <v>0</v>
      </c>
      <c r="I15" s="7"/>
      <c r="K15" s="7">
        <v>0</v>
      </c>
      <c r="L15" s="7"/>
    </row>
    <row r="16" spans="1:12" ht="15.4" x14ac:dyDescent="0.45">
      <c r="A16" s="1" t="s">
        <v>163</v>
      </c>
      <c r="B16" s="7"/>
      <c r="C16" s="7">
        <f>SUM(B12:B15)</f>
        <v>560</v>
      </c>
      <c r="D16" s="1"/>
      <c r="E16" s="7"/>
      <c r="F16" s="7">
        <f>SUM(E12:E15)</f>
        <v>560</v>
      </c>
      <c r="H16" s="7"/>
      <c r="I16" s="7">
        <f>SUM(H12:H15)</f>
        <v>560</v>
      </c>
      <c r="K16" s="7"/>
      <c r="L16" s="7">
        <f>SUM(K12:K15)</f>
        <v>560</v>
      </c>
    </row>
    <row r="17" spans="1:12" ht="15.4" x14ac:dyDescent="0.45">
      <c r="A17" s="1"/>
      <c r="B17" s="7"/>
      <c r="C17" s="7"/>
      <c r="D17" s="1"/>
      <c r="E17" s="7"/>
      <c r="F17" s="7"/>
      <c r="H17" s="7"/>
      <c r="I17" s="7"/>
      <c r="K17" s="7"/>
      <c r="L17" s="7"/>
    </row>
    <row r="18" spans="1:12" ht="15.4" x14ac:dyDescent="0.45">
      <c r="A18" s="1" t="s">
        <v>164</v>
      </c>
      <c r="B18" s="7"/>
      <c r="C18" s="7"/>
      <c r="D18" s="1"/>
      <c r="E18" s="7"/>
      <c r="F18" s="7"/>
      <c r="H18" s="7"/>
      <c r="I18" s="7"/>
      <c r="K18" s="7"/>
      <c r="L18" s="7"/>
    </row>
    <row r="19" spans="1:12" ht="15.4" x14ac:dyDescent="0.45">
      <c r="A19" s="1" t="s">
        <v>169</v>
      </c>
      <c r="B19" s="7">
        <v>0</v>
      </c>
      <c r="C19" s="7"/>
      <c r="D19" s="1"/>
      <c r="E19" s="7">
        <v>0</v>
      </c>
      <c r="F19" s="7"/>
      <c r="H19" s="7">
        <v>0</v>
      </c>
      <c r="I19" s="7"/>
      <c r="K19" s="7">
        <v>0</v>
      </c>
      <c r="L19" s="7"/>
    </row>
    <row r="20" spans="1:12" ht="15.4" x14ac:dyDescent="0.45">
      <c r="A20" s="1" t="s">
        <v>170</v>
      </c>
      <c r="B20" s="7">
        <v>1990</v>
      </c>
      <c r="C20" s="7"/>
      <c r="D20" s="1"/>
      <c r="E20" s="7">
        <v>1990</v>
      </c>
      <c r="F20" s="7"/>
      <c r="H20" s="7">
        <v>1990</v>
      </c>
      <c r="I20" s="7"/>
      <c r="K20" s="7">
        <v>1990</v>
      </c>
      <c r="L20" s="7"/>
    </row>
    <row r="21" spans="1:12" ht="15.4" x14ac:dyDescent="0.45">
      <c r="A21" s="1" t="s">
        <v>171</v>
      </c>
      <c r="B21" s="7">
        <v>0</v>
      </c>
      <c r="C21" s="7"/>
      <c r="D21" s="1"/>
      <c r="E21" s="7">
        <v>0</v>
      </c>
      <c r="F21" s="7"/>
      <c r="H21" s="7">
        <v>0</v>
      </c>
      <c r="I21" s="7"/>
      <c r="K21" s="7">
        <v>0</v>
      </c>
      <c r="L21" s="7"/>
    </row>
    <row r="22" spans="1:12" ht="15.4" x14ac:dyDescent="0.45">
      <c r="A22" s="1" t="s">
        <v>233</v>
      </c>
      <c r="B22" s="7">
        <v>500</v>
      </c>
      <c r="C22" s="7"/>
      <c r="D22" s="1"/>
      <c r="E22" s="7">
        <v>500</v>
      </c>
      <c r="F22" s="7"/>
      <c r="H22" s="7">
        <v>500</v>
      </c>
      <c r="I22" s="7"/>
      <c r="K22" s="7">
        <v>500</v>
      </c>
      <c r="L22" s="7"/>
    </row>
    <row r="23" spans="1:12" ht="15.4" x14ac:dyDescent="0.45">
      <c r="A23" s="1" t="s">
        <v>172</v>
      </c>
      <c r="B23" s="7">
        <f>C7-C9-C16-B20-B22</f>
        <v>20963</v>
      </c>
      <c r="C23" s="7"/>
      <c r="D23" s="1"/>
      <c r="E23" s="7">
        <f>F7-F9-F16-E20-E22</f>
        <v>21606.701612903227</v>
      </c>
      <c r="F23" s="7"/>
      <c r="H23" s="7">
        <f>I7-I9-I16-H20-H22</f>
        <v>24811.714884696019</v>
      </c>
      <c r="I23" s="7"/>
      <c r="K23" s="7">
        <f>L7-L9-L16-K20-K22</f>
        <v>25341.257383966251</v>
      </c>
      <c r="L23" s="7"/>
    </row>
    <row r="24" spans="1:12" ht="15.4" x14ac:dyDescent="0.45">
      <c r="A24" s="1" t="s">
        <v>173</v>
      </c>
      <c r="B24" s="7"/>
      <c r="C24" s="5">
        <f>SUM(B19:B23)</f>
        <v>23453</v>
      </c>
      <c r="D24" s="1"/>
      <c r="E24" s="7"/>
      <c r="F24" s="5">
        <f>SUM(E19:E23)</f>
        <v>24096.701612903227</v>
      </c>
      <c r="H24" s="7"/>
      <c r="I24" s="5">
        <f>SUM(H19:H23)</f>
        <v>27301.714884696019</v>
      </c>
      <c r="K24" s="7"/>
      <c r="L24" s="5">
        <f>SUM(K19:K23)</f>
        <v>27831.257383966251</v>
      </c>
    </row>
    <row r="25" spans="1:12" ht="15.4" x14ac:dyDescent="0.45">
      <c r="A25" s="1" t="s">
        <v>174</v>
      </c>
      <c r="B25" s="7"/>
      <c r="C25" s="7">
        <f>C9+C16+C24</f>
        <v>79819</v>
      </c>
      <c r="D25" s="1"/>
      <c r="E25" s="7"/>
      <c r="F25" s="7">
        <f>F9+F16+F24</f>
        <v>80462.701612903227</v>
      </c>
      <c r="H25" s="7"/>
      <c r="I25" s="7">
        <f>I9+I16+I24</f>
        <v>83667.714884696019</v>
      </c>
      <c r="K25" s="7"/>
      <c r="L25" s="7">
        <f>L9+L16+L24</f>
        <v>84197.257383966251</v>
      </c>
    </row>
    <row r="26" spans="1:12" ht="15.4" x14ac:dyDescent="0.45">
      <c r="A26" s="1"/>
      <c r="B26" s="7"/>
      <c r="C26" s="7"/>
      <c r="D26" s="1"/>
      <c r="E26" s="7"/>
      <c r="F26" s="7"/>
      <c r="H26" s="7"/>
      <c r="I26" s="7"/>
      <c r="K26" s="7"/>
      <c r="L26" s="7"/>
    </row>
    <row r="27" spans="1:12" ht="15.4" x14ac:dyDescent="0.45">
      <c r="A27" s="1" t="s">
        <v>309</v>
      </c>
      <c r="B27" s="7"/>
      <c r="C27" s="55">
        <f>C24/C7</f>
        <v>0.29382728423057169</v>
      </c>
      <c r="D27" s="1"/>
      <c r="E27" s="7"/>
      <c r="F27" s="55">
        <f>F24/F7</f>
        <v>0.29947666595672712</v>
      </c>
      <c r="H27" s="7"/>
      <c r="I27" s="55">
        <f>I24/I7</f>
        <v>0.32631122915596539</v>
      </c>
      <c r="K27" s="7"/>
      <c r="L27" s="55">
        <f>L24/L7</f>
        <v>0.33054826545058197</v>
      </c>
    </row>
    <row r="28" spans="1:12" ht="15.4" x14ac:dyDescent="0.45">
      <c r="L28" s="359"/>
    </row>
    <row r="30" spans="1:12" ht="15.4" x14ac:dyDescent="0.45">
      <c r="B30" s="361"/>
      <c r="L30" s="360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H26"/>
  <sheetViews>
    <sheetView showGridLines="0" workbookViewId="0">
      <selection activeCell="B1" sqref="B1:I27"/>
    </sheetView>
  </sheetViews>
  <sheetFormatPr defaultColWidth="8.88671875" defaultRowHeight="14.25" x14ac:dyDescent="0.45"/>
  <cols>
    <col min="1" max="1" width="8.609375" style="29" customWidth="1"/>
    <col min="2" max="2" width="9.6640625" style="29" customWidth="1"/>
    <col min="3" max="3" width="11.109375" style="29" customWidth="1"/>
    <col min="4" max="4" width="8.44140625" style="29" customWidth="1"/>
    <col min="5" max="5" width="9.6640625" style="29" customWidth="1"/>
    <col min="6" max="6" width="9.6640625" style="29" hidden="1" customWidth="1"/>
    <col min="7" max="8" width="9.6640625" style="256" customWidth="1"/>
    <col min="9" max="9" width="2.77734375" style="29" customWidth="1"/>
    <col min="10" max="10" width="8.609375" style="29" customWidth="1"/>
    <col min="11" max="11" width="9.6640625" style="246" customWidth="1"/>
    <col min="12" max="190" width="9.6640625" style="29" customWidth="1"/>
    <col min="191" max="16384" width="8.88671875" style="17"/>
  </cols>
  <sheetData>
    <row r="2" spans="2:13" ht="18" customHeight="1" x14ac:dyDescent="0.55000000000000004">
      <c r="B2" s="332"/>
      <c r="C2" s="333"/>
      <c r="D2" s="333"/>
      <c r="E2" s="333"/>
      <c r="F2" s="333"/>
      <c r="G2" s="333"/>
      <c r="H2" s="333"/>
      <c r="I2" s="334"/>
    </row>
    <row r="3" spans="2:13" ht="18" customHeight="1" x14ac:dyDescent="0.45">
      <c r="B3" s="251"/>
      <c r="G3" s="300"/>
      <c r="H3" s="300"/>
      <c r="I3" s="252"/>
    </row>
    <row r="4" spans="2:13" ht="21" x14ac:dyDescent="0.65">
      <c r="B4" s="337" t="s">
        <v>61</v>
      </c>
      <c r="C4" s="338"/>
      <c r="D4" s="338"/>
      <c r="E4" s="338"/>
      <c r="F4" s="338"/>
      <c r="G4" s="338"/>
      <c r="H4" s="338"/>
      <c r="I4" s="339"/>
    </row>
    <row r="5" spans="2:13" ht="18" customHeight="1" x14ac:dyDescent="0.45">
      <c r="B5" s="340" t="s">
        <v>254</v>
      </c>
      <c r="C5" s="341"/>
      <c r="D5" s="341"/>
      <c r="E5" s="341"/>
      <c r="F5" s="341"/>
      <c r="G5" s="341"/>
      <c r="H5" s="341"/>
      <c r="I5" s="342"/>
    </row>
    <row r="6" spans="2:13" ht="6" customHeight="1" x14ac:dyDescent="0.45">
      <c r="B6" s="251"/>
      <c r="G6" s="300"/>
      <c r="H6" s="300"/>
      <c r="I6" s="252"/>
    </row>
    <row r="7" spans="2:13" x14ac:dyDescent="0.45">
      <c r="B7" s="251"/>
      <c r="G7" s="300"/>
      <c r="H7" s="300"/>
      <c r="I7" s="252"/>
    </row>
    <row r="8" spans="2:13" ht="18" x14ac:dyDescent="0.55000000000000004">
      <c r="B8" s="343" t="s">
        <v>63</v>
      </c>
      <c r="C8" s="344"/>
      <c r="D8" s="344"/>
      <c r="E8" s="344"/>
      <c r="F8" s="344"/>
      <c r="G8" s="344"/>
      <c r="H8" s="298"/>
      <c r="I8" s="265"/>
    </row>
    <row r="9" spans="2:13" ht="6" customHeight="1" x14ac:dyDescent="0.45">
      <c r="B9" s="251"/>
      <c r="G9" s="300"/>
      <c r="H9" s="300"/>
      <c r="I9" s="252"/>
    </row>
    <row r="10" spans="2:13" ht="30.4" customHeight="1" x14ac:dyDescent="0.75">
      <c r="B10" s="335" t="s">
        <v>256</v>
      </c>
      <c r="C10" s="336"/>
      <c r="D10" s="299" t="s">
        <v>288</v>
      </c>
      <c r="E10" s="299" t="s">
        <v>11</v>
      </c>
      <c r="F10" s="299"/>
      <c r="G10" s="345" t="s">
        <v>75</v>
      </c>
      <c r="H10" s="345"/>
      <c r="I10" s="257"/>
    </row>
    <row r="11" spans="2:13" x14ac:dyDescent="0.45">
      <c r="B11" s="31"/>
      <c r="C11" s="30" t="s">
        <v>235</v>
      </c>
      <c r="D11" s="33">
        <v>20.12</v>
      </c>
      <c r="E11" s="34">
        <f>ROUND(D11*(1+SAO!$G$56),2)</f>
        <v>20.12</v>
      </c>
      <c r="F11" s="33" t="e">
        <f>#REF!*(1+#REF!)</f>
        <v>#REF!</v>
      </c>
      <c r="G11" s="263">
        <f>E11-D11</f>
        <v>0</v>
      </c>
      <c r="H11" s="264">
        <f>G11/D11</f>
        <v>0</v>
      </c>
      <c r="I11" s="258"/>
      <c r="L11" s="247"/>
      <c r="M11" s="247"/>
    </row>
    <row r="12" spans="2:13" x14ac:dyDescent="0.45">
      <c r="B12" s="31"/>
      <c r="C12" s="30" t="s">
        <v>236</v>
      </c>
      <c r="D12" s="266">
        <v>6.8700000000000002E-3</v>
      </c>
      <c r="E12" s="268">
        <f>ROUND(D12*(1+SAO!$G$56),5)</f>
        <v>6.8700000000000002E-3</v>
      </c>
      <c r="F12" s="33"/>
      <c r="G12" s="269">
        <f>E12-D12</f>
        <v>0</v>
      </c>
      <c r="H12" s="264">
        <f t="shared" ref="H12:H18" si="0">G12/D12</f>
        <v>0</v>
      </c>
      <c r="I12" s="258"/>
      <c r="L12" s="247"/>
      <c r="M12" s="247"/>
    </row>
    <row r="13" spans="2:13" x14ac:dyDescent="0.45">
      <c r="B13" s="31"/>
      <c r="C13" s="30" t="s">
        <v>237</v>
      </c>
      <c r="D13" s="275">
        <v>5.9699999999999996E-3</v>
      </c>
      <c r="E13" s="268">
        <f>ROUND(D13*(1+SAO!$G$56),5)</f>
        <v>5.9699999999999996E-3</v>
      </c>
      <c r="F13" s="29" t="e">
        <f>#REF!*(1+#REF!)</f>
        <v>#REF!</v>
      </c>
      <c r="G13" s="269">
        <f>E13-D13</f>
        <v>0</v>
      </c>
      <c r="H13" s="264">
        <f t="shared" si="0"/>
        <v>0</v>
      </c>
      <c r="I13" s="252"/>
      <c r="L13" s="247"/>
      <c r="M13" s="247"/>
    </row>
    <row r="14" spans="2:13" x14ac:dyDescent="0.45">
      <c r="B14" s="259"/>
      <c r="D14" s="17"/>
      <c r="G14" s="300"/>
      <c r="H14" s="264"/>
      <c r="I14" s="252"/>
      <c r="L14" s="247"/>
      <c r="M14" s="247"/>
    </row>
    <row r="15" spans="2:13" ht="18" x14ac:dyDescent="0.55000000000000004">
      <c r="B15" s="330" t="s">
        <v>255</v>
      </c>
      <c r="C15" s="331"/>
      <c r="D15" s="331"/>
      <c r="E15" s="331"/>
      <c r="F15" s="331"/>
      <c r="G15" s="331"/>
      <c r="H15" s="264"/>
      <c r="I15" s="252"/>
      <c r="L15" s="247"/>
      <c r="M15" s="247"/>
    </row>
    <row r="16" spans="2:13" ht="6" customHeight="1" x14ac:dyDescent="0.85">
      <c r="B16" s="260"/>
      <c r="C16" s="248"/>
      <c r="G16" s="300"/>
      <c r="H16" s="264"/>
      <c r="I16" s="252"/>
      <c r="L16" s="247"/>
      <c r="M16" s="247"/>
    </row>
    <row r="17" spans="2:13" ht="30.4" customHeight="1" x14ac:dyDescent="0.75">
      <c r="B17" s="335" t="s">
        <v>256</v>
      </c>
      <c r="C17" s="336"/>
      <c r="D17" s="299" t="s">
        <v>288</v>
      </c>
      <c r="E17" s="299" t="s">
        <v>11</v>
      </c>
      <c r="G17" s="345" t="s">
        <v>75</v>
      </c>
      <c r="H17" s="345"/>
      <c r="I17" s="252"/>
      <c r="L17" s="247"/>
      <c r="M17" s="247"/>
    </row>
    <row r="18" spans="2:13" ht="15" customHeight="1" x14ac:dyDescent="0.85">
      <c r="B18" s="260"/>
      <c r="C18" s="32" t="s">
        <v>84</v>
      </c>
      <c r="D18" s="267">
        <v>6.4999999999999997E-3</v>
      </c>
      <c r="E18" s="268">
        <f>ROUND(D18*(1+SAO!$G$56),5)</f>
        <v>6.4999999999999997E-3</v>
      </c>
      <c r="G18" s="270">
        <f>E18-D18</f>
        <v>0</v>
      </c>
      <c r="H18" s="264">
        <f t="shared" si="0"/>
        <v>0</v>
      </c>
      <c r="I18" s="252"/>
      <c r="J18" s="17"/>
      <c r="K18" s="80"/>
      <c r="L18" s="247"/>
      <c r="M18" s="247"/>
    </row>
    <row r="19" spans="2:13" ht="15" customHeight="1" x14ac:dyDescent="0.85">
      <c r="B19" s="260"/>
      <c r="C19" s="32"/>
      <c r="D19" s="34"/>
      <c r="E19" s="34"/>
      <c r="G19" s="300"/>
      <c r="H19" s="264"/>
      <c r="I19" s="252"/>
      <c r="J19" s="17"/>
    </row>
    <row r="20" spans="2:13" ht="18" x14ac:dyDescent="0.55000000000000004">
      <c r="B20" s="328" t="s">
        <v>223</v>
      </c>
      <c r="C20" s="329"/>
      <c r="D20" s="329"/>
      <c r="E20" s="329"/>
      <c r="F20" s="329"/>
      <c r="G20" s="329"/>
      <c r="H20" s="264"/>
      <c r="I20" s="252"/>
    </row>
    <row r="21" spans="2:13" x14ac:dyDescent="0.45">
      <c r="B21" s="251"/>
      <c r="G21" s="300"/>
      <c r="H21" s="264"/>
      <c r="I21" s="252"/>
    </row>
    <row r="22" spans="2:13" ht="16.5" x14ac:dyDescent="0.75">
      <c r="B22" s="326" t="s">
        <v>224</v>
      </c>
      <c r="C22" s="327"/>
      <c r="D22" s="299" t="s">
        <v>62</v>
      </c>
      <c r="E22" s="299" t="s">
        <v>11</v>
      </c>
      <c r="G22" s="345" t="s">
        <v>75</v>
      </c>
      <c r="H22" s="345"/>
      <c r="I22" s="252"/>
    </row>
    <row r="23" spans="2:13" x14ac:dyDescent="0.45">
      <c r="B23" s="326" t="s">
        <v>225</v>
      </c>
      <c r="C23" s="327"/>
      <c r="D23" s="301">
        <v>0</v>
      </c>
      <c r="E23" s="301">
        <f>'Purchased Water'!D50</f>
        <v>6.2442883881127216</v>
      </c>
      <c r="G23" s="263">
        <f>E23-D23</f>
        <v>6.2442883881127216</v>
      </c>
      <c r="H23" s="264">
        <v>1</v>
      </c>
      <c r="I23" s="252"/>
    </row>
    <row r="24" spans="2:13" x14ac:dyDescent="0.45">
      <c r="B24" s="305"/>
      <c r="C24" s="306"/>
      <c r="D24" s="301"/>
      <c r="E24" s="301"/>
      <c r="G24" s="263"/>
      <c r="H24" s="264"/>
      <c r="I24" s="252"/>
    </row>
    <row r="25" spans="2:13" x14ac:dyDescent="0.45">
      <c r="B25" s="311" t="s">
        <v>294</v>
      </c>
      <c r="C25" s="306"/>
      <c r="D25" s="301"/>
      <c r="E25" s="301"/>
      <c r="G25" s="263"/>
      <c r="H25" s="264"/>
      <c r="I25" s="252"/>
    </row>
    <row r="26" spans="2:13" x14ac:dyDescent="0.45">
      <c r="B26" s="302"/>
      <c r="C26" s="261"/>
      <c r="D26" s="261"/>
      <c r="E26" s="261"/>
      <c r="F26" s="261"/>
      <c r="G26" s="303"/>
      <c r="H26" s="303"/>
      <c r="I26" s="262"/>
    </row>
  </sheetData>
  <mergeCells count="13">
    <mergeCell ref="B22:C22"/>
    <mergeCell ref="B23:C23"/>
    <mergeCell ref="B20:G20"/>
    <mergeCell ref="B15:G15"/>
    <mergeCell ref="B2:I2"/>
    <mergeCell ref="B17:C17"/>
    <mergeCell ref="B4:I4"/>
    <mergeCell ref="B5:I5"/>
    <mergeCell ref="B10:C10"/>
    <mergeCell ref="B8:G8"/>
    <mergeCell ref="G10:H10"/>
    <mergeCell ref="G17:H17"/>
    <mergeCell ref="G22:H22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SAO</vt:lpstr>
      <vt:lpstr>Wages</vt:lpstr>
      <vt:lpstr>Medical</vt:lpstr>
      <vt:lpstr>Debt Service</vt:lpstr>
      <vt:lpstr>Depreciation</vt:lpstr>
      <vt:lpstr>Capital</vt:lpstr>
      <vt:lpstr>Purchased Water</vt:lpstr>
      <vt:lpstr>Meter Test</vt:lpstr>
      <vt:lpstr>Rates</vt:lpstr>
      <vt:lpstr>Bills</vt:lpstr>
      <vt:lpstr>Bills with Surcharge</vt:lpstr>
      <vt:lpstr>ExBA</vt:lpstr>
      <vt:lpstr>PrBA</vt:lpstr>
      <vt:lpstr>Bills!Print_Area</vt:lpstr>
      <vt:lpstr>'Debt Service'!Print_Area</vt:lpstr>
      <vt:lpstr>Depreciation!Print_Area</vt:lpstr>
      <vt:lpstr>ExBA!Print_Area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2022-03-04T20:51:14Z</cp:lastPrinted>
  <dcterms:created xsi:type="dcterms:W3CDTF">2016-05-18T14:12:06Z</dcterms:created>
  <dcterms:modified xsi:type="dcterms:W3CDTF">2022-06-07T22:36:25Z</dcterms:modified>
</cp:coreProperties>
</file>