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Jessamine-South Elkhorn WD/"/>
    </mc:Choice>
  </mc:AlternateContent>
  <xr:revisionPtr revIDLastSave="9" documentId="8_{442215CD-0D6A-4591-8826-A162828B8CD0}" xr6:coauthVersionLast="47" xr6:coauthVersionMax="47" xr10:uidLastSave="{6697B05F-B1FC-4588-9416-43C5989FFC32}"/>
  <bookViews>
    <workbookView xWindow="-98" yWindow="-98" windowWidth="20715" windowHeight="13155" firstSheet="4" activeTab="6" xr2:uid="{F765FA49-964A-4F34-AB33-4C5CF4FBE6A8}"/>
  </bookViews>
  <sheets>
    <sheet name="SAOw" sheetId="3" r:id="rId1"/>
    <sheet name="SAOs" sheetId="23" r:id="rId2"/>
    <sheet name="Wages" sheetId="29" r:id="rId3"/>
    <sheet name="Medical" sheetId="30" r:id="rId4"/>
    <sheet name="Water Loss" sheetId="31" r:id="rId5"/>
    <sheet name="Depreciation" sheetId="1" r:id="rId6"/>
    <sheet name="Debt Service" sheetId="5" r:id="rId7"/>
    <sheet name="Penalties" sheetId="32" r:id="rId8"/>
    <sheet name="ExBAw" sheetId="10" r:id="rId9"/>
    <sheet name="ExBAs" sheetId="25" r:id="rId10"/>
    <sheet name="RatesW" sheetId="2" r:id="rId11"/>
    <sheet name="RatesS" sheetId="26" r:id="rId12"/>
    <sheet name="Bills" sheetId="21" r:id="rId13"/>
    <sheet name="Bills with SE Surcharge" sheetId="27" r:id="rId14"/>
    <sheet name="PropBAw" sheetId="15" r:id="rId15"/>
    <sheet name="PropBAs" sheetId="24" r:id="rId16"/>
  </sheets>
  <definedNames>
    <definedName name="_xlnm.Print_Area" localSheetId="12">Bills!$B$2:$H$56</definedName>
    <definedName name="_xlnm.Print_Area" localSheetId="6">'Debt Service'!$B$2:$N$35</definedName>
    <definedName name="_xlnm.Print_Area" localSheetId="5">Depreciation!$B$2:$L$50</definedName>
    <definedName name="_xlnm.Print_Area" localSheetId="9">ExBAs!$A$1:$G$25</definedName>
    <definedName name="_xlnm.Print_Area" localSheetId="8">ExBAw!$A$1:$K$67</definedName>
    <definedName name="_xlnm.Print_Area" localSheetId="14">PropBAw!$A$1:$K$67</definedName>
    <definedName name="_xlnm.Print_Area" localSheetId="11">RatesS!$A$1:$P$16</definedName>
    <definedName name="_xlnm.Print_Area" localSheetId="10">RatesW!$A$1:$P$31</definedName>
    <definedName name="_xlnm.Print_Area" localSheetId="1">SAOs!$A$1:$G$48</definedName>
    <definedName name="_xlnm.Print_Area" localSheetId="0">SAOw!$A$1:$G$52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G32" i="23"/>
  <c r="E32" i="23"/>
  <c r="G31" i="23"/>
  <c r="D32" i="23"/>
  <c r="E36" i="3"/>
  <c r="G35" i="3"/>
  <c r="G36" i="3" s="1"/>
  <c r="D36" i="3"/>
  <c r="E9" i="23" l="1"/>
  <c r="G9" i="23" s="1"/>
  <c r="E10" i="23"/>
  <c r="G10" i="23" s="1"/>
  <c r="D11" i="23"/>
  <c r="E13" i="3"/>
  <c r="E11" i="3"/>
  <c r="E28" i="23"/>
  <c r="E23" i="3"/>
  <c r="G43" i="23" l="1"/>
  <c r="F31" i="29"/>
  <c r="F33" i="29" s="1"/>
  <c r="F35" i="29" s="1"/>
  <c r="F37" i="29"/>
  <c r="F36" i="29"/>
  <c r="G16" i="30"/>
  <c r="G15" i="30"/>
  <c r="J15" i="30" s="1"/>
  <c r="G14" i="30"/>
  <c r="J14" i="30" s="1"/>
  <c r="G13" i="30"/>
  <c r="J13" i="30" s="1"/>
  <c r="D16" i="30"/>
  <c r="E16" i="30" s="1"/>
  <c r="D15" i="30"/>
  <c r="E15" i="30" s="1"/>
  <c r="D14" i="30"/>
  <c r="E14" i="30" s="1"/>
  <c r="D13" i="30"/>
  <c r="E13" i="30" s="1"/>
  <c r="G9" i="30"/>
  <c r="J9" i="30" s="1"/>
  <c r="G8" i="30"/>
  <c r="J8" i="30" s="1"/>
  <c r="G7" i="30"/>
  <c r="J7" i="30" s="1"/>
  <c r="G6" i="30"/>
  <c r="J6" i="30" s="1"/>
  <c r="D9" i="30"/>
  <c r="E9" i="30" s="1"/>
  <c r="D8" i="30"/>
  <c r="E8" i="30" s="1"/>
  <c r="H8" i="30" s="1"/>
  <c r="D7" i="30"/>
  <c r="E7" i="30" s="1"/>
  <c r="D6" i="30"/>
  <c r="E6" i="30" s="1"/>
  <c r="H6" i="30" s="1"/>
  <c r="C10" i="30"/>
  <c r="B10" i="30"/>
  <c r="F38" i="29" l="1"/>
  <c r="F39" i="29"/>
  <c r="H9" i="30"/>
  <c r="K9" i="30" s="1"/>
  <c r="H15" i="30"/>
  <c r="K15" i="30" s="1"/>
  <c r="G17" i="30"/>
  <c r="H16" i="30"/>
  <c r="H7" i="30"/>
  <c r="H13" i="30"/>
  <c r="H17" i="30" s="1"/>
  <c r="H14" i="30"/>
  <c r="K14" i="30" s="1"/>
  <c r="J16" i="30"/>
  <c r="K16" i="30" s="1"/>
  <c r="K6" i="30"/>
  <c r="J10" i="30"/>
  <c r="G10" i="30"/>
  <c r="H10" i="30" l="1"/>
  <c r="K10" i="30"/>
  <c r="K19" i="30" s="1"/>
  <c r="J17" i="30"/>
  <c r="K13" i="30"/>
  <c r="K17" i="30" s="1"/>
  <c r="K22" i="30" l="1"/>
  <c r="E22" i="3" s="1"/>
  <c r="K25" i="30"/>
  <c r="E27" i="23" s="1"/>
  <c r="G28" i="23" s="1"/>
  <c r="H10" i="29"/>
  <c r="F27" i="29"/>
  <c r="F26" i="29"/>
  <c r="E2" i="29" l="1"/>
  <c r="I9" i="29"/>
  <c r="E9" i="29"/>
  <c r="I8" i="29"/>
  <c r="E8" i="29"/>
  <c r="I7" i="29"/>
  <c r="E7" i="29"/>
  <c r="I6" i="29"/>
  <c r="E6" i="29"/>
  <c r="E10" i="29" s="1"/>
  <c r="I5" i="29"/>
  <c r="E5" i="29"/>
  <c r="I4" i="29"/>
  <c r="E4" i="29"/>
  <c r="I3" i="29"/>
  <c r="E3" i="29"/>
  <c r="I2" i="29"/>
  <c r="I10" i="29" s="1"/>
  <c r="G10" i="29" l="1"/>
  <c r="F10" i="29"/>
  <c r="J7" i="29"/>
  <c r="J3" i="29"/>
  <c r="J5" i="29"/>
  <c r="J4" i="29"/>
  <c r="J8" i="29"/>
  <c r="J6" i="29"/>
  <c r="D10" i="29"/>
  <c r="J9" i="29"/>
  <c r="J2" i="29"/>
  <c r="D36" i="31"/>
  <c r="B31" i="31"/>
  <c r="D31" i="31" s="1"/>
  <c r="B30" i="31"/>
  <c r="D30" i="31" s="1"/>
  <c r="B29" i="31"/>
  <c r="D29" i="31" s="1"/>
  <c r="D24" i="31"/>
  <c r="C21" i="31"/>
  <c r="C20" i="31"/>
  <c r="C13" i="31"/>
  <c r="C4" i="31"/>
  <c r="H66" i="1"/>
  <c r="F66" i="1"/>
  <c r="J64" i="1"/>
  <c r="K64" i="1" s="1"/>
  <c r="J62" i="1"/>
  <c r="K62" i="1" s="1"/>
  <c r="J60" i="1"/>
  <c r="K60" i="1" s="1"/>
  <c r="J58" i="1"/>
  <c r="K58" i="1" s="1"/>
  <c r="J56" i="1"/>
  <c r="K56" i="1" s="1"/>
  <c r="J55" i="1"/>
  <c r="K55" i="1" s="1"/>
  <c r="J54" i="1"/>
  <c r="K54" i="1" s="1"/>
  <c r="J42" i="1"/>
  <c r="K42" i="1" s="1"/>
  <c r="J37" i="1"/>
  <c r="K37" i="1" s="1"/>
  <c r="J33" i="1"/>
  <c r="K33" i="1" s="1"/>
  <c r="J32" i="1"/>
  <c r="K32" i="1" s="1"/>
  <c r="J31" i="1"/>
  <c r="K31" i="1" s="1"/>
  <c r="J16" i="1"/>
  <c r="K16" i="1" s="1"/>
  <c r="J14" i="1"/>
  <c r="K14" i="1" s="1"/>
  <c r="H48" i="1"/>
  <c r="F48" i="1"/>
  <c r="D42" i="27"/>
  <c r="D41" i="27"/>
  <c r="D40" i="27"/>
  <c r="D39" i="27"/>
  <c r="D38" i="27"/>
  <c r="D37" i="27"/>
  <c r="D36" i="27"/>
  <c r="D35" i="27"/>
  <c r="D32" i="27"/>
  <c r="D31" i="27"/>
  <c r="D30" i="27"/>
  <c r="D29" i="27"/>
  <c r="D28" i="27"/>
  <c r="D27" i="27"/>
  <c r="D26" i="27"/>
  <c r="D25" i="27"/>
  <c r="D24" i="27"/>
  <c r="D21" i="27"/>
  <c r="D20" i="27"/>
  <c r="D19" i="27"/>
  <c r="D18" i="27"/>
  <c r="D17" i="27"/>
  <c r="D16" i="27"/>
  <c r="D15" i="27"/>
  <c r="D14" i="27"/>
  <c r="D13" i="27"/>
  <c r="D53" i="27"/>
  <c r="D52" i="27"/>
  <c r="D51" i="27"/>
  <c r="D50" i="27"/>
  <c r="D49" i="27"/>
  <c r="D48" i="27"/>
  <c r="D47" i="27"/>
  <c r="D46" i="27"/>
  <c r="D45" i="27"/>
  <c r="D31" i="21"/>
  <c r="D30" i="21"/>
  <c r="D29" i="21"/>
  <c r="D28" i="21"/>
  <c r="D27" i="21"/>
  <c r="D26" i="21"/>
  <c r="D25" i="21"/>
  <c r="D24" i="21"/>
  <c r="D23" i="21"/>
  <c r="D40" i="21"/>
  <c r="D41" i="21"/>
  <c r="D39" i="21"/>
  <c r="D38" i="21"/>
  <c r="D37" i="21"/>
  <c r="D36" i="21"/>
  <c r="D35" i="21"/>
  <c r="D34" i="21"/>
  <c r="D49" i="21"/>
  <c r="D52" i="21"/>
  <c r="D17" i="21"/>
  <c r="D20" i="21"/>
  <c r="D51" i="21"/>
  <c r="D50" i="21"/>
  <c r="D47" i="21"/>
  <c r="D46" i="21"/>
  <c r="D45" i="21"/>
  <c r="D48" i="21"/>
  <c r="D19" i="21"/>
  <c r="D18" i="21"/>
  <c r="D16" i="21"/>
  <c r="D14" i="21"/>
  <c r="D13" i="21"/>
  <c r="E19" i="5"/>
  <c r="L30" i="5"/>
  <c r="L31" i="5" s="1"/>
  <c r="L18" i="5"/>
  <c r="K30" i="5"/>
  <c r="K18" i="5"/>
  <c r="K19" i="5" s="1"/>
  <c r="J30" i="5"/>
  <c r="J31" i="5" s="1"/>
  <c r="J18" i="5"/>
  <c r="I30" i="5"/>
  <c r="I31" i="5" s="1"/>
  <c r="I18" i="5"/>
  <c r="H30" i="5"/>
  <c r="H31" i="5" s="1"/>
  <c r="H18" i="5"/>
  <c r="G30" i="5"/>
  <c r="G31" i="5" s="1"/>
  <c r="G18" i="5"/>
  <c r="F30" i="5"/>
  <c r="F18" i="5"/>
  <c r="E30" i="5"/>
  <c r="E18" i="5"/>
  <c r="D30" i="5"/>
  <c r="D31" i="5" s="1"/>
  <c r="D18" i="5"/>
  <c r="C30" i="5"/>
  <c r="C31" i="5" s="1"/>
  <c r="C18" i="5"/>
  <c r="M18" i="5" s="1"/>
  <c r="M29" i="5"/>
  <c r="F31" i="5"/>
  <c r="E31" i="5"/>
  <c r="L13" i="5"/>
  <c r="L19" i="5" s="1"/>
  <c r="J13" i="5"/>
  <c r="J19" i="5" s="1"/>
  <c r="I13" i="5"/>
  <c r="I19" i="5" s="1"/>
  <c r="H13" i="5"/>
  <c r="F13" i="5"/>
  <c r="F19" i="5" s="1"/>
  <c r="E13" i="5"/>
  <c r="D13" i="5"/>
  <c r="D19" i="5" s="1"/>
  <c r="L15" i="5"/>
  <c r="K15" i="5"/>
  <c r="J15" i="5"/>
  <c r="I15" i="5"/>
  <c r="H15" i="5"/>
  <c r="G15" i="5"/>
  <c r="F15" i="5"/>
  <c r="E15" i="5"/>
  <c r="D15" i="5"/>
  <c r="C15" i="5"/>
  <c r="L14" i="5"/>
  <c r="J14" i="5"/>
  <c r="H14" i="5"/>
  <c r="F14" i="5"/>
  <c r="D14" i="5"/>
  <c r="K14" i="5"/>
  <c r="I14" i="5"/>
  <c r="G14" i="5"/>
  <c r="G19" i="5" s="1"/>
  <c r="E14" i="5"/>
  <c r="C14" i="5"/>
  <c r="C19" i="5" s="1"/>
  <c r="H17" i="5"/>
  <c r="F17" i="5"/>
  <c r="D17" i="5"/>
  <c r="G17" i="5"/>
  <c r="E17" i="5"/>
  <c r="C17" i="5"/>
  <c r="H16" i="5"/>
  <c r="H19" i="5" s="1"/>
  <c r="F16" i="5"/>
  <c r="D16" i="5"/>
  <c r="G16" i="5"/>
  <c r="E16" i="5"/>
  <c r="C16" i="5"/>
  <c r="C46" i="15"/>
  <c r="C50" i="15" s="1"/>
  <c r="C54" i="15" s="1"/>
  <c r="H45" i="15"/>
  <c r="H45" i="10"/>
  <c r="D18" i="24"/>
  <c r="C18" i="24"/>
  <c r="E18" i="24" s="1"/>
  <c r="D17" i="24"/>
  <c r="D19" i="24" s="1"/>
  <c r="E6" i="24" s="1"/>
  <c r="C17" i="24"/>
  <c r="B24" i="24"/>
  <c r="B23" i="24"/>
  <c r="E17" i="24"/>
  <c r="F16" i="24"/>
  <c r="E16" i="24"/>
  <c r="D60" i="15"/>
  <c r="C60" i="15"/>
  <c r="D59" i="15"/>
  <c r="D61" i="15" s="1"/>
  <c r="F8" i="15" s="1"/>
  <c r="C59" i="15"/>
  <c r="D45" i="15"/>
  <c r="C45" i="15"/>
  <c r="F45" i="15" s="1"/>
  <c r="D44" i="15"/>
  <c r="D46" i="15" s="1"/>
  <c r="F7" i="15" s="1"/>
  <c r="C44" i="15"/>
  <c r="D43" i="15"/>
  <c r="C43" i="15"/>
  <c r="D42" i="15"/>
  <c r="C42" i="15"/>
  <c r="D26" i="15"/>
  <c r="D25" i="15"/>
  <c r="D24" i="15"/>
  <c r="D23" i="15"/>
  <c r="D22" i="15"/>
  <c r="D21" i="15"/>
  <c r="E21" i="15" s="1"/>
  <c r="K21" i="15" s="1"/>
  <c r="C26" i="15"/>
  <c r="C25" i="15"/>
  <c r="C24" i="15"/>
  <c r="C23" i="15"/>
  <c r="C22" i="15"/>
  <c r="C21" i="15"/>
  <c r="C27" i="15" s="1"/>
  <c r="E6" i="15" s="1"/>
  <c r="B66" i="15"/>
  <c r="B65" i="15"/>
  <c r="F58" i="15"/>
  <c r="E58" i="15"/>
  <c r="B53" i="15"/>
  <c r="B50" i="15"/>
  <c r="F44" i="15"/>
  <c r="E43" i="15"/>
  <c r="E42" i="15"/>
  <c r="I42" i="15" s="1"/>
  <c r="H41" i="15"/>
  <c r="G41" i="15"/>
  <c r="F41" i="15"/>
  <c r="E41" i="15"/>
  <c r="E44" i="15" s="1"/>
  <c r="Q36" i="15"/>
  <c r="B36" i="15"/>
  <c r="B33" i="15"/>
  <c r="B32" i="15"/>
  <c r="B31" i="15"/>
  <c r="E26" i="15"/>
  <c r="E25" i="15"/>
  <c r="E23" i="15"/>
  <c r="J20" i="15"/>
  <c r="I20" i="15"/>
  <c r="I26" i="15" s="1"/>
  <c r="H20" i="15"/>
  <c r="H26" i="15" s="1"/>
  <c r="G20" i="15"/>
  <c r="G24" i="15" s="1"/>
  <c r="F20" i="15"/>
  <c r="F24" i="15" s="1"/>
  <c r="E20" i="15"/>
  <c r="E22" i="15" s="1"/>
  <c r="F10" i="25"/>
  <c r="G12" i="10"/>
  <c r="E7" i="10"/>
  <c r="G41" i="10"/>
  <c r="G45" i="10" s="1"/>
  <c r="F41" i="10"/>
  <c r="F45" i="10" s="1"/>
  <c r="I20" i="10"/>
  <c r="H20" i="10"/>
  <c r="M30" i="5" l="1"/>
  <c r="M31" i="5" s="1"/>
  <c r="D32" i="31"/>
  <c r="D35" i="31" s="1"/>
  <c r="D37" i="31" s="1"/>
  <c r="K66" i="1"/>
  <c r="E33" i="23" s="1"/>
  <c r="J66" i="1"/>
  <c r="J10" i="29"/>
  <c r="F13" i="29" s="1"/>
  <c r="B32" i="31"/>
  <c r="J48" i="1"/>
  <c r="K48" i="1"/>
  <c r="E37" i="3" s="1"/>
  <c r="G37" i="3" s="1"/>
  <c r="K31" i="5"/>
  <c r="P31" i="5" s="1"/>
  <c r="M17" i="5"/>
  <c r="E7" i="15"/>
  <c r="E19" i="24"/>
  <c r="D23" i="24" s="1"/>
  <c r="C19" i="24"/>
  <c r="D6" i="24" s="1"/>
  <c r="G17" i="24"/>
  <c r="F18" i="24"/>
  <c r="F19" i="24" s="1"/>
  <c r="D24" i="24" s="1"/>
  <c r="E60" i="15"/>
  <c r="E59" i="15"/>
  <c r="G59" i="15" s="1"/>
  <c r="C61" i="15"/>
  <c r="C65" i="15" s="1"/>
  <c r="C67" i="15" s="1"/>
  <c r="E45" i="15"/>
  <c r="E46" i="15" s="1"/>
  <c r="D50" i="15" s="1"/>
  <c r="G45" i="15"/>
  <c r="D27" i="15"/>
  <c r="F6" i="15" s="1"/>
  <c r="F9" i="15" s="1"/>
  <c r="G44" i="15"/>
  <c r="F22" i="15"/>
  <c r="K22" i="15" s="1"/>
  <c r="F60" i="15"/>
  <c r="F61" i="15" s="1"/>
  <c r="D66" i="15" s="1"/>
  <c r="E61" i="15"/>
  <c r="D65" i="15" s="1"/>
  <c r="D67" i="15" s="1"/>
  <c r="I43" i="15"/>
  <c r="G26" i="15"/>
  <c r="F25" i="15"/>
  <c r="G25" i="15"/>
  <c r="F43" i="15"/>
  <c r="F46" i="15" s="1"/>
  <c r="D51" i="15" s="1"/>
  <c r="E24" i="15"/>
  <c r="E27" i="15" s="1"/>
  <c r="D31" i="15" s="1"/>
  <c r="H25" i="15"/>
  <c r="H46" i="15"/>
  <c r="D53" i="15" s="1"/>
  <c r="F26" i="15"/>
  <c r="C31" i="15"/>
  <c r="C37" i="15" s="1"/>
  <c r="F23" i="15"/>
  <c r="G23" i="15" s="1"/>
  <c r="F44" i="10"/>
  <c r="H25" i="10"/>
  <c r="I26" i="10"/>
  <c r="H26" i="10"/>
  <c r="D15" i="21"/>
  <c r="E66" i="10"/>
  <c r="E65" i="10"/>
  <c r="E53" i="10"/>
  <c r="E52" i="10"/>
  <c r="E51" i="10"/>
  <c r="E50" i="10"/>
  <c r="E36" i="10"/>
  <c r="E35" i="10"/>
  <c r="E34" i="10"/>
  <c r="E33" i="10"/>
  <c r="E32" i="10"/>
  <c r="E31" i="10"/>
  <c r="G29" i="23"/>
  <c r="G26" i="23"/>
  <c r="G25" i="23"/>
  <c r="G24" i="23"/>
  <c r="G21" i="23"/>
  <c r="G20" i="23"/>
  <c r="G16" i="23"/>
  <c r="G15" i="23"/>
  <c r="G29" i="3"/>
  <c r="G33" i="3"/>
  <c r="D28" i="3"/>
  <c r="D39" i="3" s="1"/>
  <c r="F15" i="29" l="1"/>
  <c r="F18" i="29" s="1"/>
  <c r="E19" i="3" s="1"/>
  <c r="F21" i="29"/>
  <c r="F23" i="29" s="1"/>
  <c r="F25" i="29" s="1"/>
  <c r="C23" i="24"/>
  <c r="G18" i="24"/>
  <c r="G19" i="24" s="1"/>
  <c r="D25" i="24"/>
  <c r="E8" i="15"/>
  <c r="E9" i="15" s="1"/>
  <c r="I45" i="15"/>
  <c r="G46" i="15"/>
  <c r="D52" i="15" s="1"/>
  <c r="G27" i="15"/>
  <c r="D33" i="15" s="1"/>
  <c r="K25" i="15"/>
  <c r="I44" i="15"/>
  <c r="G60" i="15"/>
  <c r="G61" i="15" s="1"/>
  <c r="K23" i="15"/>
  <c r="J26" i="15"/>
  <c r="J27" i="15" s="1"/>
  <c r="D36" i="15" s="1"/>
  <c r="I25" i="15"/>
  <c r="I27" i="15" s="1"/>
  <c r="D35" i="15" s="1"/>
  <c r="H24" i="15"/>
  <c r="H27" i="15" s="1"/>
  <c r="D34" i="15" s="1"/>
  <c r="F27" i="15"/>
  <c r="D32" i="15" s="1"/>
  <c r="F28" i="29" l="1"/>
  <c r="E38" i="3" s="1"/>
  <c r="G38" i="3" s="1"/>
  <c r="F29" i="29"/>
  <c r="E34" i="23" s="1"/>
  <c r="G34" i="23" s="1"/>
  <c r="F19" i="29"/>
  <c r="E23" i="23" s="1"/>
  <c r="I46" i="15"/>
  <c r="C25" i="24"/>
  <c r="D54" i="15"/>
  <c r="K24" i="15"/>
  <c r="K26" i="15"/>
  <c r="K27" i="15" s="1"/>
  <c r="D37" i="15"/>
  <c r="D44" i="21"/>
  <c r="J14" i="26"/>
  <c r="J13" i="26"/>
  <c r="E39" i="3" l="1"/>
  <c r="G23" i="23"/>
  <c r="E35" i="23"/>
  <c r="G18" i="23"/>
  <c r="Q43" i="23"/>
  <c r="E16" i="25"/>
  <c r="F16" i="25"/>
  <c r="E17" i="25"/>
  <c r="B23" i="25"/>
  <c r="B24" i="25"/>
  <c r="D19" i="25" l="1"/>
  <c r="E6" i="25" s="1"/>
  <c r="E18" i="25"/>
  <c r="C19" i="25"/>
  <c r="G17" i="25"/>
  <c r="G14" i="3"/>
  <c r="D6" i="25" l="1"/>
  <c r="C23" i="25"/>
  <c r="C25" i="25" s="1"/>
  <c r="E19" i="25"/>
  <c r="D23" i="25" s="1"/>
  <c r="F18" i="25"/>
  <c r="F19" i="25" s="1"/>
  <c r="D24" i="25" s="1"/>
  <c r="F24" i="25" s="1"/>
  <c r="G18" i="25" l="1"/>
  <c r="G19" i="25" s="1"/>
  <c r="D25" i="25"/>
  <c r="F23" i="25"/>
  <c r="F25" i="25" s="1"/>
  <c r="F6" i="25" s="1"/>
  <c r="F7" i="25" s="1"/>
  <c r="M33" i="5"/>
  <c r="M14" i="5"/>
  <c r="M15" i="5"/>
  <c r="M12" i="5"/>
  <c r="M34" i="5" l="1"/>
  <c r="G41" i="23" s="1"/>
  <c r="G40" i="23"/>
  <c r="Q40" i="23" s="1"/>
  <c r="F9" i="25"/>
  <c r="F11" i="25" s="1"/>
  <c r="M16" i="5"/>
  <c r="M13" i="5"/>
  <c r="M19" i="5" l="1"/>
  <c r="E7" i="23"/>
  <c r="E11" i="23" s="1"/>
  <c r="G11" i="25"/>
  <c r="G33" i="23"/>
  <c r="Q44" i="23" s="1"/>
  <c r="M21" i="5"/>
  <c r="P19" i="5"/>
  <c r="G7" i="23" l="1"/>
  <c r="G11" i="23" s="1"/>
  <c r="E36" i="23"/>
  <c r="M22" i="5"/>
  <c r="G44" i="3"/>
  <c r="G46" i="23" l="1"/>
  <c r="P22" i="5"/>
  <c r="G45" i="3"/>
  <c r="D15" i="3" l="1"/>
  <c r="G8" i="3" l="1"/>
  <c r="B53" i="10"/>
  <c r="B50" i="10"/>
  <c r="E42" i="10"/>
  <c r="I42" i="10" s="1"/>
  <c r="H41" i="10"/>
  <c r="E41" i="10"/>
  <c r="J20" i="10"/>
  <c r="E43" i="10" l="1"/>
  <c r="E44" i="10"/>
  <c r="G23" i="3"/>
  <c r="E45" i="10"/>
  <c r="D46" i="10"/>
  <c r="F7" i="10" s="1"/>
  <c r="C50" i="10"/>
  <c r="G44" i="10" l="1"/>
  <c r="G46" i="10" s="1"/>
  <c r="D52" i="10" s="1"/>
  <c r="F52" i="10" s="1"/>
  <c r="F43" i="10"/>
  <c r="F46" i="10" s="1"/>
  <c r="D51" i="10" s="1"/>
  <c r="F51" i="10" s="1"/>
  <c r="F50" i="10"/>
  <c r="I43" i="10" l="1"/>
  <c r="I44" i="10"/>
  <c r="C54" i="10"/>
  <c r="G20" i="3"/>
  <c r="Q36" i="10" l="1"/>
  <c r="E21" i="10" l="1"/>
  <c r="G9" i="3" l="1"/>
  <c r="D12" i="21" l="1"/>
  <c r="B66" i="10"/>
  <c r="B65" i="10"/>
  <c r="E59" i="10"/>
  <c r="G59" i="10" s="1"/>
  <c r="F58" i="10"/>
  <c r="E58" i="10"/>
  <c r="E20" i="10"/>
  <c r="F20" i="10"/>
  <c r="G20" i="10"/>
  <c r="B31" i="10"/>
  <c r="B32" i="10"/>
  <c r="B33" i="10"/>
  <c r="B36" i="10"/>
  <c r="D61" i="10"/>
  <c r="F8" i="10" s="1"/>
  <c r="C61" i="10"/>
  <c r="C27" i="10"/>
  <c r="E6" i="10" s="1"/>
  <c r="G21" i="3"/>
  <c r="G31" i="3"/>
  <c r="G32" i="3"/>
  <c r="G11" i="3"/>
  <c r="G30" i="3"/>
  <c r="C65" i="10" l="1"/>
  <c r="F65" i="10" s="1"/>
  <c r="E8" i="10"/>
  <c r="E25" i="10"/>
  <c r="E24" i="10"/>
  <c r="G24" i="10"/>
  <c r="G25" i="10"/>
  <c r="F24" i="10"/>
  <c r="F25" i="10"/>
  <c r="G47" i="3"/>
  <c r="C31" i="10"/>
  <c r="F31" i="10" s="1"/>
  <c r="E60" i="10"/>
  <c r="F23" i="10"/>
  <c r="E22" i="10"/>
  <c r="F22" i="10" s="1"/>
  <c r="E23" i="10"/>
  <c r="E26" i="10"/>
  <c r="G26" i="10"/>
  <c r="D27" i="10"/>
  <c r="F6" i="10" s="1"/>
  <c r="G27" i="3"/>
  <c r="F26" i="10"/>
  <c r="K21" i="10"/>
  <c r="D40" i="3"/>
  <c r="G28" i="3"/>
  <c r="H24" i="10" l="1"/>
  <c r="H27" i="10" s="1"/>
  <c r="D34" i="10" s="1"/>
  <c r="F34" i="10" s="1"/>
  <c r="I25" i="10"/>
  <c r="I27" i="10" s="1"/>
  <c r="D35" i="10" s="1"/>
  <c r="F35" i="10" s="1"/>
  <c r="J26" i="10"/>
  <c r="J27" i="10" s="1"/>
  <c r="D36" i="10" s="1"/>
  <c r="F36" i="10" s="1"/>
  <c r="G24" i="3"/>
  <c r="G26" i="3"/>
  <c r="G25" i="3"/>
  <c r="C37" i="10"/>
  <c r="C67" i="10"/>
  <c r="F60" i="10"/>
  <c r="G60" i="10" s="1"/>
  <c r="H46" i="10"/>
  <c r="E46" i="10"/>
  <c r="D50" i="10" s="1"/>
  <c r="E61" i="10"/>
  <c r="D65" i="10" s="1"/>
  <c r="G23" i="10"/>
  <c r="G27" i="10" s="1"/>
  <c r="D33" i="10" s="1"/>
  <c r="F33" i="10" s="1"/>
  <c r="E9" i="10"/>
  <c r="F27" i="10"/>
  <c r="D32" i="10" s="1"/>
  <c r="F32" i="10" s="1"/>
  <c r="K22" i="10"/>
  <c r="E27" i="10"/>
  <c r="D31" i="10" s="1"/>
  <c r="D53" i="10" l="1"/>
  <c r="F53" i="10" s="1"/>
  <c r="F54" i="10" s="1"/>
  <c r="K25" i="10"/>
  <c r="K24" i="10"/>
  <c r="F61" i="10"/>
  <c r="I45" i="10"/>
  <c r="K23" i="10"/>
  <c r="K26" i="10"/>
  <c r="F37" i="10"/>
  <c r="G61" i="10"/>
  <c r="D37" i="10"/>
  <c r="G6" i="10" l="1"/>
  <c r="G7" i="10"/>
  <c r="D66" i="10"/>
  <c r="F66" i="10" s="1"/>
  <c r="F67" i="10" s="1"/>
  <c r="D54" i="10"/>
  <c r="I46" i="10"/>
  <c r="K27" i="10"/>
  <c r="G8" i="10" l="1"/>
  <c r="G9" i="10" s="1"/>
  <c r="G11" i="10" s="1"/>
  <c r="G13" i="10" s="1"/>
  <c r="E7" i="3" s="1"/>
  <c r="D67" i="10"/>
  <c r="F9" i="10"/>
  <c r="G7" i="3" l="1"/>
  <c r="G50" i="3" s="1"/>
  <c r="E15" i="3"/>
  <c r="E40" i="3" s="1"/>
  <c r="H13" i="10"/>
  <c r="D35" i="23"/>
  <c r="D36" i="23" s="1"/>
  <c r="G15" i="3" l="1"/>
  <c r="G39" i="3"/>
  <c r="G43" i="3" s="1"/>
  <c r="G46" i="3" s="1"/>
  <c r="G49" i="3" l="1"/>
  <c r="G12" i="15" s="1"/>
  <c r="G35" i="23"/>
  <c r="G40" i="3"/>
  <c r="G51" i="3" l="1"/>
  <c r="G52" i="3" s="1"/>
  <c r="G39" i="23"/>
  <c r="G42" i="23" s="1"/>
  <c r="G45" i="23" s="1"/>
  <c r="G36" i="23"/>
  <c r="L24" i="2" l="1"/>
  <c r="E53" i="15" s="1"/>
  <c r="F53" i="15" s="1"/>
  <c r="L16" i="2"/>
  <c r="N16" i="2" s="1"/>
  <c r="O16" i="2" s="1"/>
  <c r="L22" i="2"/>
  <c r="N22" i="2" s="1"/>
  <c r="O22" i="2" s="1"/>
  <c r="L18" i="2"/>
  <c r="E36" i="15" s="1"/>
  <c r="F36" i="15" s="1"/>
  <c r="L17" i="2"/>
  <c r="N17" i="2" s="1"/>
  <c r="O17" i="2" s="1"/>
  <c r="L13" i="2"/>
  <c r="N13" i="2" s="1"/>
  <c r="O13" i="2" s="1"/>
  <c r="L14" i="2"/>
  <c r="L15" i="2"/>
  <c r="E33" i="15" s="1"/>
  <c r="F33" i="15" s="1"/>
  <c r="L23" i="2"/>
  <c r="N23" i="2" s="1"/>
  <c r="O23" i="2" s="1"/>
  <c r="L28" i="2"/>
  <c r="E66" i="15" s="1"/>
  <c r="F66" i="15" s="1"/>
  <c r="F10" i="24"/>
  <c r="E13" i="27"/>
  <c r="F13" i="27" s="1"/>
  <c r="G13" i="27" s="1"/>
  <c r="E12" i="21"/>
  <c r="F12" i="21" s="1"/>
  <c r="G12" i="21" s="1"/>
  <c r="Q39" i="23"/>
  <c r="Q42" i="23" s="1"/>
  <c r="R45" i="23" s="1"/>
  <c r="E34" i="15" l="1"/>
  <c r="F34" i="15" s="1"/>
  <c r="N18" i="2"/>
  <c r="O18" i="2" s="1"/>
  <c r="N28" i="2"/>
  <c r="O28" i="2" s="1"/>
  <c r="E51" i="15"/>
  <c r="F51" i="15" s="1"/>
  <c r="N24" i="2"/>
  <c r="O24" i="2" s="1"/>
  <c r="E52" i="15"/>
  <c r="F52" i="15" s="1"/>
  <c r="E35" i="15"/>
  <c r="F35" i="15" s="1"/>
  <c r="E16" i="27"/>
  <c r="F16" i="27" s="1"/>
  <c r="G16" i="27" s="1"/>
  <c r="E17" i="27"/>
  <c r="F17" i="27" s="1"/>
  <c r="G17" i="27" s="1"/>
  <c r="E21" i="27"/>
  <c r="F21" i="27" s="1"/>
  <c r="G21" i="27" s="1"/>
  <c r="E32" i="15"/>
  <c r="F32" i="15" s="1"/>
  <c r="E14" i="21"/>
  <c r="F14" i="21" s="1"/>
  <c r="G14" i="21" s="1"/>
  <c r="E20" i="21"/>
  <c r="F20" i="21" s="1"/>
  <c r="G20" i="21" s="1"/>
  <c r="N15" i="2"/>
  <c r="O15" i="2" s="1"/>
  <c r="E15" i="21"/>
  <c r="F15" i="21" s="1"/>
  <c r="G15" i="21" s="1"/>
  <c r="E14" i="27"/>
  <c r="F14" i="27" s="1"/>
  <c r="G14" i="27" s="1"/>
  <c r="E18" i="27"/>
  <c r="F18" i="27" s="1"/>
  <c r="G18" i="27" s="1"/>
  <c r="N14" i="2"/>
  <c r="O14" i="2" s="1"/>
  <c r="E15" i="27"/>
  <c r="F15" i="27" s="1"/>
  <c r="G15" i="27" s="1"/>
  <c r="E19" i="27"/>
  <c r="F19" i="27" s="1"/>
  <c r="G19" i="27" s="1"/>
  <c r="L27" i="2"/>
  <c r="N27" i="2" s="1"/>
  <c r="O27" i="2" s="1"/>
  <c r="E13" i="21"/>
  <c r="F13" i="21" s="1"/>
  <c r="G13" i="21" s="1"/>
  <c r="E31" i="15"/>
  <c r="F31" i="15" s="1"/>
  <c r="E20" i="27"/>
  <c r="F20" i="27" s="1"/>
  <c r="G20" i="27" s="1"/>
  <c r="E18" i="21"/>
  <c r="F18" i="21" s="1"/>
  <c r="G18" i="21" s="1"/>
  <c r="L21" i="2"/>
  <c r="N21" i="2" s="1"/>
  <c r="O21" i="2" s="1"/>
  <c r="E19" i="21"/>
  <c r="F19" i="21" s="1"/>
  <c r="G19" i="21" s="1"/>
  <c r="E16" i="21"/>
  <c r="F16" i="21" s="1"/>
  <c r="G16" i="21" s="1"/>
  <c r="E17" i="21"/>
  <c r="F17" i="21" s="1"/>
  <c r="G17" i="21" s="1"/>
  <c r="G47" i="23"/>
  <c r="E25" i="21" l="1"/>
  <c r="F25" i="21" s="1"/>
  <c r="G25" i="21" s="1"/>
  <c r="E28" i="21"/>
  <c r="F28" i="21" s="1"/>
  <c r="G28" i="21" s="1"/>
  <c r="E31" i="27"/>
  <c r="F31" i="27" s="1"/>
  <c r="G31" i="27" s="1"/>
  <c r="E24" i="27"/>
  <c r="F24" i="27" s="1"/>
  <c r="G24" i="27" s="1"/>
  <c r="E27" i="27"/>
  <c r="F27" i="27" s="1"/>
  <c r="G27" i="27" s="1"/>
  <c r="E31" i="21"/>
  <c r="F31" i="21" s="1"/>
  <c r="G31" i="21" s="1"/>
  <c r="G48" i="23"/>
  <c r="L14" i="26" s="1"/>
  <c r="E26" i="27"/>
  <c r="F26" i="27" s="1"/>
  <c r="G26" i="27" s="1"/>
  <c r="E50" i="15"/>
  <c r="F50" i="15" s="1"/>
  <c r="E32" i="27"/>
  <c r="F32" i="27" s="1"/>
  <c r="G32" i="27" s="1"/>
  <c r="E28" i="27"/>
  <c r="F28" i="27" s="1"/>
  <c r="G28" i="27" s="1"/>
  <c r="E24" i="21"/>
  <c r="F24" i="21" s="1"/>
  <c r="G24" i="21" s="1"/>
  <c r="E26" i="21"/>
  <c r="F26" i="21" s="1"/>
  <c r="G26" i="21" s="1"/>
  <c r="E25" i="27"/>
  <c r="F25" i="27" s="1"/>
  <c r="G25" i="27" s="1"/>
  <c r="E30" i="27"/>
  <c r="F30" i="27" s="1"/>
  <c r="G30" i="27" s="1"/>
  <c r="E30" i="21"/>
  <c r="F30" i="21" s="1"/>
  <c r="G30" i="21" s="1"/>
  <c r="E27" i="21"/>
  <c r="F27" i="21" s="1"/>
  <c r="G27" i="21" s="1"/>
  <c r="E23" i="21"/>
  <c r="F23" i="21" s="1"/>
  <c r="G23" i="21" s="1"/>
  <c r="E40" i="21"/>
  <c r="F40" i="21" s="1"/>
  <c r="G40" i="21" s="1"/>
  <c r="F37" i="15"/>
  <c r="G6" i="15" s="1"/>
  <c r="E35" i="27"/>
  <c r="F35" i="27" s="1"/>
  <c r="G35" i="27" s="1"/>
  <c r="E36" i="27"/>
  <c r="F36" i="27" s="1"/>
  <c r="G36" i="27" s="1"/>
  <c r="E39" i="27"/>
  <c r="F39" i="27" s="1"/>
  <c r="G39" i="27" s="1"/>
  <c r="E65" i="15"/>
  <c r="F65" i="15" s="1"/>
  <c r="F67" i="15" s="1"/>
  <c r="E29" i="27"/>
  <c r="F29" i="27" s="1"/>
  <c r="G29" i="27" s="1"/>
  <c r="E29" i="21"/>
  <c r="F29" i="21" s="1"/>
  <c r="G29" i="21" s="1"/>
  <c r="E41" i="27"/>
  <c r="F41" i="27" s="1"/>
  <c r="G41" i="27" s="1"/>
  <c r="E36" i="21"/>
  <c r="F36" i="21" s="1"/>
  <c r="G36" i="21" s="1"/>
  <c r="E37" i="27"/>
  <c r="F37" i="27" s="1"/>
  <c r="G37" i="27" s="1"/>
  <c r="E42" i="27"/>
  <c r="F42" i="27" s="1"/>
  <c r="G42" i="27" s="1"/>
  <c r="E37" i="21"/>
  <c r="F37" i="21" s="1"/>
  <c r="G37" i="21" s="1"/>
  <c r="E40" i="27"/>
  <c r="F40" i="27" s="1"/>
  <c r="G40" i="27" s="1"/>
  <c r="E38" i="27"/>
  <c r="F38" i="27" s="1"/>
  <c r="G38" i="27" s="1"/>
  <c r="E35" i="21"/>
  <c r="F35" i="21" s="1"/>
  <c r="G35" i="21" s="1"/>
  <c r="E34" i="21"/>
  <c r="F34" i="21" s="1"/>
  <c r="G34" i="21" s="1"/>
  <c r="E39" i="21"/>
  <c r="F39" i="21" s="1"/>
  <c r="G39" i="21" s="1"/>
  <c r="E38" i="21"/>
  <c r="F38" i="21" s="1"/>
  <c r="G38" i="21" s="1"/>
  <c r="E41" i="21"/>
  <c r="F41" i="21" s="1"/>
  <c r="G41" i="21" s="1"/>
  <c r="F54" i="15"/>
  <c r="E24" i="24" l="1"/>
  <c r="F24" i="24" s="1"/>
  <c r="N14" i="26"/>
  <c r="O14" i="26" s="1"/>
  <c r="L13" i="26"/>
  <c r="N13" i="26" s="1"/>
  <c r="O13" i="26" s="1"/>
  <c r="F69" i="15"/>
  <c r="G8" i="15"/>
  <c r="G7" i="15"/>
  <c r="R37" i="23"/>
  <c r="R46" i="23" s="1"/>
  <c r="E45" i="21" l="1"/>
  <c r="F45" i="21" s="1"/>
  <c r="G45" i="21" s="1"/>
  <c r="E23" i="24"/>
  <c r="F23" i="24" s="1"/>
  <c r="F25" i="24" s="1"/>
  <c r="F6" i="24" s="1"/>
  <c r="F7" i="24" s="1"/>
  <c r="F9" i="24" s="1"/>
  <c r="F11" i="24" s="1"/>
  <c r="G11" i="24" s="1"/>
  <c r="E51" i="27"/>
  <c r="F51" i="27" s="1"/>
  <c r="G51" i="27" s="1"/>
  <c r="E48" i="21"/>
  <c r="F48" i="21" s="1"/>
  <c r="G48" i="21" s="1"/>
  <c r="E50" i="21"/>
  <c r="F50" i="21" s="1"/>
  <c r="G50" i="21" s="1"/>
  <c r="E49" i="27"/>
  <c r="F49" i="27" s="1"/>
  <c r="G49" i="27" s="1"/>
  <c r="E46" i="27"/>
  <c r="F46" i="27" s="1"/>
  <c r="G46" i="27" s="1"/>
  <c r="E48" i="27"/>
  <c r="F48" i="27" s="1"/>
  <c r="G48" i="27" s="1"/>
  <c r="E52" i="27"/>
  <c r="F52" i="27" s="1"/>
  <c r="G52" i="27" s="1"/>
  <c r="E47" i="27"/>
  <c r="F47" i="27" s="1"/>
  <c r="G47" i="27" s="1"/>
  <c r="E50" i="27"/>
  <c r="F50" i="27" s="1"/>
  <c r="G50" i="27" s="1"/>
  <c r="E53" i="27"/>
  <c r="F53" i="27" s="1"/>
  <c r="G53" i="27" s="1"/>
  <c r="E52" i="21"/>
  <c r="F52" i="21" s="1"/>
  <c r="G52" i="21" s="1"/>
  <c r="E51" i="21"/>
  <c r="F51" i="21" s="1"/>
  <c r="G51" i="21" s="1"/>
  <c r="E45" i="27"/>
  <c r="F45" i="27" s="1"/>
  <c r="G45" i="27" s="1"/>
  <c r="E47" i="21"/>
  <c r="E46" i="21"/>
  <c r="E49" i="21"/>
  <c r="F49" i="21" s="1"/>
  <c r="G49" i="21" s="1"/>
  <c r="E44" i="21"/>
  <c r="F44" i="21" s="1"/>
  <c r="G44" i="21" s="1"/>
  <c r="G9" i="15"/>
  <c r="G11" i="15" s="1"/>
  <c r="G13" i="15" s="1"/>
  <c r="H13" i="15" s="1"/>
  <c r="F46" i="21" l="1"/>
  <c r="G46" i="21" s="1"/>
  <c r="F47" i="21"/>
  <c r="G47" i="21" s="1"/>
</calcChain>
</file>

<file path=xl/sharedStrings.xml><?xml version="1.0" encoding="utf-8"?>
<sst xmlns="http://schemas.openxmlformats.org/spreadsheetml/2006/main" count="810" uniqueCount="352">
  <si>
    <t>Table B</t>
  </si>
  <si>
    <t>DEPRECIATION EXPENSE ADJUSTMENTS</t>
  </si>
  <si>
    <t>Asset</t>
  </si>
  <si>
    <t>TOTALS</t>
  </si>
  <si>
    <t>Date in</t>
  </si>
  <si>
    <t>Service</t>
  </si>
  <si>
    <t>various</t>
  </si>
  <si>
    <t>Original</t>
  </si>
  <si>
    <t>Life</t>
  </si>
  <si>
    <t>Depr. Exp.</t>
  </si>
  <si>
    <t>Adjustment</t>
  </si>
  <si>
    <t>Operating Revenues</t>
  </si>
  <si>
    <t>Total Operating Revenues</t>
  </si>
  <si>
    <t>Operating Expenses</t>
  </si>
  <si>
    <t>Total Operating Expenses</t>
  </si>
  <si>
    <t>Pro Forma Operating Expenses</t>
  </si>
  <si>
    <t>Required Revenue Increase</t>
  </si>
  <si>
    <t>Percent Increase</t>
  </si>
  <si>
    <t>Other Operating Revenue</t>
  </si>
  <si>
    <t>Operation and Maintenance</t>
  </si>
  <si>
    <t>Total Operation and Mnt. Expenses</t>
  </si>
  <si>
    <t>Depreciation Expense</t>
  </si>
  <si>
    <t>Taxes Other Than Income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</si>
  <si>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</si>
  <si>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</si>
  <si>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</si>
  <si>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</si>
  <si>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</si>
  <si>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Contractual Services</t>
  </si>
  <si>
    <t>Miscellaneous Expenses</t>
  </si>
  <si>
    <t>Additional Working Capital</t>
  </si>
  <si>
    <t>Adjustments</t>
  </si>
  <si>
    <t>Proforma</t>
  </si>
  <si>
    <t>SCHEDULE OF ADJUSTED OPERATIONS</t>
  </si>
  <si>
    <t>Transportation Expenses</t>
  </si>
  <si>
    <t>Net Utility Operating Income</t>
  </si>
  <si>
    <t>Total Revenue Requirement</t>
  </si>
  <si>
    <t>Revenue from Sales at Present Rates</t>
  </si>
  <si>
    <t>Forfeited Discounts</t>
  </si>
  <si>
    <t>Other Water Revenues:</t>
  </si>
  <si>
    <t>Depreciation</t>
  </si>
  <si>
    <t>Expense</t>
  </si>
  <si>
    <t>Principal</t>
  </si>
  <si>
    <t>Interest</t>
  </si>
  <si>
    <t>Totals</t>
  </si>
  <si>
    <t>REVENUE REQUIREMENTS</t>
  </si>
  <si>
    <t>Table A</t>
  </si>
  <si>
    <t>Ref.</t>
  </si>
  <si>
    <t>Revenue</t>
  </si>
  <si>
    <t>Avg. Annual Principal and Interest Payments</t>
  </si>
  <si>
    <t>Gallons Sold</t>
  </si>
  <si>
    <t>FIRST</t>
  </si>
  <si>
    <t>ALL OVER</t>
  </si>
  <si>
    <t>USAGE</t>
  </si>
  <si>
    <t>BILLS</t>
  </si>
  <si>
    <t>GALLONS</t>
  </si>
  <si>
    <t>TOTAL</t>
  </si>
  <si>
    <t xml:space="preserve">     REVENUE BY RATE INCREMENT</t>
  </si>
  <si>
    <t>RATE</t>
  </si>
  <si>
    <t>REVENUE</t>
  </si>
  <si>
    <t>Insurance - Workers Comp</t>
  </si>
  <si>
    <t>Reported</t>
  </si>
  <si>
    <t>Existing</t>
  </si>
  <si>
    <t>Interest Income</t>
  </si>
  <si>
    <t>Sold</t>
  </si>
  <si>
    <t>Uses:</t>
  </si>
  <si>
    <t xml:space="preserve">  water loss percentage</t>
  </si>
  <si>
    <t xml:space="preserve">  allowable in rates</t>
  </si>
  <si>
    <t xml:space="preserve">  adjustment percentage</t>
  </si>
  <si>
    <t>Materials and Supplies</t>
  </si>
  <si>
    <t>NEXT</t>
  </si>
  <si>
    <t>First</t>
  </si>
  <si>
    <t>Next</t>
  </si>
  <si>
    <t>Over</t>
  </si>
  <si>
    <t>No. of Bills</t>
  </si>
  <si>
    <t>gallons</t>
  </si>
  <si>
    <t>Minimum Bill</t>
  </si>
  <si>
    <t>per 1,000 gallons</t>
  </si>
  <si>
    <t>Gallons</t>
  </si>
  <si>
    <t>Bill</t>
  </si>
  <si>
    <t>CURRENT RATE SCHEDULE</t>
  </si>
  <si>
    <t>CURRENT AND PROPOSED RATES</t>
  </si>
  <si>
    <t>COMPARISION OF EXISTING AND PROPOSED BILLS</t>
  </si>
  <si>
    <t>Pro Forma</t>
  </si>
  <si>
    <t>Test Year</t>
  </si>
  <si>
    <t>Sales for Resale</t>
  </si>
  <si>
    <t xml:space="preserve">  SUMMARY  </t>
  </si>
  <si>
    <t>Cost *</t>
  </si>
  <si>
    <t>Total</t>
  </si>
  <si>
    <t xml:space="preserve">   Plus:</t>
  </si>
  <si>
    <t xml:space="preserve">   Less:</t>
  </si>
  <si>
    <t>Revenue Required From Water Sales</t>
  </si>
  <si>
    <t>per Month*</t>
  </si>
  <si>
    <t>* Highlighted usage represents the average residential bill.</t>
  </si>
  <si>
    <t>5/8" x 3/4" METERS</t>
  </si>
  <si>
    <t>1" METERS</t>
  </si>
  <si>
    <t>2" METERS</t>
  </si>
  <si>
    <t xml:space="preserve">     5/8" X 3/4" Meters</t>
  </si>
  <si>
    <t xml:space="preserve">     1" Meters</t>
  </si>
  <si>
    <t xml:space="preserve">     2" Meters</t>
  </si>
  <si>
    <t>Bulk Sales</t>
  </si>
  <si>
    <t>Insurance - General Liability &amp; Other</t>
  </si>
  <si>
    <t>5/8" x 3/4" Meters</t>
  </si>
  <si>
    <t>1" Meters</t>
  </si>
  <si>
    <t>2" Meters</t>
  </si>
  <si>
    <t>Proposed</t>
  </si>
  <si>
    <t>Chemicals</t>
  </si>
  <si>
    <t>Total Sewer Sales</t>
  </si>
  <si>
    <t>Other Sewer Revenues</t>
  </si>
  <si>
    <t>Operation Expenses</t>
  </si>
  <si>
    <t>Collection - Labor, Materials and Expenses</t>
  </si>
  <si>
    <t>Maintenance Expenses</t>
  </si>
  <si>
    <t>Maintenance of Collection Sewer System</t>
  </si>
  <si>
    <t>Administrative and General Expenses</t>
  </si>
  <si>
    <t>Office Supplies and Other Expenses</t>
  </si>
  <si>
    <t>Outside Services Employed</t>
  </si>
  <si>
    <t>Transportation Expense</t>
  </si>
  <si>
    <t>Miscellaneous General Expenses</t>
  </si>
  <si>
    <t>Total Sewer Operation and Mnt. Expenses</t>
  </si>
  <si>
    <t>Avg. Annual Principal and Interest Pmts.</t>
  </si>
  <si>
    <t>Interest &amp; Investment Income</t>
  </si>
  <si>
    <t>Water Division</t>
  </si>
  <si>
    <t>Sewer Division</t>
  </si>
  <si>
    <t>CY 2022 - 2026</t>
  </si>
  <si>
    <t>DEBT SERVICE SCHEDULE</t>
  </si>
  <si>
    <t>CY 2022</t>
  </si>
  <si>
    <t>CY 2023</t>
  </si>
  <si>
    <t>CY 2024</t>
  </si>
  <si>
    <t>CY 2025</t>
  </si>
  <si>
    <t>CY 2026</t>
  </si>
  <si>
    <t>Average Annual Principal &amp; Interest - Water</t>
  </si>
  <si>
    <t>Average Annual Principal &amp; Interest - Sewer</t>
  </si>
  <si>
    <t>Average Annual Debt Service Coverage</t>
  </si>
  <si>
    <t>varies</t>
  </si>
  <si>
    <t>Sewer Lines</t>
  </si>
  <si>
    <t>TOTALS - SEWER SYSTEM</t>
  </si>
  <si>
    <t>*  Includes only costs associated with assets that contributed to depreciation expense in the test year.</t>
  </si>
  <si>
    <t>Other Water Revenue</t>
  </si>
  <si>
    <t>Misc. Service Revenue</t>
  </si>
  <si>
    <t>Metered Sales to Retail Customers</t>
  </si>
  <si>
    <t>All Sewer Customers</t>
  </si>
  <si>
    <t xml:space="preserve">     All Sewer Customers</t>
  </si>
  <si>
    <t>PROPOSED RATE SCHEDULE</t>
  </si>
  <si>
    <t>All Customers</t>
  </si>
  <si>
    <t>SEWER BILLS</t>
  </si>
  <si>
    <t>CURRENT AND PROPOSED MONTHLY RATES</t>
  </si>
  <si>
    <t>WATER DIVISION</t>
  </si>
  <si>
    <t>SEWER DIVISION</t>
  </si>
  <si>
    <t>Table E</t>
  </si>
  <si>
    <t>Revenue Required From Sewer Sales</t>
  </si>
  <si>
    <t>Jessamine-South Elkhorn Water District</t>
  </si>
  <si>
    <t>Rental of Building/Real Property</t>
  </si>
  <si>
    <t>Bad Debt</t>
  </si>
  <si>
    <t>Management Fee</t>
  </si>
  <si>
    <t>Customer Account Expenses</t>
  </si>
  <si>
    <t>Flat Rate Inspections</t>
  </si>
  <si>
    <t>Uncollectable Accounts</t>
  </si>
  <si>
    <t>Salaries</t>
  </si>
  <si>
    <t>Insurance</t>
  </si>
  <si>
    <t>** $6.50/per month Surcharge on all Southeast Customers</t>
  </si>
  <si>
    <t>per gallon</t>
  </si>
  <si>
    <t>$ Change</t>
  </si>
  <si>
    <t>% Change</t>
  </si>
  <si>
    <t>Table F</t>
  </si>
  <si>
    <t>** $6.50/month Southeast Surcharge included.</t>
  </si>
  <si>
    <t>** $6.50/month Southeast Surcharge not included.</t>
  </si>
  <si>
    <t xml:space="preserve">Jessamine-South Elkhorn Water District - Sewer Division </t>
  </si>
  <si>
    <t>Less PSC Annual Report</t>
  </si>
  <si>
    <t>SAO Adjustment</t>
  </si>
  <si>
    <t>Less Billing Adjustments</t>
  </si>
  <si>
    <t>Net Total</t>
  </si>
  <si>
    <t>Less Revenue Requirement</t>
  </si>
  <si>
    <t>Difference</t>
  </si>
  <si>
    <t>CURRENT BILLING ANALYSIS - CURRENT USAGE &amp; EXISTING RATES</t>
  </si>
  <si>
    <t>Central Bank Loan 943</t>
  </si>
  <si>
    <t>Central Bank Loan 958</t>
  </si>
  <si>
    <t>KIA Loan F07-02</t>
  </si>
  <si>
    <t>KIA Loan F11-12</t>
  </si>
  <si>
    <t>Series 2000B Bonds</t>
  </si>
  <si>
    <t>Series 2016D Bonds</t>
  </si>
  <si>
    <t>Series 2021A Bonds</t>
  </si>
  <si>
    <t>Series 2009A Bonds</t>
  </si>
  <si>
    <t>WATER BILLS 5/8" x 3/4" METERS**</t>
  </si>
  <si>
    <t>WATER BILLS 1" METERS**</t>
  </si>
  <si>
    <t>WATER BILLS 2" METERS**</t>
  </si>
  <si>
    <t>with $6.50 Southeast Surcharge</t>
  </si>
  <si>
    <t>General Plant</t>
  </si>
  <si>
    <t>Structures &amp; Improvements</t>
  </si>
  <si>
    <t xml:space="preserve"> varies </t>
  </si>
  <si>
    <t>Communication &amp; Computer Eqmt.</t>
  </si>
  <si>
    <t>Office Furniture &amp; Equipment</t>
  </si>
  <si>
    <t>Power Operated Equipment</t>
  </si>
  <si>
    <t>Tools, Shop, &amp; Garage Equipment</t>
  </si>
  <si>
    <t>Tank Repairs &amp; Painting</t>
  </si>
  <si>
    <t>Source of Supply Plant</t>
  </si>
  <si>
    <t>Collecting &amp; Impounding Reservoirs</t>
  </si>
  <si>
    <t>Supply Mains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</si>
  <si>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</si>
  <si>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</si>
  <si>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</si>
  <si>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</si>
  <si>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</si>
  <si>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</si>
  <si>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Meter Installations</t>
  </si>
  <si>
    <t>Meter Change-outs</t>
  </si>
  <si>
    <t>Pump Equipment</t>
  </si>
  <si>
    <t>Tank Fence</t>
  </si>
  <si>
    <t>Services</t>
  </si>
  <si>
    <t>Reservoirs &amp; Tanks</t>
  </si>
  <si>
    <t>Tank Painting &amp; Repairs</t>
  </si>
  <si>
    <t>Transportation Equipment</t>
  </si>
  <si>
    <t>Entire Group</t>
  </si>
  <si>
    <t>Water Treatment Plant</t>
  </si>
  <si>
    <t>Structures and Improvements</t>
  </si>
  <si>
    <t>Water Treatment Equipment</t>
  </si>
  <si>
    <t>TOTALS - WATER SYSTEM</t>
  </si>
  <si>
    <t>Collection Sewers - Force</t>
  </si>
  <si>
    <t>Collection Sewers - Gravity</t>
  </si>
  <si>
    <t>Other Collection Facilities</t>
  </si>
  <si>
    <t>Pumping Equipment Other</t>
  </si>
  <si>
    <t>Tools Shop and Garage</t>
  </si>
  <si>
    <t>Communications Equipment</t>
  </si>
  <si>
    <t>``</t>
  </si>
  <si>
    <t>Water Loss Adjustment</t>
  </si>
  <si>
    <t>Produced</t>
  </si>
  <si>
    <t>Purchased</t>
  </si>
  <si>
    <t>Total Produced and Purchased</t>
  </si>
  <si>
    <t xml:space="preserve">   WTP</t>
  </si>
  <si>
    <t xml:space="preserve">   Flushing</t>
  </si>
  <si>
    <t xml:space="preserve">   Fire</t>
  </si>
  <si>
    <t xml:space="preserve">   Other</t>
  </si>
  <si>
    <t>Total Other Water Used</t>
  </si>
  <si>
    <t>Losses:</t>
  </si>
  <si>
    <t xml:space="preserve">   Tank Overflows</t>
  </si>
  <si>
    <t xml:space="preserve">   Line Breaks</t>
  </si>
  <si>
    <t xml:space="preserve">   Line Leaks</t>
  </si>
  <si>
    <t xml:space="preserve">   Unknown</t>
  </si>
  <si>
    <t>Total Losses:</t>
  </si>
  <si>
    <t>Sold, Used, and Lost</t>
  </si>
  <si>
    <t>Costs Subject to Water Loss Adjustment</t>
  </si>
  <si>
    <t>Computation of Water Loss Surcharge</t>
  </si>
  <si>
    <t>Total Adjustment</t>
  </si>
  <si>
    <t>/ Number of Bills</t>
  </si>
  <si>
    <t>Monthly Surcharge Amount</t>
  </si>
  <si>
    <t>Adjust Billed Water Revenues to Billing Analysis</t>
  </si>
  <si>
    <t>Adjust Tapping Fee Revenues in Excess of Expenses</t>
  </si>
  <si>
    <t>Employee ID</t>
  </si>
  <si>
    <t>Hourly Rate</t>
  </si>
  <si>
    <t>Job Title</t>
  </si>
  <si>
    <t>Regular Hours</t>
  </si>
  <si>
    <t>Regular Pay</t>
  </si>
  <si>
    <t>Bonus   Pay</t>
  </si>
  <si>
    <t>Leave Sold</t>
  </si>
  <si>
    <t>Overtime Hours</t>
  </si>
  <si>
    <t>Overtime Pay</t>
  </si>
  <si>
    <t>Total        Pay</t>
  </si>
  <si>
    <t>Office Administrator</t>
  </si>
  <si>
    <t>Meter Reader/Cutoff/Flushing</t>
  </si>
  <si>
    <t>Superintendent</t>
  </si>
  <si>
    <t>Water Distribution Operator</t>
  </si>
  <si>
    <t>Bookkeeper</t>
  </si>
  <si>
    <t>Pro Forma Salaries &amp; Wages Expense</t>
  </si>
  <si>
    <t>Less: Test Year Salaries &amp; Wages Exp</t>
  </si>
  <si>
    <t>C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</si>
  <si>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</si>
  <si>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</si>
  <si>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</si>
  <si>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</si>
  <si>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</si>
  <si>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1</t>
  </si>
  <si>
    <t>2</t>
  </si>
  <si>
    <t>3</t>
  </si>
  <si>
    <t>4</t>
  </si>
  <si>
    <t>6</t>
  </si>
  <si>
    <t>7</t>
  </si>
  <si>
    <t>8</t>
  </si>
  <si>
    <t>Salaries and Wages Adjustment</t>
  </si>
  <si>
    <t>Water Portion</t>
  </si>
  <si>
    <t>Salaries and Wages Adjustment - Water</t>
  </si>
  <si>
    <t>Salaries and Wages Adjustment - Sewer</t>
  </si>
  <si>
    <t>Sewer Portion</t>
  </si>
  <si>
    <t>From Wages and Benefits Spreadsheet, 2020 Employee Earnings Tab, Cell H584</t>
  </si>
  <si>
    <t>From Overhead Spreadsheet, Sheet 1 Tab, Cell B400</t>
  </si>
  <si>
    <t>From Overhead Spreadsheet, Sheet 1 Tab, Cell B398</t>
  </si>
  <si>
    <t>From Wages and Benefits Spreadsheet, 2020 Employee Earnings Tab, Cell J586</t>
  </si>
  <si>
    <t>D</t>
  </si>
  <si>
    <t>Adjust Salaries and Wages to Current Staffing</t>
  </si>
  <si>
    <t>Medical Insurance Adjustment</t>
  </si>
  <si>
    <t xml:space="preserve"> MONTHLY </t>
  </si>
  <si>
    <t xml:space="preserve"> Total </t>
  </si>
  <si>
    <t xml:space="preserve"> Utility Share </t>
  </si>
  <si>
    <t xml:space="preserve"> Allowable </t>
  </si>
  <si>
    <t>Unallowable</t>
  </si>
  <si>
    <t xml:space="preserve"> ANTHEM </t>
  </si>
  <si>
    <t xml:space="preserve"> EMPLOYEE </t>
  </si>
  <si>
    <t>EMPLOYEE</t>
  </si>
  <si>
    <t>UTILITY</t>
  </si>
  <si>
    <t xml:space="preserve"> No. in </t>
  </si>
  <si>
    <t xml:space="preserve"> Annual </t>
  </si>
  <si>
    <t xml:space="preserve"> Employer </t>
  </si>
  <si>
    <t>Employer</t>
  </si>
  <si>
    <t>MEDICAL</t>
  </si>
  <si>
    <t xml:space="preserve"> PREMIUM </t>
  </si>
  <si>
    <t xml:space="preserve"> CONTRIB </t>
  </si>
  <si>
    <t>CONTRIB %</t>
  </si>
  <si>
    <t xml:space="preserve"> Ea. Teir </t>
  </si>
  <si>
    <t xml:space="preserve"> Premium </t>
  </si>
  <si>
    <t xml:space="preserve"> Share </t>
  </si>
  <si>
    <t>Premium</t>
  </si>
  <si>
    <t>DENTAL</t>
  </si>
  <si>
    <t xml:space="preserve">TOTAL </t>
  </si>
  <si>
    <t>RD Employee</t>
  </si>
  <si>
    <t>MH Employee + Children</t>
  </si>
  <si>
    <t>KM Employee</t>
  </si>
  <si>
    <t>Total Unallowable Medical and Dental Premium</t>
  </si>
  <si>
    <t>Unallowable Medical and Dental Premium Adjustment - Water</t>
  </si>
  <si>
    <t>Unallowable Medical and Dental Premium Adjustment - Sewer</t>
  </si>
  <si>
    <t>Adjust Unallowable Medical and Dental Premiums</t>
  </si>
  <si>
    <t>Times: 6.00 Percent Pension Contribution Rate</t>
  </si>
  <si>
    <t>Pro Forma Pension Contribution</t>
  </si>
  <si>
    <t>From General Ledger Account 604.30.20 in Trial Balance</t>
  </si>
  <si>
    <t>Adjust for Pension Contribution</t>
  </si>
  <si>
    <t>A</t>
  </si>
  <si>
    <t>B</t>
  </si>
  <si>
    <t>E</t>
  </si>
  <si>
    <t>F</t>
  </si>
  <si>
    <t>H</t>
  </si>
  <si>
    <t>I</t>
  </si>
  <si>
    <t>G</t>
  </si>
  <si>
    <t>Adjust Depreciation Expense based upon allowed useful lives</t>
  </si>
  <si>
    <t>Adjust payroll taxes based upon changes in salaries and wages</t>
  </si>
  <si>
    <t>Average of five years of annual debt service</t>
  </si>
  <si>
    <t>Twenty percent of average annual debt service</t>
  </si>
  <si>
    <t>Adjust Billed Sewer Revenues to Billing Analysis</t>
  </si>
  <si>
    <t>DIFFERENCE</t>
  </si>
  <si>
    <t>PERCENT</t>
  </si>
  <si>
    <t>Correction to allocation of sewer service charges and penalties</t>
  </si>
  <si>
    <t>J</t>
  </si>
  <si>
    <t>Penalties</t>
  </si>
  <si>
    <t>Water</t>
  </si>
  <si>
    <t>Sewer</t>
  </si>
  <si>
    <t>K</t>
  </si>
  <si>
    <t>L</t>
  </si>
  <si>
    <t>Adjust Penalties to 2019 Level</t>
  </si>
  <si>
    <t>Remove 2020 Penalties reported as Misc Service Revenue</t>
  </si>
  <si>
    <t>Remove 2020 Penalties reported as Other Sewer Revenues</t>
  </si>
  <si>
    <t>M</t>
  </si>
  <si>
    <t>Correction to allocation of expenses between water and sewer</t>
  </si>
  <si>
    <t>TABLE C</t>
  </si>
  <si>
    <t>TABLE D</t>
  </si>
  <si>
    <t>PROPOSED BILLING ANALYSIS - CURRENT USAGE &amp; PROPOSED RATES</t>
  </si>
  <si>
    <t>Jessamine-South Elkhorn Water District-Water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</si>
</sst>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_([$$-409]* #,##0_);_([$$-409]* \(#,##0\);_([$$-409]* &quot;-&quot;??_);_(@_)"/>
    <numFmt numFmtId="167" formatCode="_(* #,##0_);_(* \(#,##0\);_(* &quot;-&quot;??_);_(@_)"/>
    <numFmt numFmtId="168" formatCode="0.0%"/>
    <numFmt numFmtId="169" formatCode="_(* #,##0.0_);_(* \(#,##0.0\);_(* &quot;-&quot;??_);_(@_)"/>
    <numFmt numFmtId="170" formatCode="_(* #,##0.00000_);_(* \(#,##0.00000\);_(* &quot;-&quot;??_);_(@_)"/>
    <numFmt numFmtId="171" formatCode="_(&quot;$&quot;* #,##0.00000_);_(&quot;$&quot;* \(#,##0.00000\);_(&quot;$&quot;* &quot;-&quot;??_);_(@_)"/>
  </numFmts>
  <fonts count="26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u/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 val="singleAccounting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2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7" fontId="4" fillId="0" borderId="0" xfId="1" applyNumberFormat="1" applyFont="1"/>
    <xf numFmtId="44" fontId="4" fillId="0" borderId="0" xfId="2" applyFont="1" applyBorder="1"/>
    <xf numFmtId="164" fontId="4" fillId="0" borderId="0" xfId="2" applyNumberFormat="1" applyFont="1" applyBorder="1"/>
    <xf numFmtId="167" fontId="4" fillId="0" borderId="0" xfId="1" applyNumberFormat="1" applyFont="1" applyBorder="1"/>
    <xf numFmtId="0" fontId="4" fillId="0" borderId="0" xfId="0" applyFont="1" applyBorder="1" applyAlignment="1">
      <alignment horizontal="center"/>
    </xf>
    <xf numFmtId="44" fontId="4" fillId="0" borderId="2" xfId="2" applyFont="1" applyBorder="1"/>
    <xf numFmtId="0" fontId="4" fillId="0" borderId="0" xfId="0" applyFont="1" applyBorder="1"/>
    <xf numFmtId="0" fontId="4" fillId="0" borderId="0" xfId="0" applyFont="1" applyAlignment="1">
      <alignment horizontal="centerContinuous"/>
    </xf>
    <xf numFmtId="164" fontId="4" fillId="0" borderId="0" xfId="4" applyNumberFormat="1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37" fontId="4" fillId="0" borderId="0" xfId="0" applyNumberFormat="1" applyFont="1"/>
    <xf numFmtId="167" fontId="4" fillId="0" borderId="0" xfId="5" applyNumberFormat="1" applyFont="1"/>
    <xf numFmtId="37" fontId="4" fillId="0" borderId="1" xfId="0" applyNumberFormat="1" applyFont="1" applyBorder="1"/>
    <xf numFmtId="167" fontId="4" fillId="0" borderId="1" xfId="5" applyNumberFormat="1" applyFont="1" applyBorder="1"/>
    <xf numFmtId="0" fontId="3" fillId="0" borderId="0" xfId="0" applyFont="1" applyAlignment="1">
      <alignment horizontal="left"/>
    </xf>
    <xf numFmtId="44" fontId="4" fillId="0" borderId="0" xfId="4" applyFont="1"/>
    <xf numFmtId="0" fontId="4" fillId="0" borderId="1" xfId="0" applyFont="1" applyBorder="1"/>
    <xf numFmtId="43" fontId="4" fillId="0" borderId="1" xfId="5" applyFont="1" applyBorder="1"/>
    <xf numFmtId="3" fontId="4" fillId="0" borderId="0" xfId="0" applyNumberFormat="1" applyFont="1"/>
    <xf numFmtId="3" fontId="8" fillId="0" borderId="0" xfId="0" applyNumberFormat="1" applyFont="1" applyAlignment="1">
      <alignment horizontal="centerContinuous" vertical="center"/>
    </xf>
    <xf numFmtId="3" fontId="10" fillId="0" borderId="0" xfId="0" applyNumberFormat="1" applyFont="1" applyAlignment="1">
      <alignment horizontal="centerContinuous"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/>
    <xf numFmtId="0" fontId="10" fillId="0" borderId="0" xfId="0" applyFont="1"/>
    <xf numFmtId="3" fontId="12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7" fontId="4" fillId="0" borderId="0" xfId="1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/>
    <xf numFmtId="3" fontId="3" fillId="0" borderId="0" xfId="0" applyNumberFormat="1" applyFont="1" applyAlignment="1">
      <alignment vertical="center"/>
    </xf>
    <xf numFmtId="167" fontId="4" fillId="0" borderId="0" xfId="1" applyNumberFormat="1" applyFont="1" applyAlignment="1"/>
    <xf numFmtId="168" fontId="4" fillId="0" borderId="0" xfId="0" applyNumberFormat="1" applyFont="1" applyAlignment="1">
      <alignment vertical="center"/>
    </xf>
    <xf numFmtId="167" fontId="14" fillId="0" borderId="0" xfId="1" applyNumberFormat="1" applyFont="1" applyAlignment="1">
      <alignment vertical="center"/>
    </xf>
    <xf numFmtId="3" fontId="5" fillId="0" borderId="0" xfId="0" applyNumberFormat="1" applyFont="1" applyBorder="1" applyAlignment="1"/>
    <xf numFmtId="3" fontId="4" fillId="0" borderId="0" xfId="0" applyNumberFormat="1" applyFont="1" applyBorder="1" applyAlignment="1"/>
    <xf numFmtId="165" fontId="4" fillId="0" borderId="0" xfId="0" applyNumberFormat="1" applyFont="1" applyBorder="1" applyAlignment="1">
      <alignment horizontal="center"/>
    </xf>
    <xf numFmtId="167" fontId="4" fillId="0" borderId="0" xfId="0" applyNumberFormat="1" applyFont="1" applyBorder="1"/>
    <xf numFmtId="3" fontId="3" fillId="0" borderId="0" xfId="0" applyNumberFormat="1" applyFont="1" applyBorder="1" applyAlignment="1"/>
    <xf numFmtId="166" fontId="3" fillId="0" borderId="0" xfId="0" applyNumberFormat="1" applyFont="1" applyBorder="1"/>
    <xf numFmtId="3" fontId="9" fillId="0" borderId="0" xfId="0" applyNumberFormat="1" applyFont="1" applyAlignment="1"/>
    <xf numFmtId="0" fontId="4" fillId="0" borderId="3" xfId="0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3" fontId="4" fillId="0" borderId="0" xfId="0" applyNumberFormat="1" applyFont="1" applyBorder="1"/>
    <xf numFmtId="0" fontId="4" fillId="0" borderId="2" xfId="0" applyFont="1" applyBorder="1"/>
    <xf numFmtId="3" fontId="5" fillId="0" borderId="0" xfId="0" applyNumberFormat="1" applyFont="1" applyBorder="1" applyAlignment="1">
      <alignment horizontal="centerContinuous"/>
    </xf>
    <xf numFmtId="3" fontId="4" fillId="0" borderId="6" xfId="0" applyNumberFormat="1" applyFont="1" applyBorder="1" applyAlignment="1"/>
    <xf numFmtId="3" fontId="5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0" borderId="7" xfId="0" applyFont="1" applyBorder="1"/>
    <xf numFmtId="3" fontId="4" fillId="0" borderId="1" xfId="0" applyNumberFormat="1" applyFont="1" applyBorder="1" applyAlignment="1"/>
    <xf numFmtId="4" fontId="4" fillId="0" borderId="1" xfId="0" applyNumberFormat="1" applyFont="1" applyBorder="1"/>
    <xf numFmtId="3" fontId="4" fillId="0" borderId="8" xfId="0" applyNumberFormat="1" applyFont="1" applyBorder="1" applyAlignment="1"/>
    <xf numFmtId="4" fontId="4" fillId="0" borderId="0" xfId="0" applyNumberFormat="1" applyFont="1" applyBorder="1"/>
    <xf numFmtId="169" fontId="4" fillId="0" borderId="0" xfId="1" applyNumberFormat="1" applyFont="1" applyBorder="1"/>
    <xf numFmtId="169" fontId="4" fillId="0" borderId="0" xfId="1" applyNumberFormat="1" applyFont="1" applyAlignment="1"/>
    <xf numFmtId="169" fontId="4" fillId="0" borderId="4" xfId="1" applyNumberFormat="1" applyFont="1" applyBorder="1"/>
    <xf numFmtId="169" fontId="4" fillId="0" borderId="0" xfId="1" applyNumberFormat="1" applyFont="1" applyBorder="1" applyAlignment="1"/>
    <xf numFmtId="169" fontId="5" fillId="0" borderId="0" xfId="1" applyNumberFormat="1" applyFont="1" applyBorder="1" applyAlignment="1">
      <alignment horizontal="centerContinuous"/>
    </xf>
    <xf numFmtId="169" fontId="5" fillId="0" borderId="0" xfId="1" applyNumberFormat="1" applyFont="1" applyBorder="1" applyAlignment="1">
      <alignment horizontal="center"/>
    </xf>
    <xf numFmtId="169" fontId="4" fillId="0" borderId="1" xfId="1" applyNumberFormat="1" applyFont="1" applyBorder="1" applyAlignment="1"/>
    <xf numFmtId="169" fontId="3" fillId="0" borderId="0" xfId="1" applyNumberFormat="1" applyFont="1" applyBorder="1" applyAlignment="1"/>
    <xf numFmtId="3" fontId="11" fillId="0" borderId="0" xfId="0" applyNumberFormat="1" applyFont="1" applyAlignment="1">
      <alignment horizontal="left" vertical="center"/>
    </xf>
    <xf numFmtId="0" fontId="10" fillId="0" borderId="0" xfId="0" applyNumberFormat="1" applyFont="1" applyAlignment="1"/>
    <xf numFmtId="167" fontId="7" fillId="0" borderId="0" xfId="1" applyNumberFormat="1" applyFont="1"/>
    <xf numFmtId="10" fontId="4" fillId="0" borderId="0" xfId="3" applyNumberFormat="1" applyFont="1" applyAlignment="1">
      <alignment vertical="center"/>
    </xf>
    <xf numFmtId="167" fontId="4" fillId="0" borderId="0" xfId="1" applyNumberFormat="1" applyFont="1" applyAlignment="1">
      <alignment horizontal="right" vertical="center"/>
    </xf>
    <xf numFmtId="167" fontId="4" fillId="0" borderId="0" xfId="1" applyNumberFormat="1" applyFont="1" applyAlignment="1">
      <alignment horizontal="right"/>
    </xf>
    <xf numFmtId="43" fontId="4" fillId="0" borderId="0" xfId="0" applyNumberFormat="1" applyFont="1"/>
    <xf numFmtId="164" fontId="4" fillId="0" borderId="0" xfId="2" applyNumberFormat="1" applyFont="1"/>
    <xf numFmtId="167" fontId="16" fillId="0" borderId="0" xfId="1" applyNumberFormat="1" applyFont="1" applyAlignment="1">
      <alignment vertical="center"/>
    </xf>
    <xf numFmtId="0" fontId="8" fillId="0" borderId="0" xfId="0" applyFont="1" applyAlignment="1">
      <alignment horizontal="centerContinuous"/>
    </xf>
    <xf numFmtId="164" fontId="4" fillId="0" borderId="0" xfId="0" applyNumberFormat="1" applyFont="1"/>
    <xf numFmtId="167" fontId="4" fillId="0" borderId="0" xfId="5" applyNumberFormat="1" applyFont="1" applyFill="1"/>
    <xf numFmtId="167" fontId="4" fillId="0" borderId="1" xfId="5" applyNumberFormat="1" applyFont="1" applyFill="1" applyBorder="1"/>
    <xf numFmtId="167" fontId="4" fillId="0" borderId="0" xfId="5" applyNumberFormat="1" applyFont="1" applyBorder="1"/>
    <xf numFmtId="167" fontId="4" fillId="0" borderId="0" xfId="0" applyNumberFormat="1" applyFont="1"/>
    <xf numFmtId="0" fontId="5" fillId="0" borderId="0" xfId="0" applyFont="1" applyAlignment="1">
      <alignment horizontal="right"/>
    </xf>
    <xf numFmtId="167" fontId="17" fillId="0" borderId="0" xfId="1" applyNumberFormat="1" applyFont="1" applyAlignment="1">
      <alignment vertical="center"/>
    </xf>
    <xf numFmtId="0" fontId="4" fillId="0" borderId="0" xfId="0" quotePrefix="1" applyFont="1" applyAlignment="1">
      <alignment horizontal="center"/>
    </xf>
    <xf numFmtId="167" fontId="4" fillId="0" borderId="1" xfId="1" applyNumberFormat="1" applyFont="1" applyBorder="1"/>
    <xf numFmtId="167" fontId="4" fillId="0" borderId="3" xfId="5" applyNumberFormat="1" applyFont="1" applyBorder="1"/>
    <xf numFmtId="167" fontId="4" fillId="0" borderId="4" xfId="5" applyNumberFormat="1" applyFont="1" applyBorder="1"/>
    <xf numFmtId="167" fontId="4" fillId="0" borderId="5" xfId="5" applyNumberFormat="1" applyFont="1" applyBorder="1"/>
    <xf numFmtId="167" fontId="4" fillId="0" borderId="2" xfId="5" applyNumberFormat="1" applyFont="1" applyBorder="1"/>
    <xf numFmtId="167" fontId="4" fillId="0" borderId="6" xfId="5" applyNumberFormat="1" applyFont="1" applyBorder="1"/>
    <xf numFmtId="167" fontId="3" fillId="0" borderId="0" xfId="5" applyNumberFormat="1" applyFont="1" applyBorder="1"/>
    <xf numFmtId="167" fontId="4" fillId="0" borderId="7" xfId="5" applyNumberFormat="1" applyFont="1" applyBorder="1"/>
    <xf numFmtId="167" fontId="4" fillId="0" borderId="8" xfId="5" applyNumberFormat="1" applyFont="1" applyBorder="1"/>
    <xf numFmtId="167" fontId="7" fillId="0" borderId="0" xfId="5" applyNumberFormat="1" applyFont="1" applyBorder="1" applyAlignment="1">
      <alignment horizontal="center"/>
    </xf>
    <xf numFmtId="43" fontId="4" fillId="0" borderId="0" xfId="5" applyFont="1" applyBorder="1"/>
    <xf numFmtId="167" fontId="10" fillId="0" borderId="0" xfId="1" applyNumberFormat="1" applyFont="1" applyAlignment="1"/>
    <xf numFmtId="167" fontId="7" fillId="0" borderId="6" xfId="5" applyNumberFormat="1" applyFont="1" applyBorder="1" applyAlignment="1">
      <alignment horizontal="center"/>
    </xf>
    <xf numFmtId="168" fontId="4" fillId="0" borderId="6" xfId="6" applyNumberFormat="1" applyFont="1" applyBorder="1"/>
    <xf numFmtId="167" fontId="4" fillId="2" borderId="0" xfId="5" applyNumberFormat="1" applyFont="1" applyFill="1" applyBorder="1"/>
    <xf numFmtId="167" fontId="3" fillId="0" borderId="0" xfId="5" applyNumberFormat="1" applyFont="1" applyBorder="1" applyAlignment="1">
      <alignment horizontal="right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1" xfId="0" applyFont="1" applyBorder="1"/>
    <xf numFmtId="0" fontId="10" fillId="0" borderId="8" xfId="0" applyFont="1" applyBorder="1"/>
    <xf numFmtId="0" fontId="4" fillId="0" borderId="3" xfId="0" applyNumberFormat="1" applyFont="1" applyBorder="1" applyAlignment="1"/>
    <xf numFmtId="0" fontId="4" fillId="0" borderId="4" xfId="0" applyNumberFormat="1" applyFont="1" applyBorder="1" applyAlignment="1"/>
    <xf numFmtId="0" fontId="4" fillId="0" borderId="5" xfId="0" applyNumberFormat="1" applyFont="1" applyBorder="1" applyAlignment="1"/>
    <xf numFmtId="0" fontId="4" fillId="0" borderId="2" xfId="0" applyNumberFormat="1" applyFont="1" applyBorder="1" applyAlignment="1"/>
    <xf numFmtId="0" fontId="4" fillId="0" borderId="0" xfId="0" applyNumberFormat="1" applyFont="1" applyBorder="1" applyAlignment="1"/>
    <xf numFmtId="0" fontId="4" fillId="0" borderId="6" xfId="0" applyNumberFormat="1" applyFont="1" applyBorder="1" applyAlignment="1"/>
    <xf numFmtId="0" fontId="5" fillId="0" borderId="0" xfId="0" applyNumberFormat="1" applyFont="1" applyBorder="1" applyAlignment="1"/>
    <xf numFmtId="0" fontId="4" fillId="0" borderId="0" xfId="0" applyNumberFormat="1" applyFont="1" applyBorder="1" applyAlignment="1">
      <alignment horizontal="right"/>
    </xf>
    <xf numFmtId="167" fontId="4" fillId="0" borderId="0" xfId="1" applyNumberFormat="1" applyFont="1" applyBorder="1" applyAlignment="1"/>
    <xf numFmtId="44" fontId="4" fillId="0" borderId="0" xfId="2" applyFont="1" applyBorder="1" applyAlignment="1"/>
    <xf numFmtId="43" fontId="4" fillId="0" borderId="0" xfId="1" applyFont="1" applyBorder="1" applyAlignment="1"/>
    <xf numFmtId="0" fontId="4" fillId="0" borderId="7" xfId="0" applyNumberFormat="1" applyFont="1" applyBorder="1" applyAlignment="1"/>
    <xf numFmtId="167" fontId="4" fillId="0" borderId="1" xfId="1" applyNumberFormat="1" applyFont="1" applyBorder="1" applyAlignment="1"/>
    <xf numFmtId="0" fontId="4" fillId="0" borderId="1" xfId="0" applyNumberFormat="1" applyFont="1" applyBorder="1" applyAlignment="1"/>
    <xf numFmtId="0" fontId="4" fillId="0" borderId="8" xfId="0" applyNumberFormat="1" applyFont="1" applyBorder="1" applyAlignment="1"/>
    <xf numFmtId="0" fontId="4" fillId="0" borderId="0" xfId="0" applyNumberFormat="1" applyFont="1" applyAlignment="1"/>
    <xf numFmtId="0" fontId="13" fillId="0" borderId="0" xfId="0" applyNumberFormat="1" applyFont="1" applyAlignment="1">
      <alignment horizontal="center"/>
    </xf>
    <xf numFmtId="44" fontId="4" fillId="0" borderId="0" xfId="0" applyNumberFormat="1" applyFont="1" applyAlignment="1"/>
    <xf numFmtId="168" fontId="4" fillId="0" borderId="0" xfId="3" applyNumberFormat="1" applyFont="1" applyAlignment="1"/>
    <xf numFmtId="167" fontId="5" fillId="0" borderId="0" xfId="5" applyNumberFormat="1" applyFont="1" applyAlignment="1">
      <alignment horizontal="centerContinuous"/>
    </xf>
    <xf numFmtId="167" fontId="4" fillId="0" borderId="0" xfId="5" applyNumberFormat="1" applyFont="1" applyAlignment="1">
      <alignment horizontal="centerContinuous"/>
    </xf>
    <xf numFmtId="167" fontId="4" fillId="0" borderId="3" xfId="5" applyNumberFormat="1" applyFont="1" applyBorder="1" applyAlignment="1">
      <alignment horizontal="left"/>
    </xf>
    <xf numFmtId="167" fontId="6" fillId="0" borderId="2" xfId="5" applyNumberFormat="1" applyFont="1" applyBorder="1" applyAlignment="1">
      <alignment horizontal="center" vertical="center"/>
    </xf>
    <xf numFmtId="164" fontId="4" fillId="0" borderId="2" xfId="4" quotePrefix="1" applyNumberFormat="1" applyFont="1" applyBorder="1" applyAlignment="1">
      <alignment horizontal="center"/>
    </xf>
    <xf numFmtId="167" fontId="4" fillId="0" borderId="2" xfId="5" applyNumberFormat="1" applyFont="1" applyBorder="1" applyAlignment="1">
      <alignment horizontal="center"/>
    </xf>
    <xf numFmtId="167" fontId="4" fillId="0" borderId="0" xfId="5" applyNumberFormat="1" applyFont="1" applyAlignment="1">
      <alignment horizontal="center"/>
    </xf>
    <xf numFmtId="167" fontId="4" fillId="0" borderId="2" xfId="5" quotePrefix="1" applyNumberFormat="1" applyFont="1" applyBorder="1" applyAlignment="1">
      <alignment horizontal="left"/>
    </xf>
    <xf numFmtId="167" fontId="3" fillId="0" borderId="0" xfId="5" applyNumberFormat="1" applyFont="1" applyAlignment="1">
      <alignment horizontal="right"/>
    </xf>
    <xf numFmtId="167" fontId="3" fillId="0" borderId="0" xfId="5" applyNumberFormat="1" applyFont="1"/>
    <xf numFmtId="164" fontId="3" fillId="0" borderId="0" xfId="4" applyNumberFormat="1" applyFont="1"/>
    <xf numFmtId="0" fontId="12" fillId="0" borderId="0" xfId="0" applyFont="1"/>
    <xf numFmtId="3" fontId="8" fillId="0" borderId="0" xfId="0" applyNumberFormat="1" applyFont="1" applyAlignment="1">
      <alignment horizontal="center" vertical="center"/>
    </xf>
    <xf numFmtId="167" fontId="7" fillId="0" borderId="0" xfId="0" applyNumberFormat="1" applyFont="1"/>
    <xf numFmtId="0" fontId="4" fillId="0" borderId="0" xfId="0" applyFont="1" applyFill="1"/>
    <xf numFmtId="3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67" fontId="7" fillId="0" borderId="0" xfId="1" applyNumberFormat="1" applyFont="1" applyFill="1"/>
    <xf numFmtId="0" fontId="4" fillId="0" borderId="1" xfId="0" applyFont="1" applyBorder="1" applyAlignment="1">
      <alignment horizontal="left"/>
    </xf>
    <xf numFmtId="167" fontId="4" fillId="0" borderId="4" xfId="5" applyNumberFormat="1" applyFont="1" applyBorder="1" applyAlignment="1">
      <alignment horizontal="left"/>
    </xf>
    <xf numFmtId="167" fontId="4" fillId="0" borderId="5" xfId="5" applyNumberFormat="1" applyFont="1" applyBorder="1" applyAlignment="1">
      <alignment horizontal="left"/>
    </xf>
    <xf numFmtId="167" fontId="5" fillId="0" borderId="2" xfId="5" applyNumberFormat="1" applyFont="1" applyBorder="1" applyAlignment="1">
      <alignment horizontal="centerContinuous"/>
    </xf>
    <xf numFmtId="167" fontId="6" fillId="0" borderId="0" xfId="5" applyNumberFormat="1" applyFont="1" applyBorder="1" applyAlignment="1">
      <alignment horizontal="center" vertical="center"/>
    </xf>
    <xf numFmtId="164" fontId="4" fillId="0" borderId="0" xfId="4" quotePrefix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43" fontId="4" fillId="0" borderId="0" xfId="1" applyFont="1"/>
    <xf numFmtId="167" fontId="4" fillId="0" borderId="0" xfId="5" quotePrefix="1" applyNumberFormat="1" applyFont="1"/>
    <xf numFmtId="43" fontId="4" fillId="0" borderId="0" xfId="1" applyFont="1" applyAlignment="1"/>
    <xf numFmtId="167" fontId="7" fillId="0" borderId="0" xfId="1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167" fontId="4" fillId="0" borderId="0" xfId="1" quotePrefix="1" applyNumberFormat="1" applyFont="1" applyAlignment="1">
      <alignment vertical="center"/>
    </xf>
    <xf numFmtId="165" fontId="4" fillId="0" borderId="0" xfId="0" quotePrefix="1" applyNumberFormat="1" applyFont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"/>
    </xf>
    <xf numFmtId="44" fontId="10" fillId="0" borderId="0" xfId="0" applyNumberFormat="1" applyFont="1" applyAlignment="1"/>
    <xf numFmtId="167" fontId="4" fillId="0" borderId="9" xfId="5" applyNumberFormat="1" applyFont="1" applyBorder="1"/>
    <xf numFmtId="167" fontId="7" fillId="0" borderId="10" xfId="5" applyNumberFormat="1" applyFont="1" applyBorder="1" applyAlignment="1">
      <alignment horizontal="center"/>
    </xf>
    <xf numFmtId="44" fontId="4" fillId="0" borderId="10" xfId="2" applyFont="1" applyBorder="1"/>
    <xf numFmtId="43" fontId="4" fillId="2" borderId="10" xfId="5" applyFont="1" applyFill="1" applyBorder="1"/>
    <xf numFmtId="43" fontId="4" fillId="0" borderId="10" xfId="5" applyFont="1" applyBorder="1"/>
    <xf numFmtId="43" fontId="7" fillId="0" borderId="6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18" fillId="0" borderId="0" xfId="0" applyFont="1"/>
    <xf numFmtId="3" fontId="8" fillId="0" borderId="0" xfId="0" applyNumberFormat="1" applyFont="1" applyAlignment="1">
      <alignment horizontal="center" vertical="center"/>
    </xf>
    <xf numFmtId="167" fontId="5" fillId="0" borderId="0" xfId="1" applyNumberFormat="1" applyFont="1" applyAlignment="1">
      <alignment horizontal="center" vertical="center"/>
    </xf>
    <xf numFmtId="167" fontId="13" fillId="0" borderId="0" xfId="1" applyNumberFormat="1" applyFont="1" applyAlignment="1">
      <alignment vertical="center"/>
    </xf>
    <xf numFmtId="167" fontId="3" fillId="0" borderId="0" xfId="1" applyNumberFormat="1" applyFont="1" applyAlignment="1">
      <alignment vertical="center"/>
    </xf>
    <xf numFmtId="169" fontId="4" fillId="0" borderId="0" xfId="1" applyNumberFormat="1" applyFont="1"/>
    <xf numFmtId="3" fontId="8" fillId="0" borderId="0" xfId="0" applyNumberFormat="1" applyFont="1" applyAlignment="1">
      <alignment horizontal="center" vertical="center"/>
    </xf>
    <xf numFmtId="167" fontId="4" fillId="0" borderId="9" xfId="5" applyNumberFormat="1" applyFont="1" applyBorder="1" applyAlignment="1">
      <alignment horizontal="left"/>
    </xf>
    <xf numFmtId="167" fontId="5" fillId="0" borderId="6" xfId="5" applyNumberFormat="1" applyFont="1" applyBorder="1" applyAlignment="1">
      <alignment horizontal="centerContinuous"/>
    </xf>
    <xf numFmtId="167" fontId="6" fillId="0" borderId="0" xfId="5" applyNumberFormat="1" applyFont="1" applyAlignment="1">
      <alignment horizontal="center" vertical="center"/>
    </xf>
    <xf numFmtId="167" fontId="6" fillId="0" borderId="6" xfId="5" applyNumberFormat="1" applyFont="1" applyBorder="1" applyAlignment="1">
      <alignment horizontal="center" vertical="center"/>
    </xf>
    <xf numFmtId="167" fontId="4" fillId="0" borderId="10" xfId="5" applyNumberFormat="1" applyFont="1" applyBorder="1" applyAlignment="1">
      <alignment horizontal="left"/>
    </xf>
    <xf numFmtId="164" fontId="4" fillId="0" borderId="0" xfId="4" quotePrefix="1" applyNumberFormat="1" applyFont="1" applyAlignment="1">
      <alignment horizontal="center"/>
    </xf>
    <xf numFmtId="164" fontId="4" fillId="0" borderId="6" xfId="4" quotePrefix="1" applyNumberFormat="1" applyFont="1" applyBorder="1" applyAlignment="1">
      <alignment horizontal="center"/>
    </xf>
    <xf numFmtId="167" fontId="4" fillId="0" borderId="6" xfId="5" applyNumberFormat="1" applyFont="1" applyBorder="1" applyAlignment="1">
      <alignment horizontal="center"/>
    </xf>
    <xf numFmtId="167" fontId="4" fillId="0" borderId="0" xfId="5" quotePrefix="1" applyNumberFormat="1" applyFont="1" applyBorder="1" applyAlignment="1">
      <alignment horizontal="center"/>
    </xf>
    <xf numFmtId="167" fontId="4" fillId="0" borderId="0" xfId="5" quotePrefix="1" applyNumberFormat="1" applyFont="1" applyAlignment="1">
      <alignment horizontal="left"/>
    </xf>
    <xf numFmtId="167" fontId="4" fillId="0" borderId="6" xfId="5" quotePrefix="1" applyNumberFormat="1" applyFont="1" applyBorder="1" applyAlignment="1">
      <alignment horizontal="left"/>
    </xf>
    <xf numFmtId="164" fontId="3" fillId="0" borderId="0" xfId="4" applyNumberFormat="1" applyFont="1" applyBorder="1"/>
    <xf numFmtId="167" fontId="4" fillId="0" borderId="11" xfId="5" applyNumberFormat="1" applyFont="1" applyBorder="1" applyAlignment="1">
      <alignment horizontal="left"/>
    </xf>
    <xf numFmtId="167" fontId="4" fillId="0" borderId="7" xfId="5" quotePrefix="1" applyNumberFormat="1" applyFont="1" applyBorder="1" applyAlignment="1">
      <alignment horizontal="left"/>
    </xf>
    <xf numFmtId="167" fontId="4" fillId="0" borderId="1" xfId="5" quotePrefix="1" applyNumberFormat="1" applyFont="1" applyBorder="1" applyAlignment="1">
      <alignment horizontal="left"/>
    </xf>
    <xf numFmtId="167" fontId="4" fillId="0" borderId="8" xfId="5" quotePrefix="1" applyNumberFormat="1" applyFont="1" applyBorder="1" applyAlignment="1">
      <alignment horizontal="left"/>
    </xf>
    <xf numFmtId="164" fontId="4" fillId="0" borderId="1" xfId="4" quotePrefix="1" applyNumberFormat="1" applyFont="1" applyBorder="1" applyAlignment="1">
      <alignment horizontal="left"/>
    </xf>
    <xf numFmtId="166" fontId="3" fillId="0" borderId="4" xfId="0" applyNumberFormat="1" applyFont="1" applyBorder="1"/>
    <xf numFmtId="169" fontId="3" fillId="0" borderId="4" xfId="1" applyNumberFormat="1" applyFont="1" applyBorder="1" applyAlignment="1"/>
    <xf numFmtId="3" fontId="4" fillId="0" borderId="5" xfId="0" applyNumberFormat="1" applyFont="1" applyBorder="1" applyAlignment="1"/>
    <xf numFmtId="3" fontId="5" fillId="0" borderId="4" xfId="0" applyNumberFormat="1" applyFont="1" applyBorder="1" applyAlignment="1">
      <alignment horizontal="center"/>
    </xf>
    <xf numFmtId="169" fontId="5" fillId="0" borderId="4" xfId="1" applyNumberFormat="1" applyFont="1" applyBorder="1" applyAlignment="1">
      <alignment horizontal="center"/>
    </xf>
    <xf numFmtId="164" fontId="4" fillId="0" borderId="0" xfId="4" applyNumberFormat="1" applyFont="1"/>
    <xf numFmtId="44" fontId="4" fillId="0" borderId="0" xfId="4" applyFont="1"/>
    <xf numFmtId="3" fontId="8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44" fontId="4" fillId="0" borderId="0" xfId="0" applyNumberFormat="1" applyFont="1"/>
    <xf numFmtId="164" fontId="3" fillId="0" borderId="0" xfId="0" applyNumberFormat="1" applyFont="1" applyAlignment="1">
      <alignment horizontal="right"/>
    </xf>
    <xf numFmtId="167" fontId="4" fillId="0" borderId="0" xfId="1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164" fontId="4" fillId="0" borderId="1" xfId="2" applyNumberFormat="1" applyFont="1" applyBorder="1"/>
    <xf numFmtId="168" fontId="4" fillId="0" borderId="0" xfId="3" applyNumberFormat="1" applyFont="1"/>
    <xf numFmtId="0" fontId="8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7" fontId="3" fillId="0" borderId="0" xfId="1" applyNumberFormat="1" applyFont="1" applyAlignment="1">
      <alignment horizontal="center" vertical="center"/>
    </xf>
    <xf numFmtId="167" fontId="7" fillId="0" borderId="0" xfId="5" applyNumberFormat="1" applyFont="1" applyBorder="1" applyAlignment="1">
      <alignment horizontal="center"/>
    </xf>
    <xf numFmtId="43" fontId="10" fillId="0" borderId="0" xfId="1" applyFont="1" applyAlignme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7" fontId="4" fillId="0" borderId="0" xfId="5" applyNumberFormat="1" applyFont="1" applyBorder="1" applyAlignment="1"/>
    <xf numFmtId="44" fontId="4" fillId="0" borderId="0" xfId="4" applyFont="1" applyBorder="1" applyAlignment="1"/>
    <xf numFmtId="10" fontId="10" fillId="0" borderId="0" xfId="6" applyNumberFormat="1" applyFont="1" applyAlignment="1"/>
    <xf numFmtId="44" fontId="10" fillId="0" borderId="0" xfId="0" applyNumberFormat="1" applyFont="1"/>
    <xf numFmtId="167" fontId="4" fillId="0" borderId="1" xfId="5" applyNumberFormat="1" applyFont="1" applyBorder="1" applyAlignment="1"/>
    <xf numFmtId="0" fontId="4" fillId="0" borderId="8" xfId="0" applyFont="1" applyBorder="1"/>
    <xf numFmtId="167" fontId="10" fillId="0" borderId="0" xfId="5" applyNumberFormat="1" applyFont="1" applyAlignment="1"/>
    <xf numFmtId="167" fontId="3" fillId="0" borderId="0" xfId="1" applyNumberFormat="1" applyFont="1" applyAlignment="1">
      <alignment horizontal="center"/>
    </xf>
    <xf numFmtId="167" fontId="19" fillId="0" borderId="0" xfId="1" applyNumberFormat="1" applyFont="1"/>
    <xf numFmtId="167" fontId="4" fillId="0" borderId="0" xfId="1" applyNumberFormat="1" applyFont="1" applyFill="1"/>
    <xf numFmtId="0" fontId="10" fillId="0" borderId="4" xfId="0" applyNumberFormat="1" applyFont="1" applyBorder="1" applyAlignment="1"/>
    <xf numFmtId="3" fontId="13" fillId="0" borderId="0" xfId="0" applyNumberFormat="1" applyFont="1" applyAlignment="1"/>
    <xf numFmtId="3" fontId="21" fillId="0" borderId="0" xfId="0" applyNumberFormat="1" applyFont="1" applyAlignment="1"/>
    <xf numFmtId="44" fontId="21" fillId="0" borderId="0" xfId="2" applyFont="1" applyAlignment="1"/>
    <xf numFmtId="10" fontId="10" fillId="0" borderId="0" xfId="3" applyNumberFormat="1" applyFont="1"/>
    <xf numFmtId="167" fontId="4" fillId="0" borderId="0" xfId="5" applyNumberFormat="1" applyFont="1" applyBorder="1" applyAlignment="1">
      <alignment horizontal="left"/>
    </xf>
    <xf numFmtId="167" fontId="22" fillId="0" borderId="0" xfId="1" applyNumberFormat="1" applyFont="1" applyAlignment="1">
      <alignment vertical="center"/>
    </xf>
    <xf numFmtId="167" fontId="10" fillId="0" borderId="0" xfId="1" applyNumberFormat="1" applyFont="1" applyAlignment="1">
      <alignment horizontal="centerContinuous" vertical="center"/>
    </xf>
    <xf numFmtId="167" fontId="12" fillId="0" borderId="0" xfId="1" applyNumberFormat="1" applyFont="1" applyAlignment="1">
      <alignment horizontal="center" vertical="center"/>
    </xf>
    <xf numFmtId="167" fontId="10" fillId="0" borderId="0" xfId="1" applyNumberFormat="1" applyFont="1"/>
    <xf numFmtId="167" fontId="20" fillId="0" borderId="0" xfId="1" applyNumberFormat="1" applyFont="1" applyAlignment="1">
      <alignment horizontal="center" vertical="center"/>
    </xf>
    <xf numFmtId="167" fontId="21" fillId="0" borderId="0" xfId="1" applyNumberFormat="1" applyFont="1" applyAlignment="1"/>
    <xf numFmtId="167" fontId="3" fillId="0" borderId="0" xfId="1" applyNumberFormat="1" applyFont="1" applyFill="1"/>
    <xf numFmtId="0" fontId="0" fillId="0" borderId="0" xfId="0" applyFill="1"/>
    <xf numFmtId="44" fontId="4" fillId="0" borderId="1" xfId="4" applyFont="1" applyBorder="1"/>
    <xf numFmtId="170" fontId="4" fillId="0" borderId="0" xfId="5" applyNumberFormat="1" applyFont="1" applyBorder="1" applyAlignment="1"/>
    <xf numFmtId="170" fontId="4" fillId="0" borderId="0" xfId="1" applyNumberFormat="1" applyFont="1" applyBorder="1" applyAlignment="1"/>
    <xf numFmtId="168" fontId="4" fillId="0" borderId="0" xfId="3" applyNumberFormat="1" applyFont="1" applyFill="1"/>
    <xf numFmtId="43" fontId="4" fillId="0" borderId="0" xfId="1" applyFont="1" applyFill="1"/>
    <xf numFmtId="44" fontId="0" fillId="0" borderId="0" xfId="4" applyFont="1" applyFill="1"/>
    <xf numFmtId="0" fontId="1" fillId="0" borderId="0" xfId="0" applyFont="1" applyFill="1"/>
    <xf numFmtId="168" fontId="4" fillId="0" borderId="0" xfId="3" applyNumberFormat="1" applyFont="1" applyBorder="1"/>
    <xf numFmtId="43" fontId="4" fillId="0" borderId="0" xfId="2" applyNumberFormat="1" applyFont="1" applyBorder="1"/>
    <xf numFmtId="43" fontId="4" fillId="0" borderId="0" xfId="2" applyNumberFormat="1" applyFont="1" applyBorder="1" applyAlignment="1"/>
    <xf numFmtId="44" fontId="4" fillId="0" borderId="0" xfId="1" applyNumberFormat="1" applyFont="1" applyBorder="1" applyAlignment="1"/>
    <xf numFmtId="167" fontId="4" fillId="0" borderId="1" xfId="0" applyNumberFormat="1" applyFont="1" applyBorder="1"/>
    <xf numFmtId="0" fontId="12" fillId="0" borderId="0" xfId="0" applyFont="1" applyBorder="1"/>
    <xf numFmtId="37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7" fontId="4" fillId="0" borderId="0" xfId="0" applyNumberFormat="1" applyFont="1" applyBorder="1"/>
    <xf numFmtId="167" fontId="4" fillId="0" borderId="0" xfId="5" applyNumberFormat="1" applyFont="1" applyFill="1" applyBorder="1"/>
    <xf numFmtId="0" fontId="3" fillId="0" borderId="0" xfId="0" applyFont="1" applyBorder="1" applyAlignment="1">
      <alignment horizontal="left"/>
    </xf>
    <xf numFmtId="44" fontId="4" fillId="0" borderId="0" xfId="4" applyFont="1" applyBorder="1"/>
    <xf numFmtId="164" fontId="4" fillId="0" borderId="0" xfId="4" applyNumberFormat="1" applyFont="1" applyBorder="1"/>
    <xf numFmtId="3" fontId="4" fillId="0" borderId="0" xfId="5" applyNumberFormat="1" applyFont="1" applyFill="1"/>
    <xf numFmtId="3" fontId="4" fillId="0" borderId="1" xfId="5" applyNumberFormat="1" applyFont="1" applyFill="1" applyBorder="1"/>
    <xf numFmtId="3" fontId="4" fillId="0" borderId="0" xfId="5" applyNumberFormat="1" applyFont="1" applyBorder="1"/>
    <xf numFmtId="167" fontId="4" fillId="0" borderId="1" xfId="1" applyNumberFormat="1" applyFont="1" applyBorder="1" applyAlignment="1">
      <alignment horizontal="right"/>
    </xf>
    <xf numFmtId="167" fontId="4" fillId="0" borderId="0" xfId="1" applyNumberFormat="1" applyFont="1" applyAlignment="1">
      <alignment horizontal="centerContinuous"/>
    </xf>
    <xf numFmtId="167" fontId="4" fillId="0" borderId="1" xfId="1" applyNumberFormat="1" applyFont="1" applyBorder="1" applyAlignment="1">
      <alignment horizontal="center"/>
    </xf>
    <xf numFmtId="167" fontId="4" fillId="0" borderId="1" xfId="1" applyNumberFormat="1" applyFont="1" applyFill="1" applyBorder="1"/>
    <xf numFmtId="167" fontId="4" fillId="0" borderId="0" xfId="1" applyNumberFormat="1" applyFont="1" applyBorder="1" applyAlignment="1">
      <alignment horizontal="center"/>
    </xf>
    <xf numFmtId="170" fontId="4" fillId="0" borderId="1" xfId="5" applyNumberFormat="1" applyFont="1" applyBorder="1"/>
    <xf numFmtId="164" fontId="4" fillId="0" borderId="1" xfId="0" applyNumberFormat="1" applyFont="1" applyFill="1" applyBorder="1"/>
    <xf numFmtId="164" fontId="4" fillId="0" borderId="12" xfId="2" applyNumberFormat="1" applyFont="1" applyBorder="1"/>
    <xf numFmtId="0" fontId="4" fillId="0" borderId="1" xfId="0" applyFont="1" applyBorder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0" fontId="4" fillId="0" borderId="0" xfId="3" applyNumberFormat="1" applyFont="1"/>
    <xf numFmtId="164" fontId="4" fillId="0" borderId="0" xfId="0" applyNumberFormat="1" applyFont="1" applyBorder="1"/>
    <xf numFmtId="10" fontId="4" fillId="0" borderId="0" xfId="3" applyNumberFormat="1" applyFont="1" applyFill="1"/>
    <xf numFmtId="43" fontId="4" fillId="0" borderId="0" xfId="5" applyNumberFormat="1" applyFont="1"/>
    <xf numFmtId="167" fontId="4" fillId="0" borderId="0" xfId="5" applyNumberFormat="1" applyFont="1" applyAlignment="1">
      <alignment horizontal="left"/>
    </xf>
    <xf numFmtId="167" fontId="4" fillId="0" borderId="2" xfId="5" applyNumberFormat="1" applyFont="1" applyBorder="1" applyAlignment="1">
      <alignment horizontal="left"/>
    </xf>
    <xf numFmtId="167" fontId="6" fillId="0" borderId="10" xfId="5" applyNumberFormat="1" applyFont="1" applyBorder="1" applyAlignment="1">
      <alignment horizontal="left"/>
    </xf>
    <xf numFmtId="167" fontId="4" fillId="0" borderId="10" xfId="5" quotePrefix="1" applyNumberFormat="1" applyFont="1" applyBorder="1" applyAlignment="1">
      <alignment horizontal="left"/>
    </xf>
    <xf numFmtId="167" fontId="4" fillId="0" borderId="7" xfId="5" applyNumberFormat="1" applyFont="1" applyBorder="1" applyAlignment="1">
      <alignment horizontal="left"/>
    </xf>
    <xf numFmtId="167" fontId="3" fillId="0" borderId="2" xfId="5" applyNumberFormat="1" applyFont="1" applyBorder="1" applyAlignment="1">
      <alignment horizontal="left"/>
    </xf>
    <xf numFmtId="167" fontId="4" fillId="0" borderId="7" xfId="5" quotePrefix="1" applyNumberFormat="1" applyFont="1" applyBorder="1" applyAlignment="1">
      <alignment horizontal="center"/>
    </xf>
    <xf numFmtId="167" fontId="7" fillId="0" borderId="0" xfId="5" applyNumberFormat="1" applyFont="1" applyBorder="1" applyAlignment="1">
      <alignment horizontal="center"/>
    </xf>
    <xf numFmtId="43" fontId="4" fillId="2" borderId="0" xfId="5" applyFont="1" applyFill="1" applyBorder="1"/>
    <xf numFmtId="43" fontId="4" fillId="0" borderId="10" xfId="5" applyFont="1" applyFill="1" applyBorder="1"/>
    <xf numFmtId="43" fontId="4" fillId="0" borderId="2" xfId="5" applyFont="1" applyFill="1" applyBorder="1"/>
    <xf numFmtId="43" fontId="4" fillId="0" borderId="0" xfId="5" applyFont="1" applyFill="1" applyBorder="1"/>
    <xf numFmtId="43" fontId="4" fillId="2" borderId="0" xfId="2" applyNumberFormat="1" applyFont="1" applyFill="1" applyBorder="1"/>
    <xf numFmtId="168" fontId="4" fillId="2" borderId="0" xfId="3" applyNumberFormat="1" applyFont="1" applyFill="1" applyBorder="1"/>
    <xf numFmtId="43" fontId="4" fillId="0" borderId="0" xfId="2" applyNumberFormat="1" applyFont="1" applyFill="1" applyBorder="1"/>
    <xf numFmtId="168" fontId="4" fillId="0" borderId="0" xfId="3" applyNumberFormat="1" applyFont="1" applyFill="1" applyBorder="1"/>
    <xf numFmtId="44" fontId="4" fillId="2" borderId="0" xfId="2" applyFont="1" applyFill="1" applyBorder="1"/>
    <xf numFmtId="43" fontId="4" fillId="0" borderId="10" xfId="2" applyNumberFormat="1" applyFont="1" applyBorder="1"/>
    <xf numFmtId="44" fontId="4" fillId="0" borderId="0" xfId="2" applyFont="1" applyFill="1" applyBorder="1"/>
    <xf numFmtId="167" fontId="8" fillId="0" borderId="0" xfId="0" applyNumberFormat="1" applyFont="1" applyAlignment="1">
      <alignment horizontal="center" vertical="center"/>
    </xf>
    <xf numFmtId="167" fontId="5" fillId="0" borderId="4" xfId="1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167" fontId="3" fillId="0" borderId="0" xfId="1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9" fontId="4" fillId="0" borderId="0" xfId="1" applyNumberFormat="1" applyFont="1" applyBorder="1" applyAlignment="1">
      <alignment horizontal="center"/>
    </xf>
    <xf numFmtId="165" fontId="3" fillId="0" borderId="0" xfId="0" quotePrefix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4" fontId="3" fillId="0" borderId="0" xfId="2" applyNumberFormat="1" applyFont="1" applyBorder="1"/>
    <xf numFmtId="167" fontId="4" fillId="0" borderId="0" xfId="2" applyNumberFormat="1" applyFont="1" applyAlignment="1"/>
    <xf numFmtId="167" fontId="4" fillId="0" borderId="4" xfId="2" applyNumberFormat="1" applyFont="1" applyBorder="1"/>
    <xf numFmtId="167" fontId="8" fillId="0" borderId="0" xfId="2" applyNumberFormat="1" applyFont="1" applyAlignment="1">
      <alignment horizontal="center" vertical="center"/>
    </xf>
    <xf numFmtId="167" fontId="4" fillId="0" borderId="0" xfId="2" applyNumberFormat="1" applyFont="1" applyBorder="1" applyAlignment="1"/>
    <xf numFmtId="167" fontId="3" fillId="0" borderId="0" xfId="2" applyNumberFormat="1" applyFont="1" applyBorder="1" applyAlignment="1">
      <alignment horizontal="center"/>
    </xf>
    <xf numFmtId="167" fontId="5" fillId="0" borderId="0" xfId="2" applyNumberFormat="1" applyFont="1" applyBorder="1" applyAlignment="1">
      <alignment horizontal="center"/>
    </xf>
    <xf numFmtId="167" fontId="5" fillId="0" borderId="4" xfId="2" applyNumberFormat="1" applyFont="1" applyBorder="1" applyAlignment="1">
      <alignment horizontal="center"/>
    </xf>
    <xf numFmtId="167" fontId="4" fillId="0" borderId="0" xfId="2" applyNumberFormat="1" applyFont="1" applyBorder="1"/>
    <xf numFmtId="167" fontId="4" fillId="0" borderId="0" xfId="2" applyNumberFormat="1" applyFont="1" applyBorder="1" applyAlignment="1">
      <alignment horizontal="center"/>
    </xf>
    <xf numFmtId="167" fontId="4" fillId="0" borderId="0" xfId="2" applyNumberFormat="1" applyFont="1"/>
    <xf numFmtId="167" fontId="4" fillId="0" borderId="1" xfId="2" applyNumberFormat="1" applyFont="1" applyBorder="1" applyAlignment="1"/>
    <xf numFmtId="167" fontId="4" fillId="0" borderId="4" xfId="2" applyNumberFormat="1" applyFont="1" applyBorder="1" applyAlignment="1"/>
    <xf numFmtId="41" fontId="4" fillId="0" borderId="0" xfId="2" applyNumberFormat="1" applyFont="1" applyAlignment="1"/>
    <xf numFmtId="41" fontId="4" fillId="0" borderId="4" xfId="2" applyNumberFormat="1" applyFont="1" applyBorder="1"/>
    <xf numFmtId="41" fontId="8" fillId="0" borderId="0" xfId="2" applyNumberFormat="1" applyFont="1" applyAlignment="1">
      <alignment horizontal="center" vertical="center"/>
    </xf>
    <xf numFmtId="41" fontId="4" fillId="0" borderId="0" xfId="2" applyNumberFormat="1" applyFont="1" applyBorder="1" applyAlignment="1"/>
    <xf numFmtId="41" fontId="5" fillId="0" borderId="0" xfId="2" applyNumberFormat="1" applyFont="1" applyBorder="1" applyAlignment="1">
      <alignment horizontal="centerContinuous"/>
    </xf>
    <xf numFmtId="41" fontId="5" fillId="0" borderId="0" xfId="2" applyNumberFormat="1" applyFont="1" applyBorder="1" applyAlignment="1">
      <alignment horizontal="center"/>
    </xf>
    <xf numFmtId="41" fontId="5" fillId="0" borderId="4" xfId="2" applyNumberFormat="1" applyFont="1" applyBorder="1" applyAlignment="1">
      <alignment horizontal="center"/>
    </xf>
    <xf numFmtId="41" fontId="4" fillId="0" borderId="0" xfId="2" applyNumberFormat="1" applyFont="1" applyBorder="1"/>
    <xf numFmtId="41" fontId="4" fillId="0" borderId="0" xfId="2" applyNumberFormat="1" applyFont="1" applyBorder="1" applyAlignment="1">
      <alignment horizontal="center"/>
    </xf>
    <xf numFmtId="41" fontId="3" fillId="0" borderId="0" xfId="2" applyNumberFormat="1" applyFont="1" applyBorder="1"/>
    <xf numFmtId="41" fontId="4" fillId="0" borderId="1" xfId="2" applyNumberFormat="1" applyFont="1" applyBorder="1" applyAlignment="1"/>
    <xf numFmtId="41" fontId="3" fillId="0" borderId="4" xfId="2" applyNumberFormat="1" applyFont="1" applyBorder="1"/>
    <xf numFmtId="3" fontId="3" fillId="0" borderId="0" xfId="0" applyNumberFormat="1" applyFont="1" applyAlignment="1"/>
    <xf numFmtId="3" fontId="4" fillId="0" borderId="0" xfId="0" applyNumberFormat="1" applyFont="1" applyFill="1"/>
    <xf numFmtId="10" fontId="4" fillId="0" borderId="0" xfId="0" applyNumberFormat="1" applyFont="1" applyFill="1"/>
    <xf numFmtId="3" fontId="4" fillId="0" borderId="1" xfId="0" applyNumberFormat="1" applyFont="1" applyFill="1" applyBorder="1"/>
    <xf numFmtId="44" fontId="4" fillId="0" borderId="0" xfId="2" applyFont="1" applyFill="1"/>
    <xf numFmtId="164" fontId="4" fillId="0" borderId="0" xfId="2" applyNumberFormat="1" applyFont="1" applyFill="1"/>
    <xf numFmtId="164" fontId="4" fillId="0" borderId="1" xfId="2" applyNumberFormat="1" applyFont="1" applyFill="1" applyBorder="1"/>
    <xf numFmtId="49" fontId="4" fillId="0" borderId="0" xfId="0" applyNumberFormat="1" applyFont="1"/>
    <xf numFmtId="169" fontId="4" fillId="0" borderId="0" xfId="0" applyNumberFormat="1" applyFont="1"/>
    <xf numFmtId="10" fontId="4" fillId="0" borderId="0" xfId="0" applyNumberFormat="1" applyFont="1"/>
    <xf numFmtId="49" fontId="4" fillId="0" borderId="0" xfId="0" applyNumberFormat="1" applyFont="1" applyAlignment="1">
      <alignment horizontal="center"/>
    </xf>
    <xf numFmtId="169" fontId="4" fillId="0" borderId="1" xfId="0" applyNumberFormat="1" applyFont="1" applyBorder="1"/>
    <xf numFmtId="44" fontId="4" fillId="0" borderId="0" xfId="2" applyFont="1"/>
    <xf numFmtId="43" fontId="4" fillId="0" borderId="1" xfId="0" applyNumberFormat="1" applyFont="1" applyBorder="1"/>
    <xf numFmtId="44" fontId="4" fillId="0" borderId="1" xfId="2" applyFont="1" applyBorder="1"/>
    <xf numFmtId="10" fontId="4" fillId="0" borderId="0" xfId="0" quotePrefix="1" applyNumberFormat="1" applyFont="1"/>
    <xf numFmtId="4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Continuous" vertical="center"/>
    </xf>
    <xf numFmtId="167" fontId="5" fillId="0" borderId="0" xfId="1" applyNumberFormat="1" applyFont="1" applyAlignment="1">
      <alignment horizontal="center"/>
    </xf>
    <xf numFmtId="9" fontId="4" fillId="0" borderId="0" xfId="0" applyNumberFormat="1" applyFont="1"/>
    <xf numFmtId="44" fontId="4" fillId="0" borderId="0" xfId="2" applyFont="1" applyAlignment="1">
      <alignment horizontal="right"/>
    </xf>
    <xf numFmtId="44" fontId="4" fillId="0" borderId="1" xfId="0" applyNumberFormat="1" applyFont="1" applyBorder="1"/>
    <xf numFmtId="10" fontId="4" fillId="0" borderId="1" xfId="3" applyNumberFormat="1" applyFont="1" applyBorder="1"/>
    <xf numFmtId="0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4" fillId="0" borderId="1" xfId="2" applyFont="1" applyFill="1" applyBorder="1"/>
    <xf numFmtId="0" fontId="10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vertical="center"/>
    </xf>
    <xf numFmtId="0" fontId="4" fillId="0" borderId="0" xfId="1" applyNumberFormat="1" applyFont="1" applyAlignment="1"/>
    <xf numFmtId="0" fontId="4" fillId="0" borderId="0" xfId="0" applyNumberFormat="1" applyFont="1"/>
    <xf numFmtId="0" fontId="10" fillId="0" borderId="0" xfId="0" applyNumberFormat="1" applyFont="1"/>
    <xf numFmtId="0" fontId="4" fillId="0" borderId="0" xfId="1" applyNumberFormat="1" applyFont="1"/>
    <xf numFmtId="165" fontId="4" fillId="0" borderId="6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4" fontId="4" fillId="0" borderId="2" xfId="0" applyNumberFormat="1" applyFont="1" applyBorder="1" applyAlignment="1"/>
    <xf numFmtId="10" fontId="4" fillId="0" borderId="6" xfId="3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4" fillId="0" borderId="2" xfId="0" applyNumberFormat="1" applyFont="1" applyBorder="1"/>
    <xf numFmtId="10" fontId="4" fillId="0" borderId="6" xfId="3" applyNumberFormat="1" applyFont="1" applyBorder="1"/>
    <xf numFmtId="171" fontId="4" fillId="0" borderId="2" xfId="2" applyNumberFormat="1" applyFont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2" applyNumberFormat="1" applyFont="1"/>
    <xf numFmtId="167" fontId="4" fillId="0" borderId="0" xfId="1" applyNumberFormat="1" applyFont="1" applyFill="1" applyAlignment="1">
      <alignment vertical="center"/>
    </xf>
    <xf numFmtId="167" fontId="24" fillId="0" borderId="0" xfId="1" applyNumberFormat="1" applyFont="1" applyFill="1" applyBorder="1" applyAlignment="1">
      <alignment horizontal="right"/>
    </xf>
    <xf numFmtId="167" fontId="7" fillId="0" borderId="0" xfId="1" applyNumberFormat="1" applyFont="1" applyBorder="1"/>
    <xf numFmtId="167" fontId="23" fillId="0" borderId="0" xfId="1" applyNumberFormat="1" applyFont="1" applyFill="1" applyBorder="1" applyAlignment="1">
      <alignment horizontal="right"/>
    </xf>
    <xf numFmtId="167" fontId="7" fillId="0" borderId="0" xfId="1" applyNumberFormat="1" applyFont="1" applyAlignment="1"/>
    <xf numFmtId="167" fontId="4" fillId="0" borderId="12" xfId="5" applyNumberFormat="1" applyFont="1" applyBorder="1" applyAlignment="1">
      <alignment horizontal="left"/>
    </xf>
    <xf numFmtId="167" fontId="4" fillId="0" borderId="12" xfId="5" applyNumberFormat="1" applyFont="1" applyBorder="1" applyAlignment="1">
      <alignment horizontal="center"/>
    </xf>
    <xf numFmtId="167" fontId="4" fillId="0" borderId="12" xfId="5" applyNumberFormat="1" applyFont="1" applyBorder="1"/>
    <xf numFmtId="3" fontId="8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67" fontId="8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3" fontId="12" fillId="0" borderId="4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167" fontId="8" fillId="0" borderId="2" xfId="5" applyNumberFormat="1" applyFont="1" applyBorder="1" applyAlignment="1">
      <alignment horizontal="center"/>
    </xf>
    <xf numFmtId="0" fontId="0" fillId="0" borderId="0" xfId="0" applyAlignment="1">
      <alignment horizontal="center"/>
    </xf>
    <xf numFmtId="167" fontId="15" fillId="0" borderId="2" xfId="5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167" fontId="10" fillId="0" borderId="2" xfId="5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6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7" fontId="6" fillId="0" borderId="0" xfId="5" applyNumberFormat="1" applyFont="1" applyBorder="1" applyAlignment="1">
      <alignment horizontal="center"/>
    </xf>
    <xf numFmtId="167" fontId="7" fillId="0" borderId="2" xfId="5" applyNumberFormat="1" applyFont="1" applyBorder="1" applyAlignment="1">
      <alignment horizontal="center"/>
    </xf>
    <xf numFmtId="167" fontId="7" fillId="0" borderId="0" xfId="5" applyNumberFormat="1" applyFont="1" applyBorder="1" applyAlignment="1">
      <alignment horizont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Normal" xfId="0" builtinId="0"/>
    <cellStyle name="Normal 2" xfId="7" xr:uid="{00000000-0005-0000-0000-000005000000}"/>
    <cellStyle name="Percent" xfId="3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FFFFCC"/>
      <color rgb="FF59B589"/>
      <color rgb="FFFFFF99"/>
      <color rgb="FFCCFFCC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56"/>
  <sheetViews>
    <sheetView showGridLines="0" topLeftCell="A39" workbookViewId="0">
      <selection activeCell="G52" sqref="A1:G52"/>
    </sheetView>
  </sheetViews>
  <sheetFormatPr defaultColWidth="8.88671875" defaultRowHeight="15.75" x14ac:dyDescent="0.5"/>
  <cols>
    <col min="1" max="1" width="3.6640625" style="28" customWidth="1"/>
    <col min="2" max="2" width="2.6640625" style="28" customWidth="1"/>
    <col min="3" max="3" width="28" style="28" customWidth="1"/>
    <col min="4" max="4" width="11.94140625" style="100" bestFit="1" customWidth="1"/>
    <col min="5" max="5" width="10.21875" style="28" customWidth="1"/>
    <col min="6" max="6" width="4.88671875" style="36" customWidth="1"/>
    <col min="7" max="7" width="9.77734375" style="100" customWidth="1"/>
    <col min="8" max="8" width="4.44140625" style="28" customWidth="1"/>
    <col min="9" max="9" width="11.33203125" style="72" customWidth="1"/>
    <col min="10" max="253" width="9.6640625" style="28" customWidth="1"/>
    <col min="254" max="255" width="9.6640625" style="29" customWidth="1"/>
    <col min="256" max="16384" width="8.88671875" style="29"/>
  </cols>
  <sheetData>
    <row r="1" spans="1:17" ht="18" x14ac:dyDescent="0.5">
      <c r="A1" s="25" t="s">
        <v>33</v>
      </c>
      <c r="B1" s="26"/>
      <c r="C1" s="26"/>
      <c r="D1" s="244"/>
      <c r="E1" s="26"/>
      <c r="F1" s="364"/>
      <c r="G1" s="244"/>
      <c r="H1" s="27"/>
      <c r="I1" s="373"/>
      <c r="J1" s="27"/>
      <c r="K1" s="27"/>
      <c r="L1" s="27"/>
      <c r="M1" s="27"/>
      <c r="N1" s="27"/>
    </row>
    <row r="2" spans="1:17" ht="18.75" customHeight="1" x14ac:dyDescent="0.5">
      <c r="A2" s="400" t="s">
        <v>150</v>
      </c>
      <c r="B2" s="400"/>
      <c r="C2" s="400"/>
      <c r="D2" s="400"/>
      <c r="E2" s="400"/>
      <c r="F2" s="400"/>
      <c r="G2" s="400"/>
      <c r="H2" s="161"/>
      <c r="I2" s="374"/>
      <c r="J2" s="27"/>
      <c r="K2" s="144"/>
      <c r="L2" s="144"/>
      <c r="M2" s="144"/>
      <c r="N2" s="144"/>
      <c r="O2" s="144"/>
      <c r="P2" s="144"/>
      <c r="Q2" s="144"/>
    </row>
    <row r="3" spans="1:17" ht="18.75" customHeight="1" x14ac:dyDescent="0.5">
      <c r="A3" s="400" t="s">
        <v>121</v>
      </c>
      <c r="B3" s="400"/>
      <c r="C3" s="400"/>
      <c r="D3" s="400"/>
      <c r="E3" s="400"/>
      <c r="F3" s="400"/>
      <c r="G3" s="400"/>
      <c r="H3" s="177"/>
      <c r="I3" s="374"/>
      <c r="J3" s="27"/>
      <c r="K3" s="177"/>
      <c r="L3" s="177"/>
      <c r="M3" s="177"/>
      <c r="N3" s="177"/>
      <c r="O3" s="177"/>
      <c r="P3" s="177"/>
      <c r="Q3" s="177"/>
    </row>
    <row r="4" spans="1:17" x14ac:dyDescent="0.5">
      <c r="A4" s="27"/>
      <c r="B4" s="27"/>
      <c r="C4" s="27"/>
      <c r="D4" s="247"/>
      <c r="E4" s="30"/>
      <c r="F4" s="32"/>
      <c r="G4" s="245"/>
      <c r="H4" s="27"/>
      <c r="I4" s="373"/>
      <c r="J4" s="27"/>
      <c r="K4" s="27"/>
      <c r="L4" s="27"/>
      <c r="M4" s="27"/>
      <c r="N4" s="27"/>
    </row>
    <row r="5" spans="1:17" x14ac:dyDescent="0.5">
      <c r="A5" s="31"/>
      <c r="B5" s="31"/>
      <c r="C5" s="31"/>
      <c r="D5" s="178" t="s">
        <v>84</v>
      </c>
      <c r="E5" s="32" t="s">
        <v>31</v>
      </c>
      <c r="F5" s="32" t="s">
        <v>47</v>
      </c>
      <c r="G5" s="178" t="s">
        <v>83</v>
      </c>
      <c r="H5" s="33"/>
      <c r="I5" s="375"/>
      <c r="J5" s="33"/>
      <c r="K5" s="33"/>
      <c r="L5" s="27"/>
      <c r="M5" s="27"/>
      <c r="N5" s="27"/>
    </row>
    <row r="6" spans="1:17" x14ac:dyDescent="0.5">
      <c r="A6" s="34" t="s">
        <v>11</v>
      </c>
      <c r="B6" s="31"/>
      <c r="C6" s="31"/>
      <c r="D6" s="33"/>
      <c r="E6" s="31"/>
      <c r="F6" s="31"/>
      <c r="G6" s="33"/>
      <c r="H6" s="33"/>
      <c r="I6" s="375"/>
      <c r="J6" s="33"/>
      <c r="K6" s="33"/>
      <c r="L6" s="27"/>
      <c r="M6" s="27"/>
      <c r="N6" s="27"/>
    </row>
    <row r="7" spans="1:17" x14ac:dyDescent="0.5">
      <c r="A7" s="31"/>
      <c r="B7" s="31" t="s">
        <v>139</v>
      </c>
      <c r="C7" s="31"/>
      <c r="D7" s="33">
        <v>2552344</v>
      </c>
      <c r="E7" s="33">
        <f>ExBAw!G13</f>
        <v>-42112.307010000106</v>
      </c>
      <c r="F7" s="35" t="s">
        <v>322</v>
      </c>
      <c r="G7" s="33">
        <f>D7+E7</f>
        <v>2510231.6929899999</v>
      </c>
      <c r="H7" s="40"/>
      <c r="I7" s="375" t="s">
        <v>244</v>
      </c>
      <c r="J7" s="33"/>
      <c r="K7" s="33"/>
      <c r="L7" s="27"/>
      <c r="M7" s="27"/>
      <c r="N7" s="27"/>
    </row>
    <row r="8" spans="1:17" x14ac:dyDescent="0.5">
      <c r="A8" s="31"/>
      <c r="B8" s="31" t="s">
        <v>100</v>
      </c>
      <c r="C8" s="31"/>
      <c r="D8" s="33">
        <v>0</v>
      </c>
      <c r="E8" s="3"/>
      <c r="F8" s="35"/>
      <c r="G8" s="33">
        <f>D8+E8</f>
        <v>0</v>
      </c>
      <c r="H8" s="40"/>
      <c r="I8" s="375"/>
      <c r="J8" s="33"/>
      <c r="K8" s="33"/>
      <c r="L8" s="27"/>
      <c r="M8" s="27"/>
      <c r="N8" s="27"/>
    </row>
    <row r="9" spans="1:17" x14ac:dyDescent="0.5">
      <c r="A9" s="31"/>
      <c r="B9" s="31" t="s">
        <v>85</v>
      </c>
      <c r="C9" s="31"/>
      <c r="D9" s="33">
        <v>0</v>
      </c>
      <c r="E9" s="33"/>
      <c r="F9" s="35"/>
      <c r="G9" s="33">
        <f>D9+E9</f>
        <v>0</v>
      </c>
      <c r="H9" s="40"/>
      <c r="I9" s="375"/>
      <c r="K9" s="33"/>
      <c r="L9" s="27"/>
      <c r="M9" s="27"/>
      <c r="N9" s="27"/>
    </row>
    <row r="10" spans="1:17" x14ac:dyDescent="0.5">
      <c r="A10" s="31"/>
      <c r="B10" s="31" t="s">
        <v>39</v>
      </c>
      <c r="C10" s="31"/>
      <c r="D10" s="33"/>
      <c r="E10" s="33"/>
      <c r="F10" s="35"/>
      <c r="G10" s="33"/>
      <c r="H10" s="33"/>
      <c r="I10" s="375"/>
      <c r="J10" s="33"/>
      <c r="K10" s="33"/>
      <c r="L10" s="27"/>
      <c r="M10" s="27"/>
      <c r="N10" s="27"/>
    </row>
    <row r="11" spans="1:17" x14ac:dyDescent="0.5">
      <c r="A11" s="31"/>
      <c r="B11" s="31"/>
      <c r="C11" s="31" t="s">
        <v>38</v>
      </c>
      <c r="D11" s="33">
        <v>0</v>
      </c>
      <c r="E11" s="33">
        <f>Penalties!B4</f>
        <v>18802.740000000002</v>
      </c>
      <c r="F11" s="35" t="s">
        <v>342</v>
      </c>
      <c r="G11" s="33">
        <f>D11+E11</f>
        <v>18802.740000000002</v>
      </c>
      <c r="H11" s="40"/>
      <c r="I11" s="375" t="s">
        <v>343</v>
      </c>
      <c r="J11" s="33"/>
      <c r="K11" s="74"/>
      <c r="L11" s="27"/>
      <c r="M11" s="27"/>
      <c r="N11" s="27"/>
    </row>
    <row r="12" spans="1:17" x14ac:dyDescent="0.5">
      <c r="A12" s="31"/>
      <c r="B12" s="31"/>
      <c r="C12" s="31" t="s">
        <v>138</v>
      </c>
      <c r="D12" s="33">
        <v>65865</v>
      </c>
      <c r="E12" s="392">
        <v>-52150</v>
      </c>
      <c r="F12" s="35" t="s">
        <v>323</v>
      </c>
      <c r="G12" s="33"/>
      <c r="H12" s="40"/>
      <c r="I12" s="375" t="s">
        <v>245</v>
      </c>
      <c r="J12" s="33"/>
      <c r="K12" s="33"/>
      <c r="L12" s="27"/>
      <c r="M12" s="27"/>
      <c r="N12" s="27"/>
    </row>
    <row r="13" spans="1:17" x14ac:dyDescent="0.5">
      <c r="A13" s="31"/>
      <c r="B13" s="31"/>
      <c r="C13" s="31"/>
      <c r="D13" s="33"/>
      <c r="E13" s="392">
        <f>-Penalties!C4</f>
        <v>-1135.8499999999999</v>
      </c>
      <c r="F13" s="35" t="s">
        <v>341</v>
      </c>
      <c r="G13" s="33">
        <f>D12+E12+E13</f>
        <v>12579.15</v>
      </c>
      <c r="H13" s="40"/>
      <c r="I13" s="375" t="s">
        <v>344</v>
      </c>
      <c r="J13" s="33"/>
      <c r="K13" s="33"/>
      <c r="L13" s="27"/>
      <c r="M13" s="27"/>
      <c r="N13" s="27"/>
    </row>
    <row r="14" spans="1:17" ht="16.5" x14ac:dyDescent="0.5">
      <c r="A14" s="31"/>
      <c r="B14" s="31"/>
      <c r="C14" s="31" t="s">
        <v>137</v>
      </c>
      <c r="D14" s="160">
        <v>0</v>
      </c>
      <c r="E14" s="160">
        <v>0</v>
      </c>
      <c r="F14" s="35"/>
      <c r="G14" s="160">
        <f>D14+E14</f>
        <v>0</v>
      </c>
      <c r="H14" s="40"/>
      <c r="I14" s="375"/>
      <c r="J14" s="33"/>
      <c r="K14" s="33"/>
      <c r="L14" s="27"/>
      <c r="M14" s="27"/>
      <c r="N14" s="27"/>
    </row>
    <row r="15" spans="1:17" x14ac:dyDescent="0.5">
      <c r="A15" s="37" t="s">
        <v>12</v>
      </c>
      <c r="B15" s="31"/>
      <c r="C15" s="31"/>
      <c r="D15" s="33">
        <f>SUM(D7:D14)</f>
        <v>2618209</v>
      </c>
      <c r="E15" s="33">
        <f>SUM(E7:E14)</f>
        <v>-76595.417010000107</v>
      </c>
      <c r="F15" s="35"/>
      <c r="G15" s="33">
        <f>SUM(G7:G14)</f>
        <v>2541613.58299</v>
      </c>
      <c r="H15" s="33"/>
      <c r="I15" s="375"/>
      <c r="J15" s="33"/>
      <c r="K15" s="33"/>
      <c r="L15" s="27"/>
      <c r="M15" s="27"/>
      <c r="N15" s="27"/>
    </row>
    <row r="16" spans="1:17" x14ac:dyDescent="0.5">
      <c r="A16" s="31"/>
      <c r="B16" s="31"/>
      <c r="C16" s="31"/>
      <c r="D16" s="33"/>
      <c r="E16" s="33"/>
      <c r="F16" s="35"/>
      <c r="G16" s="33"/>
      <c r="H16" s="33"/>
      <c r="I16" s="375"/>
      <c r="J16" s="33"/>
      <c r="K16" s="33"/>
      <c r="M16" s="27"/>
      <c r="N16" s="27"/>
    </row>
    <row r="17" spans="1:14" x14ac:dyDescent="0.5">
      <c r="A17" s="34" t="s">
        <v>13</v>
      </c>
      <c r="B17" s="31"/>
      <c r="C17" s="31"/>
      <c r="D17" s="33"/>
      <c r="E17" s="33"/>
      <c r="F17" s="35"/>
      <c r="G17" s="33"/>
      <c r="H17" s="33"/>
      <c r="I17" s="375"/>
      <c r="J17" s="33"/>
      <c r="K17" s="33"/>
      <c r="M17" s="27"/>
      <c r="N17" s="27"/>
    </row>
    <row r="18" spans="1:14" x14ac:dyDescent="0.5">
      <c r="A18" s="31"/>
      <c r="B18" s="31" t="s">
        <v>19</v>
      </c>
      <c r="C18" s="31"/>
      <c r="D18" s="33"/>
      <c r="E18" s="33"/>
      <c r="F18" s="35"/>
      <c r="G18" s="33"/>
      <c r="H18" s="33"/>
      <c r="I18" s="375"/>
      <c r="J18" s="33"/>
      <c r="K18" s="27"/>
      <c r="L18" s="27"/>
      <c r="M18" s="27"/>
      <c r="N18" s="27"/>
    </row>
    <row r="19" spans="1:14" x14ac:dyDescent="0.5">
      <c r="A19" s="31"/>
      <c r="B19" s="31"/>
      <c r="C19" s="31" t="s">
        <v>23</v>
      </c>
      <c r="D19" s="33">
        <v>220911</v>
      </c>
      <c r="E19" s="33">
        <f>Wages!F18</f>
        <v>-37939.536242000002</v>
      </c>
      <c r="F19" s="35" t="s">
        <v>263</v>
      </c>
      <c r="G19" s="33"/>
      <c r="H19" s="40"/>
      <c r="I19" s="375" t="s">
        <v>286</v>
      </c>
      <c r="J19" s="33"/>
      <c r="K19" s="27"/>
      <c r="L19" s="27"/>
      <c r="M19" s="27"/>
      <c r="N19" s="27"/>
    </row>
    <row r="20" spans="1:14" x14ac:dyDescent="0.5">
      <c r="A20" s="31"/>
      <c r="B20" s="31"/>
      <c r="C20" s="31"/>
      <c r="D20" s="33"/>
      <c r="E20" s="33"/>
      <c r="F20" s="2"/>
      <c r="G20" s="33">
        <f>SUM(D19:E20)</f>
        <v>182971.463758</v>
      </c>
      <c r="H20" s="40"/>
      <c r="I20" s="375"/>
      <c r="J20" s="33"/>
      <c r="K20" s="27"/>
      <c r="L20" s="27"/>
      <c r="M20" s="27"/>
      <c r="N20" s="27"/>
    </row>
    <row r="21" spans="1:14" x14ac:dyDescent="0.5">
      <c r="A21" s="31"/>
      <c r="B21" s="31"/>
      <c r="C21" s="31" t="s">
        <v>24</v>
      </c>
      <c r="D21" s="33">
        <v>23281</v>
      </c>
      <c r="E21" s="87"/>
      <c r="F21" s="35"/>
      <c r="G21" s="33">
        <f t="shared" ref="G21:G33" si="0">D21+E21</f>
        <v>23281</v>
      </c>
      <c r="H21" s="33"/>
      <c r="J21" s="33"/>
      <c r="K21" s="33"/>
      <c r="L21" s="27"/>
      <c r="M21" s="27"/>
      <c r="N21" s="27"/>
    </row>
    <row r="22" spans="1:14" x14ac:dyDescent="0.5">
      <c r="A22" s="31"/>
      <c r="B22" s="31"/>
      <c r="C22" s="31" t="s">
        <v>25</v>
      </c>
      <c r="D22" s="33">
        <v>47405</v>
      </c>
      <c r="E22" s="33">
        <f>Medical!K22</f>
        <v>-3835.2033211199991</v>
      </c>
      <c r="F22" s="2" t="s">
        <v>285</v>
      </c>
      <c r="G22" s="246"/>
      <c r="H22" s="40"/>
      <c r="I22" s="375" t="s">
        <v>317</v>
      </c>
      <c r="J22" s="33"/>
      <c r="K22" s="33"/>
      <c r="L22" s="27"/>
      <c r="M22" s="27"/>
      <c r="N22" s="27"/>
    </row>
    <row r="23" spans="1:14" x14ac:dyDescent="0.5">
      <c r="A23" s="31"/>
      <c r="B23" s="31"/>
      <c r="C23" s="31"/>
      <c r="D23" s="33"/>
      <c r="E23" s="33">
        <f>Wages!F38</f>
        <v>2845.4881876999989</v>
      </c>
      <c r="F23" s="2" t="s">
        <v>324</v>
      </c>
      <c r="G23" s="3">
        <f>SUM(D22:E23)</f>
        <v>46415.284866580005</v>
      </c>
      <c r="H23" s="40"/>
      <c r="I23" s="375" t="s">
        <v>321</v>
      </c>
      <c r="J23" s="33"/>
      <c r="K23" s="33"/>
      <c r="L23" s="27"/>
      <c r="M23" s="27"/>
      <c r="N23" s="27"/>
    </row>
    <row r="24" spans="1:14" x14ac:dyDescent="0.5">
      <c r="A24" s="31"/>
      <c r="B24" s="31"/>
      <c r="C24" s="31" t="s">
        <v>26</v>
      </c>
      <c r="D24" s="33">
        <v>842097</v>
      </c>
      <c r="E24" s="33"/>
      <c r="F24" s="2"/>
      <c r="G24" s="33">
        <f t="shared" si="0"/>
        <v>842097</v>
      </c>
      <c r="H24" s="40"/>
      <c r="I24" s="376"/>
      <c r="J24" s="33"/>
      <c r="K24" s="33"/>
      <c r="L24" s="27"/>
      <c r="M24" s="27"/>
      <c r="N24" s="27"/>
    </row>
    <row r="25" spans="1:14" x14ac:dyDescent="0.5">
      <c r="A25" s="31"/>
      <c r="B25" s="31"/>
      <c r="C25" s="31" t="s">
        <v>27</v>
      </c>
      <c r="D25" s="33">
        <v>0</v>
      </c>
      <c r="E25" s="33"/>
      <c r="F25" s="2"/>
      <c r="G25" s="33">
        <f t="shared" si="0"/>
        <v>0</v>
      </c>
      <c r="H25" s="40"/>
      <c r="I25" s="375"/>
      <c r="J25" s="33"/>
      <c r="K25" s="33"/>
      <c r="L25" s="27"/>
      <c r="M25" s="27"/>
      <c r="N25" s="27"/>
    </row>
    <row r="26" spans="1:14" x14ac:dyDescent="0.5">
      <c r="A26" s="31"/>
      <c r="B26" s="31"/>
      <c r="C26" s="31" t="s">
        <v>106</v>
      </c>
      <c r="D26" s="33">
        <v>0</v>
      </c>
      <c r="E26" s="33"/>
      <c r="F26" s="35"/>
      <c r="G26" s="33">
        <f t="shared" si="0"/>
        <v>0</v>
      </c>
      <c r="H26" s="40"/>
      <c r="I26" s="375"/>
      <c r="J26" s="33"/>
      <c r="K26" s="33"/>
      <c r="L26" s="27"/>
      <c r="M26" s="27"/>
      <c r="N26" s="27"/>
    </row>
    <row r="27" spans="1:14" x14ac:dyDescent="0.5">
      <c r="A27" s="31"/>
      <c r="B27" s="31"/>
      <c r="C27" s="31" t="s">
        <v>69</v>
      </c>
      <c r="D27" s="33">
        <v>31458</v>
      </c>
      <c r="E27" s="33"/>
      <c r="F27" s="35"/>
      <c r="G27" s="33">
        <f t="shared" si="0"/>
        <v>31458</v>
      </c>
      <c r="H27" s="40"/>
      <c r="I27" s="375"/>
      <c r="J27" s="79"/>
      <c r="K27" s="33"/>
      <c r="L27" s="27"/>
      <c r="M27" s="27"/>
      <c r="N27" s="27"/>
    </row>
    <row r="28" spans="1:14" x14ac:dyDescent="0.5">
      <c r="A28" s="31"/>
      <c r="B28" s="31"/>
      <c r="C28" s="31" t="s">
        <v>28</v>
      </c>
      <c r="D28" s="33">
        <f>62715+6152+23221+21987</f>
        <v>114075</v>
      </c>
      <c r="E28" s="33"/>
      <c r="G28" s="33">
        <f t="shared" si="0"/>
        <v>114075</v>
      </c>
      <c r="H28" s="33"/>
      <c r="I28" s="375"/>
      <c r="J28" s="33"/>
      <c r="K28" s="33"/>
      <c r="L28" s="27"/>
      <c r="M28" s="27"/>
      <c r="N28" s="27"/>
    </row>
    <row r="29" spans="1:14" x14ac:dyDescent="0.5">
      <c r="A29" s="31"/>
      <c r="B29" s="31"/>
      <c r="C29" s="31" t="s">
        <v>151</v>
      </c>
      <c r="D29" s="33">
        <v>510</v>
      </c>
      <c r="E29" s="33"/>
      <c r="G29" s="33">
        <f t="shared" si="0"/>
        <v>510</v>
      </c>
      <c r="H29" s="33"/>
      <c r="I29" s="375"/>
      <c r="J29" s="33"/>
      <c r="K29" s="33"/>
      <c r="L29" s="27"/>
      <c r="M29" s="27"/>
      <c r="N29" s="27"/>
    </row>
    <row r="30" spans="1:14" x14ac:dyDescent="0.5">
      <c r="A30" s="31"/>
      <c r="B30" s="31"/>
      <c r="C30" s="31" t="s">
        <v>34</v>
      </c>
      <c r="D30" s="33">
        <v>10677</v>
      </c>
      <c r="E30" s="33"/>
      <c r="F30" s="35"/>
      <c r="G30" s="33">
        <f t="shared" si="0"/>
        <v>10677</v>
      </c>
      <c r="H30" s="33"/>
      <c r="I30" s="375"/>
      <c r="J30" s="33"/>
      <c r="K30" s="33"/>
      <c r="L30" s="27"/>
      <c r="M30" s="27"/>
      <c r="N30" s="27"/>
    </row>
    <row r="31" spans="1:14" x14ac:dyDescent="0.5">
      <c r="A31" s="31"/>
      <c r="B31" s="31"/>
      <c r="C31" s="31" t="s">
        <v>101</v>
      </c>
      <c r="D31" s="33">
        <v>32741</v>
      </c>
      <c r="E31" s="33"/>
      <c r="F31" s="35"/>
      <c r="G31" s="33">
        <f t="shared" si="0"/>
        <v>32741</v>
      </c>
      <c r="H31" s="33"/>
      <c r="I31" s="375"/>
      <c r="J31" s="29"/>
      <c r="K31" s="33"/>
      <c r="L31" s="27"/>
      <c r="M31" s="27"/>
      <c r="N31" s="27"/>
    </row>
    <row r="32" spans="1:14" x14ac:dyDescent="0.5">
      <c r="A32" s="31"/>
      <c r="B32" s="31"/>
      <c r="C32" s="31" t="s">
        <v>60</v>
      </c>
      <c r="D32" s="33">
        <v>0</v>
      </c>
      <c r="E32" s="33"/>
      <c r="F32" s="2"/>
      <c r="G32" s="33">
        <f t="shared" si="0"/>
        <v>0</v>
      </c>
      <c r="H32" s="33"/>
      <c r="I32" s="375"/>
      <c r="J32" s="33"/>
      <c r="K32" s="33"/>
      <c r="L32" s="27"/>
      <c r="M32" s="27"/>
      <c r="N32" s="27"/>
    </row>
    <row r="33" spans="1:14" x14ac:dyDescent="0.5">
      <c r="A33" s="31"/>
      <c r="B33" s="31"/>
      <c r="C33" s="31" t="s">
        <v>152</v>
      </c>
      <c r="D33" s="33">
        <v>3986</v>
      </c>
      <c r="E33" s="33"/>
      <c r="F33" s="2"/>
      <c r="G33" s="33">
        <f t="shared" si="0"/>
        <v>3986</v>
      </c>
      <c r="H33" s="33"/>
      <c r="I33" s="375"/>
      <c r="J33" s="33"/>
      <c r="K33" s="33"/>
      <c r="L33" s="27"/>
      <c r="M33" s="27"/>
      <c r="N33" s="27"/>
    </row>
    <row r="34" spans="1:14" x14ac:dyDescent="0.5">
      <c r="A34" s="31"/>
      <c r="B34" s="31"/>
      <c r="C34" s="31" t="s">
        <v>29</v>
      </c>
      <c r="D34" s="33">
        <v>270671</v>
      </c>
      <c r="E34" s="38">
        <v>16071.31</v>
      </c>
      <c r="F34" s="2" t="s">
        <v>337</v>
      </c>
      <c r="G34" s="33"/>
      <c r="H34" s="40"/>
      <c r="I34" s="375" t="s">
        <v>336</v>
      </c>
      <c r="J34" s="33"/>
      <c r="K34" s="33"/>
      <c r="L34" s="27"/>
      <c r="M34" s="27"/>
      <c r="N34" s="27"/>
    </row>
    <row r="35" spans="1:14" ht="17.649999999999999" x14ac:dyDescent="0.75">
      <c r="A35" s="31"/>
      <c r="B35" s="31"/>
      <c r="C35" s="31"/>
      <c r="D35" s="160">
        <v>0</v>
      </c>
      <c r="E35" s="396">
        <v>32989.120000000003</v>
      </c>
      <c r="F35" s="2" t="s">
        <v>346</v>
      </c>
      <c r="G35" s="179">
        <f>D34+E34+E35</f>
        <v>319731.43</v>
      </c>
      <c r="H35" s="40"/>
      <c r="I35" s="375" t="s">
        <v>347</v>
      </c>
      <c r="J35" s="33"/>
      <c r="K35" s="33"/>
      <c r="L35" s="27"/>
      <c r="M35" s="27"/>
      <c r="N35" s="27"/>
    </row>
    <row r="36" spans="1:14" x14ac:dyDescent="0.5">
      <c r="A36" s="31"/>
      <c r="B36" s="37" t="s">
        <v>20</v>
      </c>
      <c r="C36" s="31"/>
      <c r="D36" s="33">
        <f>SUM(D19:D35)</f>
        <v>1597812</v>
      </c>
      <c r="E36" s="33">
        <f>SUM(E19:E35)</f>
        <v>10131.178624580003</v>
      </c>
      <c r="F36" s="35"/>
      <c r="G36" s="33">
        <f>SUM(G19:G35)</f>
        <v>1607943.1786245799</v>
      </c>
      <c r="H36" s="33"/>
      <c r="I36" s="375"/>
      <c r="J36" s="33"/>
      <c r="K36" s="33"/>
      <c r="L36" s="27"/>
      <c r="M36" s="27"/>
      <c r="N36" s="27"/>
    </row>
    <row r="37" spans="1:14" x14ac:dyDescent="0.5">
      <c r="A37" s="31"/>
      <c r="B37" s="31" t="s">
        <v>21</v>
      </c>
      <c r="C37" s="31"/>
      <c r="D37" s="33">
        <v>560087</v>
      </c>
      <c r="E37" s="33">
        <f>Depreciation!K48</f>
        <v>-172139.25893650798</v>
      </c>
      <c r="F37" s="317" t="s">
        <v>328</v>
      </c>
      <c r="G37" s="33">
        <f>D37+E37</f>
        <v>387947.74106349202</v>
      </c>
      <c r="H37" s="40"/>
      <c r="I37" s="375" t="s">
        <v>329</v>
      </c>
      <c r="J37" s="33"/>
      <c r="K37" s="33"/>
      <c r="L37" s="27"/>
      <c r="M37" s="27"/>
      <c r="N37" s="27"/>
    </row>
    <row r="38" spans="1:14" ht="16.5" x14ac:dyDescent="0.5">
      <c r="A38" s="31"/>
      <c r="B38" s="31" t="s">
        <v>22</v>
      </c>
      <c r="C38" s="31"/>
      <c r="D38" s="160">
        <v>17854</v>
      </c>
      <c r="E38" s="160">
        <f>Wages!F28</f>
        <v>-2180.2422543325019</v>
      </c>
      <c r="F38" s="2" t="s">
        <v>325</v>
      </c>
      <c r="G38" s="160">
        <f>D38+E38</f>
        <v>15673.757745667499</v>
      </c>
      <c r="H38" s="40"/>
      <c r="I38" s="375" t="s">
        <v>330</v>
      </c>
      <c r="J38" s="33"/>
      <c r="K38" s="33"/>
      <c r="L38" s="27"/>
      <c r="M38" s="27"/>
      <c r="N38" s="27"/>
    </row>
    <row r="39" spans="1:14" ht="16.5" x14ac:dyDescent="0.5">
      <c r="A39" s="37" t="s">
        <v>14</v>
      </c>
      <c r="B39" s="31"/>
      <c r="C39" s="31"/>
      <c r="D39" s="160">
        <f>SUM(D36:D38)</f>
        <v>2175753</v>
      </c>
      <c r="E39" s="160">
        <f>SUM(E36:E38)</f>
        <v>-164188.32256626047</v>
      </c>
      <c r="F39" s="35"/>
      <c r="G39" s="160">
        <f>SUM(G36:G38)</f>
        <v>2011564.6774337396</v>
      </c>
      <c r="H39" s="243"/>
      <c r="I39" s="375"/>
      <c r="J39" s="33"/>
      <c r="K39" s="33"/>
      <c r="L39" s="27"/>
      <c r="M39" s="27"/>
      <c r="N39" s="27"/>
    </row>
    <row r="40" spans="1:14" x14ac:dyDescent="0.5">
      <c r="A40" s="37" t="s">
        <v>35</v>
      </c>
      <c r="B40" s="31"/>
      <c r="C40" s="31"/>
      <c r="D40" s="33">
        <f>D15-D39</f>
        <v>442456</v>
      </c>
      <c r="E40" s="33">
        <f>E15-E39</f>
        <v>87592.905556260361</v>
      </c>
      <c r="F40" s="35"/>
      <c r="G40" s="33">
        <f>G15-G39</f>
        <v>530048.90555626038</v>
      </c>
      <c r="H40" s="33"/>
      <c r="I40" s="375"/>
      <c r="J40" s="33"/>
      <c r="K40" s="33"/>
      <c r="L40" s="27"/>
      <c r="M40" s="27"/>
      <c r="N40" s="27"/>
    </row>
    <row r="41" spans="1:14" x14ac:dyDescent="0.5">
      <c r="A41" s="31"/>
      <c r="B41" s="31"/>
      <c r="C41" s="31"/>
      <c r="D41" s="33"/>
      <c r="E41" s="31"/>
      <c r="F41" s="35"/>
      <c r="G41" s="33"/>
      <c r="H41" s="33"/>
      <c r="I41" s="375"/>
      <c r="J41" s="33"/>
      <c r="K41" s="33"/>
      <c r="L41" s="27"/>
      <c r="M41" s="27"/>
      <c r="N41" s="27"/>
    </row>
    <row r="42" spans="1:14" x14ac:dyDescent="0.5">
      <c r="A42" s="401" t="s">
        <v>45</v>
      </c>
      <c r="B42" s="401"/>
      <c r="C42" s="401"/>
      <c r="D42" s="401"/>
      <c r="E42" s="401"/>
      <c r="F42" s="401"/>
      <c r="G42" s="401"/>
      <c r="H42" s="33"/>
      <c r="I42" s="375"/>
      <c r="J42" s="33"/>
      <c r="K42" s="33"/>
      <c r="L42" s="27"/>
      <c r="M42" s="27"/>
      <c r="N42" s="27"/>
    </row>
    <row r="43" spans="1:14" x14ac:dyDescent="0.5">
      <c r="A43" s="37" t="s">
        <v>15</v>
      </c>
      <c r="B43" s="31"/>
      <c r="C43" s="31"/>
      <c r="D43" s="38"/>
      <c r="E43" s="31"/>
      <c r="F43" s="35"/>
      <c r="G43" s="33">
        <f>G39</f>
        <v>2011564.6774337396</v>
      </c>
      <c r="H43" s="33"/>
      <c r="I43" s="375"/>
      <c r="J43" s="33"/>
      <c r="K43" s="33"/>
      <c r="L43" s="27"/>
      <c r="M43" s="27"/>
      <c r="N43" s="27"/>
    </row>
    <row r="44" spans="1:14" x14ac:dyDescent="0.5">
      <c r="A44" s="31" t="s">
        <v>89</v>
      </c>
      <c r="B44" s="31"/>
      <c r="C44" s="31" t="s">
        <v>49</v>
      </c>
      <c r="D44" s="38"/>
      <c r="E44" s="31"/>
      <c r="F44" s="2" t="s">
        <v>326</v>
      </c>
      <c r="G44" s="33">
        <f>'Debt Service'!M21</f>
        <v>592802.38780000003</v>
      </c>
      <c r="H44" s="33"/>
      <c r="I44" s="375" t="s">
        <v>331</v>
      </c>
      <c r="J44" s="33"/>
      <c r="K44" s="33"/>
      <c r="L44" s="27"/>
      <c r="M44" s="27"/>
      <c r="N44" s="27"/>
    </row>
    <row r="45" spans="1:14" ht="16.5" x14ac:dyDescent="0.5">
      <c r="A45" s="31"/>
      <c r="B45" s="31"/>
      <c r="C45" s="31" t="s">
        <v>30</v>
      </c>
      <c r="D45" s="38"/>
      <c r="E45" s="31"/>
      <c r="F45" s="2" t="s">
        <v>327</v>
      </c>
      <c r="G45" s="160">
        <f>'Debt Service'!M22</f>
        <v>118560.47756000001</v>
      </c>
      <c r="H45" s="33"/>
      <c r="I45" s="377" t="s">
        <v>332</v>
      </c>
      <c r="J45" s="33"/>
      <c r="K45" s="33"/>
      <c r="L45" s="27"/>
      <c r="M45" s="27"/>
      <c r="N45" s="27"/>
    </row>
    <row r="46" spans="1:14" x14ac:dyDescent="0.5">
      <c r="A46" s="37" t="s">
        <v>36</v>
      </c>
      <c r="B46" s="31"/>
      <c r="C46" s="31"/>
      <c r="D46" s="38"/>
      <c r="E46" s="31"/>
      <c r="F46" s="35"/>
      <c r="G46" s="33">
        <f>SUM(G43:G45)</f>
        <v>2722927.5427937396</v>
      </c>
      <c r="H46" s="33"/>
      <c r="I46" s="378"/>
      <c r="J46" s="33"/>
      <c r="K46" s="33"/>
      <c r="L46" s="27"/>
      <c r="M46" s="27"/>
      <c r="N46" s="27"/>
    </row>
    <row r="47" spans="1:14" x14ac:dyDescent="0.5">
      <c r="A47" s="31" t="s">
        <v>90</v>
      </c>
      <c r="B47" s="31"/>
      <c r="C47" s="31" t="s">
        <v>18</v>
      </c>
      <c r="D47" s="38"/>
      <c r="E47" s="31"/>
      <c r="F47" s="35"/>
      <c r="G47" s="162">
        <f>-SUM(G11:G14)</f>
        <v>-31381.89</v>
      </c>
      <c r="H47" s="33"/>
      <c r="I47" s="378"/>
      <c r="J47" s="33"/>
      <c r="K47" s="33"/>
      <c r="L47" s="27"/>
      <c r="M47" s="27"/>
      <c r="N47" s="27"/>
    </row>
    <row r="48" spans="1:14" ht="16.5" x14ac:dyDescent="0.5">
      <c r="A48" s="31"/>
      <c r="B48" s="31"/>
      <c r="C48" s="31" t="s">
        <v>63</v>
      </c>
      <c r="D48" s="38"/>
      <c r="E48" s="31"/>
      <c r="F48" s="35"/>
      <c r="G48" s="160">
        <v>-2971</v>
      </c>
      <c r="H48" s="33"/>
      <c r="I48" s="378"/>
      <c r="J48" s="33"/>
      <c r="K48" s="33"/>
      <c r="L48" s="27"/>
      <c r="M48" s="27"/>
      <c r="N48" s="27"/>
    </row>
    <row r="49" spans="1:14" x14ac:dyDescent="0.5">
      <c r="A49" s="37" t="s">
        <v>91</v>
      </c>
      <c r="B49" s="31"/>
      <c r="C49" s="31"/>
      <c r="D49" s="38"/>
      <c r="E49" s="31"/>
      <c r="F49" s="35"/>
      <c r="G49" s="33">
        <f>SUM(G46:G48)</f>
        <v>2688574.6527937395</v>
      </c>
      <c r="I49" s="379"/>
      <c r="J49" s="75"/>
      <c r="K49" s="33"/>
      <c r="L49" s="31"/>
      <c r="M49" s="31"/>
      <c r="N49" s="31"/>
    </row>
    <row r="50" spans="1:14" ht="16.5" x14ac:dyDescent="0.5">
      <c r="A50" s="31" t="s">
        <v>90</v>
      </c>
      <c r="B50" s="31"/>
      <c r="C50" s="31" t="s">
        <v>37</v>
      </c>
      <c r="D50" s="38"/>
      <c r="E50" s="31"/>
      <c r="F50" s="35"/>
      <c r="G50" s="160">
        <f>-SUM(G7:G9)</f>
        <v>-2510231.6929899999</v>
      </c>
      <c r="H50" s="33"/>
      <c r="I50" s="377"/>
      <c r="J50" s="33"/>
      <c r="K50" s="33"/>
      <c r="L50" s="31"/>
      <c r="M50" s="31"/>
      <c r="N50" s="31"/>
    </row>
    <row r="51" spans="1:14" x14ac:dyDescent="0.5">
      <c r="A51" s="37" t="s">
        <v>16</v>
      </c>
      <c r="B51" s="31"/>
      <c r="C51" s="31"/>
      <c r="D51" s="38"/>
      <c r="E51" s="31"/>
      <c r="F51" s="35"/>
      <c r="G51" s="33">
        <f>G49+G50</f>
        <v>178342.95980373956</v>
      </c>
      <c r="H51" s="33"/>
      <c r="I51" s="377"/>
      <c r="J51" s="33"/>
      <c r="K51" s="33"/>
      <c r="L51" s="31"/>
      <c r="M51" s="31"/>
      <c r="N51" s="31"/>
    </row>
    <row r="52" spans="1:14" ht="16.5" x14ac:dyDescent="0.5">
      <c r="A52" s="37" t="s">
        <v>17</v>
      </c>
      <c r="B52" s="31"/>
      <c r="C52" s="31"/>
      <c r="D52" s="38"/>
      <c r="E52" s="31"/>
      <c r="F52" s="35"/>
      <c r="G52" s="74">
        <f>ROUND(G51/-G50,4)</f>
        <v>7.0999999999999994E-2</v>
      </c>
      <c r="H52" s="27"/>
      <c r="J52" s="39"/>
      <c r="K52" s="160"/>
      <c r="L52" s="31"/>
      <c r="M52" s="31"/>
      <c r="N52" s="31"/>
    </row>
    <row r="53" spans="1:14" x14ac:dyDescent="0.5">
      <c r="A53" s="36"/>
      <c r="B53" s="36"/>
      <c r="C53" s="36"/>
      <c r="D53" s="38"/>
      <c r="E53" s="36"/>
      <c r="G53" s="38"/>
      <c r="I53" s="377"/>
      <c r="J53" s="36"/>
      <c r="K53" s="36"/>
      <c r="L53" s="36"/>
      <c r="M53" s="36"/>
      <c r="N53" s="36"/>
    </row>
    <row r="54" spans="1:14" x14ac:dyDescent="0.5">
      <c r="D54" s="248"/>
      <c r="E54" s="239"/>
      <c r="G54" s="33"/>
      <c r="H54" s="239"/>
      <c r="I54" s="128"/>
      <c r="J54" s="36"/>
      <c r="K54" s="36"/>
      <c r="L54" s="36"/>
      <c r="M54" s="36"/>
      <c r="N54" s="36"/>
    </row>
    <row r="55" spans="1:14" x14ac:dyDescent="0.5">
      <c r="D55" s="248"/>
      <c r="E55" s="239"/>
      <c r="H55" s="239"/>
      <c r="I55" s="128"/>
      <c r="J55" s="36"/>
      <c r="K55" s="36"/>
      <c r="L55" s="36"/>
      <c r="M55" s="36"/>
      <c r="N55" s="36"/>
    </row>
    <row r="56" spans="1:14" x14ac:dyDescent="0.5">
      <c r="D56" s="248"/>
      <c r="E56" s="240"/>
      <c r="H56" s="240"/>
      <c r="I56" s="128"/>
      <c r="J56" s="36"/>
      <c r="K56" s="36"/>
      <c r="L56" s="36"/>
      <c r="M56" s="36"/>
      <c r="N56" s="36"/>
    </row>
  </sheetData>
  <mergeCells count="3">
    <mergeCell ref="A2:G2"/>
    <mergeCell ref="A42:G42"/>
    <mergeCell ref="A3:G3"/>
  </mergeCells>
  <printOptions horizontalCentered="1"/>
  <pageMargins left="1.1000000000000001" right="1" top="0.6" bottom="0.5" header="0" footer="0"/>
  <pageSetup scale="86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30"/>
  <sheetViews>
    <sheetView workbookViewId="0">
      <selection activeCell="G12" sqref="G12"/>
    </sheetView>
  </sheetViews>
  <sheetFormatPr defaultRowHeight="15" x14ac:dyDescent="0.4"/>
  <cols>
    <col min="1" max="1" width="8.44140625" customWidth="1"/>
    <col min="2" max="2" width="8.6640625" customWidth="1"/>
    <col min="3" max="3" width="8" customWidth="1"/>
    <col min="4" max="4" width="11.5546875" customWidth="1"/>
    <col min="5" max="5" width="9.77734375" customWidth="1"/>
    <col min="6" max="6" width="10.33203125" customWidth="1"/>
    <col min="7" max="7" width="9.77734375" customWidth="1"/>
    <col min="8" max="8" width="10.109375" customWidth="1"/>
    <col min="9" max="9" width="11" customWidth="1"/>
  </cols>
  <sheetData>
    <row r="1" spans="1:16" ht="18" x14ac:dyDescent="0.55000000000000004">
      <c r="A1" s="412" t="s">
        <v>173</v>
      </c>
      <c r="B1" s="412"/>
      <c r="C1" s="412"/>
      <c r="D1" s="412"/>
      <c r="E1" s="412"/>
      <c r="F1" s="412"/>
      <c r="G1" s="412"/>
      <c r="H1" s="215"/>
      <c r="I1" s="234"/>
      <c r="J1" s="3"/>
      <c r="K1" s="3"/>
      <c r="L1" s="3"/>
      <c r="M1" s="3"/>
      <c r="N1" s="3"/>
      <c r="O1" s="3"/>
      <c r="P1" s="3"/>
    </row>
    <row r="2" spans="1:16" ht="18" x14ac:dyDescent="0.45">
      <c r="A2" s="400" t="s">
        <v>166</v>
      </c>
      <c r="B2" s="400"/>
      <c r="C2" s="400"/>
      <c r="D2" s="400"/>
      <c r="E2" s="400"/>
      <c r="F2" s="400"/>
      <c r="G2" s="400"/>
      <c r="H2" s="207"/>
      <c r="I2" s="221"/>
      <c r="J2" s="3"/>
      <c r="K2" s="3"/>
      <c r="L2" s="3"/>
      <c r="M2" s="3"/>
      <c r="N2" s="3"/>
      <c r="O2" s="3"/>
      <c r="P2" s="3"/>
    </row>
    <row r="3" spans="1:16" ht="15.4" x14ac:dyDescent="0.45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3"/>
      <c r="M3" s="3"/>
      <c r="N3" s="3"/>
      <c r="O3" s="3"/>
      <c r="P3" s="3"/>
    </row>
    <row r="4" spans="1:16" ht="15.4" x14ac:dyDescent="0.45">
      <c r="A4" s="1"/>
      <c r="B4" s="86" t="s">
        <v>86</v>
      </c>
      <c r="C4" s="1"/>
      <c r="D4" s="1"/>
      <c r="E4" s="1"/>
      <c r="F4" s="1"/>
      <c r="H4" s="1"/>
      <c r="I4" s="3"/>
      <c r="J4" s="3"/>
      <c r="K4" s="3"/>
      <c r="L4" s="3"/>
      <c r="M4" s="3"/>
      <c r="N4" s="3"/>
      <c r="O4" s="3"/>
      <c r="P4" s="3"/>
    </row>
    <row r="5" spans="1:16" ht="15.4" x14ac:dyDescent="0.45">
      <c r="A5" s="1"/>
      <c r="B5" s="150"/>
      <c r="C5" s="22"/>
      <c r="D5" s="208" t="s">
        <v>74</v>
      </c>
      <c r="E5" s="208" t="s">
        <v>50</v>
      </c>
      <c r="F5" s="208" t="s">
        <v>48</v>
      </c>
      <c r="H5" s="7"/>
      <c r="I5" s="3"/>
      <c r="J5" s="3"/>
      <c r="K5" s="3"/>
      <c r="L5" s="3"/>
      <c r="M5" s="3"/>
      <c r="N5" s="3"/>
      <c r="O5" s="3"/>
      <c r="P5" s="3"/>
    </row>
    <row r="6" spans="1:16" ht="15.4" x14ac:dyDescent="0.45">
      <c r="A6" s="1"/>
      <c r="B6" s="1" t="s">
        <v>141</v>
      </c>
      <c r="C6" s="1"/>
      <c r="D6" s="3">
        <f>C19</f>
        <v>11563</v>
      </c>
      <c r="E6" s="76">
        <f>D19</f>
        <v>75331215</v>
      </c>
      <c r="F6" s="281">
        <f>F25</f>
        <v>1065531.7886399999</v>
      </c>
      <c r="H6" s="78"/>
      <c r="I6" s="3"/>
      <c r="J6" s="3"/>
      <c r="K6" s="3"/>
      <c r="L6" s="3"/>
      <c r="M6" s="3"/>
      <c r="N6" s="3"/>
      <c r="O6" s="3"/>
      <c r="P6" s="3"/>
    </row>
    <row r="7" spans="1:16" ht="15.4" x14ac:dyDescent="0.45">
      <c r="A7" s="1"/>
      <c r="B7" s="1"/>
      <c r="C7" s="146"/>
      <c r="D7" s="146"/>
      <c r="E7" s="147" t="s">
        <v>88</v>
      </c>
      <c r="F7" s="148">
        <f>F6</f>
        <v>1065531.7886399999</v>
      </c>
      <c r="H7" s="148"/>
      <c r="I7" s="236"/>
      <c r="J7" s="3"/>
      <c r="K7" s="3"/>
      <c r="L7" s="3"/>
      <c r="M7" s="3"/>
      <c r="N7" s="3"/>
      <c r="O7" s="3"/>
      <c r="P7" s="3"/>
    </row>
    <row r="8" spans="1:16" ht="15.4" x14ac:dyDescent="0.45">
      <c r="A8" s="1"/>
      <c r="B8" s="1"/>
      <c r="C8" s="146"/>
      <c r="D8" s="146"/>
      <c r="E8" s="147" t="s">
        <v>169</v>
      </c>
      <c r="F8" s="280">
        <v>-62396.719999999987</v>
      </c>
      <c r="H8" s="148"/>
      <c r="I8" s="236"/>
      <c r="J8" s="3"/>
      <c r="K8" s="3"/>
      <c r="L8" s="3"/>
      <c r="M8" s="3"/>
      <c r="N8" s="3"/>
      <c r="O8" s="3"/>
      <c r="P8" s="3"/>
    </row>
    <row r="9" spans="1:16" ht="15.4" x14ac:dyDescent="0.45">
      <c r="A9" s="1"/>
      <c r="B9" s="1"/>
      <c r="C9" s="146"/>
      <c r="D9" s="146"/>
      <c r="E9" s="147" t="s">
        <v>170</v>
      </c>
      <c r="F9" s="148">
        <f>F7+F8</f>
        <v>1003135.06864</v>
      </c>
      <c r="H9" s="148"/>
      <c r="I9" s="236"/>
      <c r="J9" s="3"/>
      <c r="K9" s="3"/>
      <c r="L9" s="3"/>
      <c r="M9" s="3"/>
      <c r="N9" s="3"/>
      <c r="O9" s="3"/>
      <c r="P9" s="3"/>
    </row>
    <row r="10" spans="1:16" ht="15.4" x14ac:dyDescent="0.45">
      <c r="A10" s="1"/>
      <c r="B10" s="1"/>
      <c r="C10" s="146"/>
      <c r="D10" s="146"/>
      <c r="E10" s="147" t="s">
        <v>167</v>
      </c>
      <c r="F10" s="280">
        <f>-SAOs!D7</f>
        <v>-983137</v>
      </c>
      <c r="H10" s="148"/>
      <c r="I10" s="236"/>
      <c r="J10" s="3"/>
      <c r="K10" s="3"/>
      <c r="L10" s="3"/>
      <c r="M10" s="3"/>
      <c r="N10" s="3"/>
      <c r="O10" s="3"/>
      <c r="P10" s="3"/>
    </row>
    <row r="11" spans="1:16" ht="15.4" x14ac:dyDescent="0.45">
      <c r="A11" s="1"/>
      <c r="B11" s="1"/>
      <c r="C11" s="146"/>
      <c r="D11" s="146"/>
      <c r="E11" s="147" t="s">
        <v>168</v>
      </c>
      <c r="F11" s="148">
        <f>F9+F10</f>
        <v>19998.068639999954</v>
      </c>
      <c r="G11" s="214">
        <f>-F11/F10</f>
        <v>2.0341080276706048E-2</v>
      </c>
      <c r="H11" s="148"/>
      <c r="I11" s="236"/>
      <c r="J11" s="3"/>
      <c r="K11" s="3"/>
      <c r="L11" s="3"/>
      <c r="M11" s="3"/>
      <c r="N11" s="3"/>
      <c r="O11" s="3"/>
      <c r="P11" s="3"/>
    </row>
    <row r="12" spans="1:16" ht="15.4" x14ac:dyDescent="0.45">
      <c r="A12" s="1"/>
      <c r="B12" s="1"/>
      <c r="C12" s="146"/>
      <c r="D12" s="146"/>
      <c r="E12" s="216"/>
      <c r="F12" s="148"/>
      <c r="H12" s="148"/>
      <c r="I12" s="236"/>
      <c r="J12" s="3"/>
      <c r="K12" s="3"/>
      <c r="L12" s="3"/>
      <c r="M12" s="3"/>
      <c r="N12" s="3"/>
      <c r="O12" s="3"/>
      <c r="P12" s="3"/>
    </row>
    <row r="13" spans="1:16" ht="15.4" x14ac:dyDescent="0.45">
      <c r="A13" s="1"/>
      <c r="B13" s="1"/>
      <c r="C13" s="1"/>
      <c r="D13" s="1"/>
      <c r="E13" s="1"/>
      <c r="F13" s="81"/>
      <c r="G13" s="81"/>
      <c r="H13" s="1"/>
      <c r="I13" s="3"/>
      <c r="J13" s="3"/>
      <c r="K13" s="3"/>
      <c r="L13" s="3"/>
      <c r="M13" s="3"/>
      <c r="N13" s="3"/>
      <c r="O13" s="3"/>
      <c r="P13" s="3"/>
    </row>
    <row r="14" spans="1:16" ht="15.75" x14ac:dyDescent="0.5">
      <c r="A14" s="143" t="s">
        <v>140</v>
      </c>
      <c r="B14" s="1"/>
      <c r="C14" s="1"/>
      <c r="D14" s="1"/>
      <c r="E14" s="1"/>
      <c r="F14" s="1"/>
      <c r="G14" s="1"/>
      <c r="H14" s="1"/>
      <c r="I14" s="3"/>
      <c r="J14" s="3"/>
      <c r="K14" s="3"/>
      <c r="L14" s="3"/>
      <c r="M14" s="3"/>
      <c r="N14" s="3"/>
      <c r="O14" s="3"/>
      <c r="P14" s="3"/>
    </row>
    <row r="15" spans="1:16" ht="15.4" x14ac:dyDescent="0.45">
      <c r="A15" s="1"/>
      <c r="B15" s="1"/>
      <c r="C15" s="1"/>
      <c r="D15" s="1"/>
      <c r="E15" s="2" t="s">
        <v>51</v>
      </c>
      <c r="F15" s="2" t="s">
        <v>52</v>
      </c>
      <c r="G15" s="1"/>
      <c r="I15" s="3"/>
      <c r="J15" s="3"/>
      <c r="K15" s="3"/>
      <c r="L15" s="3"/>
      <c r="M15" s="3"/>
      <c r="N15" s="3"/>
      <c r="O15" s="3"/>
      <c r="P15" s="3"/>
    </row>
    <row r="16" spans="1:16" ht="15.4" x14ac:dyDescent="0.45">
      <c r="A16" s="1"/>
      <c r="B16" s="208" t="s">
        <v>53</v>
      </c>
      <c r="C16" s="14" t="s">
        <v>54</v>
      </c>
      <c r="D16" s="14" t="s">
        <v>55</v>
      </c>
      <c r="E16" s="14">
        <f>B17</f>
        <v>2000</v>
      </c>
      <c r="F16" s="14">
        <f>B18</f>
        <v>2000</v>
      </c>
      <c r="G16" s="208" t="s">
        <v>56</v>
      </c>
      <c r="I16" s="3"/>
      <c r="J16" s="3"/>
      <c r="K16" s="3"/>
      <c r="L16" s="3"/>
      <c r="M16" s="3"/>
      <c r="N16" s="3"/>
      <c r="O16" s="3"/>
      <c r="P16" s="3"/>
    </row>
    <row r="17" spans="1:16" ht="15.4" x14ac:dyDescent="0.45">
      <c r="A17" s="15" t="s">
        <v>51</v>
      </c>
      <c r="B17" s="16">
        <v>2000</v>
      </c>
      <c r="C17" s="82">
        <v>3618</v>
      </c>
      <c r="D17" s="82">
        <v>3168423</v>
      </c>
      <c r="E17" s="82">
        <f>D17</f>
        <v>3168423</v>
      </c>
      <c r="F17" s="82">
        <v>0</v>
      </c>
      <c r="G17" s="82">
        <f>SUM(E17:F17)</f>
        <v>3168423</v>
      </c>
      <c r="I17" s="3"/>
      <c r="J17" s="3"/>
      <c r="K17" s="3"/>
      <c r="L17" s="3"/>
      <c r="M17" s="3"/>
      <c r="N17" s="3"/>
      <c r="O17" s="3"/>
      <c r="P17" s="3"/>
    </row>
    <row r="18" spans="1:16" ht="15.4" x14ac:dyDescent="0.45">
      <c r="A18" s="15" t="s">
        <v>52</v>
      </c>
      <c r="B18" s="18">
        <v>2000</v>
      </c>
      <c r="C18" s="83">
        <v>7945</v>
      </c>
      <c r="D18" s="83">
        <v>72162792</v>
      </c>
      <c r="E18" s="83">
        <f>C18*E$16</f>
        <v>15890000</v>
      </c>
      <c r="F18" s="83">
        <f>D18-E18</f>
        <v>56272792</v>
      </c>
      <c r="G18" s="83">
        <f>SUM(E18:F18)</f>
        <v>72162792</v>
      </c>
      <c r="I18" s="3"/>
      <c r="J18" s="3"/>
      <c r="K18" s="3"/>
      <c r="L18" s="3"/>
      <c r="M18" s="3"/>
      <c r="N18" s="3"/>
      <c r="O18" s="3"/>
      <c r="P18" s="3"/>
    </row>
    <row r="19" spans="1:16" ht="15.4" x14ac:dyDescent="0.45">
      <c r="A19" s="15"/>
      <c r="B19" s="16"/>
      <c r="C19" s="84">
        <f>SUM(C17:C18)</f>
        <v>11563</v>
      </c>
      <c r="D19" s="84">
        <f>SUM(D17:D18)</f>
        <v>75331215</v>
      </c>
      <c r="E19" s="84">
        <f>SUM(E17:E18)</f>
        <v>19058423</v>
      </c>
      <c r="F19" s="84">
        <f>SUM(F17:F18)</f>
        <v>56272792</v>
      </c>
      <c r="G19" s="84">
        <f>SUM(G17:G18)</f>
        <v>75331215</v>
      </c>
      <c r="I19" s="3"/>
      <c r="J19" s="3"/>
      <c r="K19" s="3"/>
      <c r="L19" s="3"/>
      <c r="M19" s="3"/>
      <c r="N19" s="3"/>
      <c r="O19" s="3"/>
      <c r="P19" s="3"/>
    </row>
    <row r="20" spans="1:16" ht="15.4" x14ac:dyDescent="0.45">
      <c r="A20" s="15"/>
      <c r="B20" s="16"/>
      <c r="C20" s="1"/>
      <c r="D20" s="16"/>
      <c r="E20" s="16"/>
      <c r="F20" s="16"/>
      <c r="G20" s="16"/>
      <c r="H20" s="16"/>
      <c r="I20" s="3"/>
      <c r="J20" s="3"/>
      <c r="K20" s="3"/>
      <c r="L20" s="3"/>
      <c r="M20" s="3"/>
      <c r="N20" s="3"/>
      <c r="O20" s="3"/>
      <c r="P20" s="3"/>
    </row>
    <row r="21" spans="1:16" ht="15.4" x14ac:dyDescent="0.45">
      <c r="A21" s="20" t="s">
        <v>57</v>
      </c>
      <c r="B21" s="20"/>
      <c r="C21" s="1"/>
      <c r="D21" s="16"/>
      <c r="E21" s="16"/>
      <c r="F21" s="16"/>
      <c r="G21" s="16"/>
      <c r="H21" s="16"/>
      <c r="I21" s="3"/>
      <c r="J21" s="3"/>
      <c r="K21" s="3"/>
      <c r="L21" s="3"/>
      <c r="M21" s="3"/>
      <c r="N21" s="3"/>
      <c r="O21" s="3"/>
      <c r="P21" s="3"/>
    </row>
    <row r="22" spans="1:16" ht="15.4" x14ac:dyDescent="0.45">
      <c r="A22" s="15"/>
      <c r="B22" s="208"/>
      <c r="C22" s="14" t="s">
        <v>54</v>
      </c>
      <c r="D22" s="208" t="s">
        <v>55</v>
      </c>
      <c r="E22" s="14" t="s">
        <v>58</v>
      </c>
      <c r="F22" s="14" t="s">
        <v>59</v>
      </c>
      <c r="G22" s="16"/>
      <c r="H22" s="16"/>
      <c r="I22" s="3"/>
      <c r="J22" s="3"/>
      <c r="K22" s="3"/>
      <c r="L22" s="3"/>
      <c r="M22" s="3"/>
      <c r="N22" s="3"/>
      <c r="O22" s="3"/>
      <c r="P22" s="3"/>
    </row>
    <row r="23" spans="1:16" ht="15.4" x14ac:dyDescent="0.45">
      <c r="A23" s="15" t="s">
        <v>51</v>
      </c>
      <c r="B23" s="16">
        <f>B17</f>
        <v>2000</v>
      </c>
      <c r="C23" s="17">
        <f>C19</f>
        <v>11563</v>
      </c>
      <c r="D23" s="82">
        <f>E19</f>
        <v>19058423</v>
      </c>
      <c r="E23" s="206">
        <v>26.84</v>
      </c>
      <c r="F23" s="205">
        <f>E23*C23</f>
        <v>310350.92</v>
      </c>
      <c r="G23" s="16"/>
      <c r="H23" s="1"/>
      <c r="I23" s="3"/>
      <c r="J23" s="3"/>
      <c r="K23" s="3"/>
      <c r="L23" s="3"/>
      <c r="M23" s="3"/>
      <c r="N23" s="3"/>
      <c r="O23" s="3"/>
      <c r="P23" s="3"/>
    </row>
    <row r="24" spans="1:16" ht="15.4" x14ac:dyDescent="0.45">
      <c r="A24" s="15" t="s">
        <v>52</v>
      </c>
      <c r="B24" s="18">
        <f>B18</f>
        <v>2000</v>
      </c>
      <c r="C24" s="22"/>
      <c r="D24" s="83">
        <f>F19</f>
        <v>56272792</v>
      </c>
      <c r="E24" s="279">
        <v>1.342E-2</v>
      </c>
      <c r="F24" s="89">
        <f>E24*D24</f>
        <v>755180.86864</v>
      </c>
      <c r="G24" s="16"/>
      <c r="H24" s="1"/>
      <c r="I24" s="3"/>
      <c r="J24" s="3"/>
      <c r="K24" s="3"/>
      <c r="L24" s="3"/>
      <c r="M24" s="3"/>
      <c r="N24" s="3"/>
      <c r="O24" s="3"/>
      <c r="P24" s="3"/>
    </row>
    <row r="25" spans="1:16" ht="15.4" x14ac:dyDescent="0.45">
      <c r="A25" s="15"/>
      <c r="B25" s="16" t="s">
        <v>56</v>
      </c>
      <c r="C25" s="3">
        <f>SUM(C23:C24)</f>
        <v>11563</v>
      </c>
      <c r="D25" s="84">
        <f>SUM(D23:D24)</f>
        <v>75331215</v>
      </c>
      <c r="E25" s="1"/>
      <c r="F25" s="205">
        <f>SUM(F23:F24)</f>
        <v>1065531.7886399999</v>
      </c>
      <c r="G25" s="16"/>
      <c r="H25" s="16"/>
      <c r="I25" s="3"/>
      <c r="J25" s="3"/>
      <c r="K25" s="3"/>
      <c r="L25" s="3"/>
      <c r="M25" s="3"/>
      <c r="N25" s="3"/>
      <c r="O25" s="3"/>
      <c r="P25" s="3"/>
    </row>
    <row r="26" spans="1:16" ht="15.4" x14ac:dyDescent="0.45">
      <c r="I26" s="3"/>
      <c r="J26" s="3"/>
      <c r="K26" s="3"/>
      <c r="L26" s="3"/>
      <c r="M26" s="3"/>
      <c r="N26" s="3"/>
      <c r="O26" s="3"/>
      <c r="P26" s="3"/>
    </row>
    <row r="27" spans="1:16" ht="15.4" x14ac:dyDescent="0.45">
      <c r="I27" s="3"/>
      <c r="J27" s="3"/>
      <c r="K27" s="3"/>
      <c r="L27" s="3"/>
      <c r="M27" s="3"/>
      <c r="N27" s="3"/>
      <c r="O27" s="3"/>
      <c r="P27" s="3"/>
    </row>
    <row r="28" spans="1:16" ht="15.4" x14ac:dyDescent="0.45">
      <c r="I28" s="3"/>
      <c r="J28" s="3"/>
      <c r="K28" s="3"/>
      <c r="L28" s="3"/>
      <c r="M28" s="3"/>
      <c r="N28" s="3"/>
      <c r="O28" s="3"/>
      <c r="P28" s="3"/>
    </row>
    <row r="29" spans="1:16" ht="15.4" x14ac:dyDescent="0.45">
      <c r="I29" s="3"/>
      <c r="J29" s="3"/>
      <c r="K29" s="3"/>
      <c r="L29" s="3"/>
      <c r="M29" s="3"/>
      <c r="N29" s="3"/>
      <c r="O29" s="3"/>
      <c r="P29" s="3"/>
    </row>
    <row r="30" spans="1:16" x14ac:dyDescent="0.4">
      <c r="I30" s="235"/>
      <c r="J30" s="235"/>
      <c r="K30" s="235"/>
      <c r="L30" s="235"/>
      <c r="M30" s="235"/>
      <c r="N30" s="235"/>
      <c r="O30" s="235"/>
      <c r="P30" s="235"/>
    </row>
  </sheetData>
  <mergeCells count="2">
    <mergeCell ref="A1:G1"/>
    <mergeCell ref="A2:G2"/>
  </mergeCells>
  <printOptions horizontalCentered="1"/>
  <pageMargins left="0.85" right="0.7" top="1.2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GY35"/>
  <sheetViews>
    <sheetView showGridLines="0" workbookViewId="0">
      <selection sqref="A1:P31"/>
    </sheetView>
  </sheetViews>
  <sheetFormatPr defaultColWidth="8.88671875" defaultRowHeight="15.75" outlineLevelRow="1" x14ac:dyDescent="0.5"/>
  <cols>
    <col min="1" max="1" width="2.109375" style="72" customWidth="1"/>
    <col min="2" max="2" width="1.109375" style="72" customWidth="1"/>
    <col min="3" max="3" width="4.77734375" style="72" customWidth="1"/>
    <col min="4" max="4" width="6.77734375" style="72" customWidth="1"/>
    <col min="5" max="5" width="6.33203125" style="72" customWidth="1"/>
    <col min="6" max="6" width="7.33203125" style="72" customWidth="1"/>
    <col min="7" max="7" width="13.33203125" style="72" customWidth="1"/>
    <col min="8" max="8" width="1.21875" style="72" customWidth="1"/>
    <col min="9" max="9" width="4.77734375" style="72" customWidth="1"/>
    <col min="10" max="10" width="7" style="72" customWidth="1"/>
    <col min="11" max="11" width="6.33203125" style="72" customWidth="1"/>
    <col min="12" max="12" width="7.33203125" style="72" customWidth="1"/>
    <col min="13" max="13" width="13.33203125" style="72" customWidth="1"/>
    <col min="14" max="14" width="8.609375" style="72" bestFit="1" customWidth="1"/>
    <col min="15" max="15" width="6.5546875" style="72" bestFit="1" customWidth="1"/>
    <col min="16" max="16" width="2.6640625" style="72" customWidth="1"/>
    <col min="17" max="207" width="9.6640625" style="72" customWidth="1"/>
    <col min="208" max="16384" width="8.88671875" style="29"/>
  </cols>
  <sheetData>
    <row r="2" spans="2:18" x14ac:dyDescent="0.5">
      <c r="B2" s="113"/>
      <c r="C2" s="114"/>
      <c r="D2" s="114"/>
      <c r="E2" s="114"/>
      <c r="F2" s="114"/>
      <c r="G2" s="237"/>
      <c r="H2" s="114"/>
      <c r="I2" s="114"/>
      <c r="J2" s="114"/>
      <c r="K2" s="114"/>
      <c r="L2" s="114"/>
      <c r="M2" s="114"/>
      <c r="N2" s="114"/>
      <c r="O2" s="115"/>
    </row>
    <row r="3" spans="2:18" ht="18" hidden="1" x14ac:dyDescent="0.55000000000000004">
      <c r="B3" s="116"/>
      <c r="C3" s="413" t="s">
        <v>348</v>
      </c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5"/>
    </row>
    <row r="4" spans="2:18" ht="18" hidden="1" x14ac:dyDescent="0.55000000000000004">
      <c r="B4" s="116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8"/>
      <c r="O4" s="419"/>
    </row>
    <row r="5" spans="2:18" ht="18" x14ac:dyDescent="0.55000000000000004">
      <c r="B5" s="116"/>
      <c r="C5" s="413" t="s">
        <v>145</v>
      </c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8"/>
      <c r="O5" s="419"/>
    </row>
    <row r="6" spans="2:18" ht="18" x14ac:dyDescent="0.55000000000000004">
      <c r="B6" s="116"/>
      <c r="C6" s="413" t="s">
        <v>150</v>
      </c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8"/>
      <c r="O6" s="419"/>
      <c r="P6" s="156"/>
      <c r="Q6" s="156"/>
      <c r="R6" s="156"/>
    </row>
    <row r="7" spans="2:18" ht="18" x14ac:dyDescent="0.5">
      <c r="B7" s="116"/>
      <c r="C7" s="420" t="s">
        <v>146</v>
      </c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1"/>
      <c r="O7" s="422"/>
      <c r="P7" s="218"/>
      <c r="Q7" s="218"/>
      <c r="R7" s="218"/>
    </row>
    <row r="8" spans="2:18" x14ac:dyDescent="0.5">
      <c r="B8" s="124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</row>
    <row r="9" spans="2:18" x14ac:dyDescent="0.5">
      <c r="B9" s="116"/>
      <c r="C9" s="117"/>
      <c r="D9" s="117"/>
      <c r="E9" s="117"/>
      <c r="F9" s="117"/>
      <c r="G9" s="118"/>
      <c r="H9" s="116"/>
      <c r="I9" s="117"/>
      <c r="J9" s="117"/>
      <c r="K9" s="117"/>
      <c r="L9" s="117"/>
      <c r="M9" s="118"/>
      <c r="N9" s="116"/>
      <c r="O9" s="118"/>
    </row>
    <row r="10" spans="2:18" x14ac:dyDescent="0.5">
      <c r="B10" s="116"/>
      <c r="C10" s="416" t="s">
        <v>80</v>
      </c>
      <c r="D10" s="416"/>
      <c r="E10" s="416"/>
      <c r="F10" s="416"/>
      <c r="G10" s="417"/>
      <c r="H10" s="117"/>
      <c r="I10" s="416" t="s">
        <v>142</v>
      </c>
      <c r="J10" s="416"/>
      <c r="K10" s="416"/>
      <c r="L10" s="416"/>
      <c r="M10" s="417"/>
      <c r="N10" s="381" t="s">
        <v>334</v>
      </c>
      <c r="O10" s="370" t="s">
        <v>335</v>
      </c>
    </row>
    <row r="11" spans="2:18" x14ac:dyDescent="0.5">
      <c r="B11" s="116"/>
      <c r="C11" s="117"/>
      <c r="D11" s="117"/>
      <c r="E11" s="117"/>
      <c r="F11" s="117"/>
      <c r="G11" s="118"/>
      <c r="H11" s="117"/>
      <c r="I11" s="117"/>
      <c r="J11" s="117"/>
      <c r="K11" s="117"/>
      <c r="L11" s="117"/>
      <c r="M11" s="118"/>
      <c r="N11" s="116"/>
      <c r="O11" s="118"/>
    </row>
    <row r="12" spans="2:18" x14ac:dyDescent="0.5">
      <c r="B12" s="52"/>
      <c r="C12" s="119" t="s">
        <v>102</v>
      </c>
      <c r="D12" s="117"/>
      <c r="E12" s="117"/>
      <c r="F12" s="117"/>
      <c r="G12" s="118"/>
      <c r="H12" s="9"/>
      <c r="I12" s="119" t="s">
        <v>102</v>
      </c>
      <c r="J12" s="117"/>
      <c r="K12" s="117"/>
      <c r="L12" s="166"/>
      <c r="M12" s="118"/>
      <c r="N12" s="116"/>
      <c r="O12" s="118"/>
    </row>
    <row r="13" spans="2:18" outlineLevel="1" x14ac:dyDescent="0.5">
      <c r="B13" s="52"/>
      <c r="C13" s="120" t="s">
        <v>71</v>
      </c>
      <c r="D13" s="121">
        <v>2000</v>
      </c>
      <c r="E13" s="117" t="s">
        <v>75</v>
      </c>
      <c r="F13" s="122">
        <v>27.48</v>
      </c>
      <c r="G13" s="118" t="s">
        <v>76</v>
      </c>
      <c r="H13" s="9"/>
      <c r="I13" s="120" t="s">
        <v>71</v>
      </c>
      <c r="J13" s="121">
        <v>2000</v>
      </c>
      <c r="K13" s="117" t="s">
        <v>75</v>
      </c>
      <c r="L13" s="122">
        <f>ROUND(F13*(1+(SAOw!$G$52)),2)</f>
        <v>29.43</v>
      </c>
      <c r="M13" s="118" t="s">
        <v>76</v>
      </c>
      <c r="N13" s="382">
        <f>L13-F13</f>
        <v>1.9499999999999993</v>
      </c>
      <c r="O13" s="383">
        <f>N13/F13</f>
        <v>7.0960698689956303E-2</v>
      </c>
      <c r="R13" s="167"/>
    </row>
    <row r="14" spans="2:18" outlineLevel="1" x14ac:dyDescent="0.5">
      <c r="B14" s="52"/>
      <c r="C14" s="120" t="s">
        <v>72</v>
      </c>
      <c r="D14" s="121">
        <v>2000</v>
      </c>
      <c r="E14" s="117" t="s">
        <v>75</v>
      </c>
      <c r="F14" s="123">
        <v>8.09</v>
      </c>
      <c r="G14" s="118" t="s">
        <v>77</v>
      </c>
      <c r="H14" s="9"/>
      <c r="I14" s="120" t="s">
        <v>72</v>
      </c>
      <c r="J14" s="121">
        <v>2000</v>
      </c>
      <c r="K14" s="117" t="s">
        <v>75</v>
      </c>
      <c r="L14" s="123">
        <f>ROUND(F14*(1+(SAOw!$G$52)),2)</f>
        <v>8.66</v>
      </c>
      <c r="M14" s="118" t="s">
        <v>77</v>
      </c>
      <c r="N14" s="382">
        <f t="shared" ref="N14:N18" si="0">L14-F14</f>
        <v>0.57000000000000028</v>
      </c>
      <c r="O14" s="383">
        <f t="shared" ref="O14:O18" si="1">N14/F14</f>
        <v>7.0457354758961713E-2</v>
      </c>
      <c r="R14" s="223"/>
    </row>
    <row r="15" spans="2:18" outlineLevel="1" x14ac:dyDescent="0.5">
      <c r="B15" s="52"/>
      <c r="C15" s="120" t="s">
        <v>72</v>
      </c>
      <c r="D15" s="121">
        <v>2000</v>
      </c>
      <c r="E15" s="117" t="s">
        <v>75</v>
      </c>
      <c r="F15" s="123">
        <v>7.99</v>
      </c>
      <c r="G15" s="118" t="s">
        <v>77</v>
      </c>
      <c r="H15" s="9"/>
      <c r="I15" s="120" t="s">
        <v>72</v>
      </c>
      <c r="J15" s="121">
        <v>2000</v>
      </c>
      <c r="K15" s="117" t="s">
        <v>75</v>
      </c>
      <c r="L15" s="123">
        <f>ROUND(F15*(1+(SAOw!$G$52)),2)</f>
        <v>8.56</v>
      </c>
      <c r="M15" s="118" t="s">
        <v>77</v>
      </c>
      <c r="N15" s="382">
        <f t="shared" si="0"/>
        <v>0.57000000000000028</v>
      </c>
      <c r="O15" s="383">
        <f t="shared" si="1"/>
        <v>7.1339173967459354E-2</v>
      </c>
      <c r="R15" s="223"/>
    </row>
    <row r="16" spans="2:18" outlineLevel="1" x14ac:dyDescent="0.5">
      <c r="B16" s="52"/>
      <c r="C16" s="120" t="s">
        <v>72</v>
      </c>
      <c r="D16" s="121">
        <v>10000</v>
      </c>
      <c r="E16" s="117" t="s">
        <v>75</v>
      </c>
      <c r="F16" s="123">
        <v>7.89</v>
      </c>
      <c r="G16" s="118" t="s">
        <v>77</v>
      </c>
      <c r="H16" s="9"/>
      <c r="I16" s="120" t="s">
        <v>72</v>
      </c>
      <c r="J16" s="121">
        <v>10000</v>
      </c>
      <c r="K16" s="117" t="s">
        <v>75</v>
      </c>
      <c r="L16" s="123">
        <f>ROUND(F16*(1+(SAOw!$G$52)),2)</f>
        <v>8.4499999999999993</v>
      </c>
      <c r="M16" s="118" t="s">
        <v>77</v>
      </c>
      <c r="N16" s="382">
        <f t="shared" si="0"/>
        <v>0.55999999999999961</v>
      </c>
      <c r="O16" s="383">
        <f t="shared" si="1"/>
        <v>7.0975918884664091E-2</v>
      </c>
      <c r="R16" s="223"/>
    </row>
    <row r="17" spans="2:21" outlineLevel="1" x14ac:dyDescent="0.5">
      <c r="B17" s="52"/>
      <c r="C17" s="120" t="s">
        <v>72</v>
      </c>
      <c r="D17" s="121">
        <v>8000</v>
      </c>
      <c r="E17" s="117" t="s">
        <v>75</v>
      </c>
      <c r="F17" s="123">
        <v>7.79</v>
      </c>
      <c r="G17" s="118" t="s">
        <v>77</v>
      </c>
      <c r="H17" s="9"/>
      <c r="I17" s="120" t="s">
        <v>72</v>
      </c>
      <c r="J17" s="121">
        <v>8000</v>
      </c>
      <c r="K17" s="117" t="s">
        <v>75</v>
      </c>
      <c r="L17" s="123">
        <f>ROUND(F17*(1+(SAOw!$G$52)),2)</f>
        <v>8.34</v>
      </c>
      <c r="M17" s="118" t="s">
        <v>77</v>
      </c>
      <c r="N17" s="382">
        <f t="shared" si="0"/>
        <v>0.54999999999999982</v>
      </c>
      <c r="O17" s="383">
        <f t="shared" si="1"/>
        <v>7.0603337612323472E-2</v>
      </c>
      <c r="R17" s="223"/>
    </row>
    <row r="18" spans="2:21" outlineLevel="1" x14ac:dyDescent="0.5">
      <c r="B18" s="52"/>
      <c r="C18" s="120" t="s">
        <v>73</v>
      </c>
      <c r="D18" s="121">
        <v>24000</v>
      </c>
      <c r="E18" s="117" t="s">
        <v>75</v>
      </c>
      <c r="F18" s="123">
        <v>7.69</v>
      </c>
      <c r="G18" s="118" t="s">
        <v>77</v>
      </c>
      <c r="H18" s="9"/>
      <c r="I18" s="120" t="s">
        <v>73</v>
      </c>
      <c r="J18" s="121">
        <v>24000</v>
      </c>
      <c r="K18" s="117" t="s">
        <v>75</v>
      </c>
      <c r="L18" s="123">
        <f>ROUND(F18*(1+(SAOw!$G$52)),2)</f>
        <v>8.24</v>
      </c>
      <c r="M18" s="118" t="s">
        <v>77</v>
      </c>
      <c r="N18" s="382">
        <f t="shared" si="0"/>
        <v>0.54999999999999982</v>
      </c>
      <c r="O18" s="383">
        <f t="shared" si="1"/>
        <v>7.1521456436931058E-2</v>
      </c>
      <c r="R18" s="223"/>
    </row>
    <row r="19" spans="2:21" outlineLevel="1" x14ac:dyDescent="0.5">
      <c r="B19" s="116"/>
      <c r="C19" s="121"/>
      <c r="D19" s="117"/>
      <c r="E19" s="117"/>
      <c r="F19" s="117"/>
      <c r="G19" s="118"/>
      <c r="H19" s="117"/>
      <c r="I19" s="121"/>
      <c r="J19" s="117"/>
      <c r="K19" s="117"/>
      <c r="L19" s="117"/>
      <c r="M19" s="118"/>
      <c r="N19" s="116"/>
      <c r="O19" s="118"/>
    </row>
    <row r="20" spans="2:21" outlineLevel="1" x14ac:dyDescent="0.5">
      <c r="B20" s="52"/>
      <c r="C20" s="119" t="s">
        <v>103</v>
      </c>
      <c r="D20" s="117"/>
      <c r="E20" s="117"/>
      <c r="F20" s="117"/>
      <c r="G20" s="118"/>
      <c r="H20" s="9"/>
      <c r="I20" s="119" t="s">
        <v>103</v>
      </c>
      <c r="J20" s="117"/>
      <c r="K20" s="117"/>
      <c r="L20" s="117"/>
      <c r="M20" s="118"/>
      <c r="N20" s="116"/>
      <c r="O20" s="118"/>
    </row>
    <row r="21" spans="2:21" x14ac:dyDescent="0.5">
      <c r="B21" s="52"/>
      <c r="C21" s="120" t="s">
        <v>71</v>
      </c>
      <c r="D21" s="121">
        <v>10000</v>
      </c>
      <c r="E21" s="117" t="s">
        <v>75</v>
      </c>
      <c r="F21" s="122">
        <v>91.2</v>
      </c>
      <c r="G21" s="118" t="s">
        <v>76</v>
      </c>
      <c r="H21" s="9"/>
      <c r="I21" s="120" t="s">
        <v>71</v>
      </c>
      <c r="J21" s="121">
        <v>10000</v>
      </c>
      <c r="K21" s="117" t="s">
        <v>75</v>
      </c>
      <c r="L21" s="261">
        <f>L13+2*L14+2*L15+4*L16</f>
        <v>97.67</v>
      </c>
      <c r="M21" s="118" t="s">
        <v>76</v>
      </c>
      <c r="N21" s="382">
        <f t="shared" ref="N21:N24" si="2">L21-F21</f>
        <v>6.4699999999999989</v>
      </c>
      <c r="O21" s="383">
        <f t="shared" ref="O21:O24" si="3">N21/F21</f>
        <v>7.0942982456140335E-2</v>
      </c>
      <c r="R21" s="223"/>
    </row>
    <row r="22" spans="2:21" x14ac:dyDescent="0.5">
      <c r="B22" s="52"/>
      <c r="C22" s="120" t="s">
        <v>72</v>
      </c>
      <c r="D22" s="121">
        <v>6000</v>
      </c>
      <c r="E22" s="117" t="s">
        <v>75</v>
      </c>
      <c r="F22" s="260">
        <v>7.89</v>
      </c>
      <c r="G22" s="118" t="s">
        <v>77</v>
      </c>
      <c r="H22" s="9"/>
      <c r="I22" s="120" t="s">
        <v>72</v>
      </c>
      <c r="J22" s="121">
        <v>6000</v>
      </c>
      <c r="K22" s="117" t="s">
        <v>75</v>
      </c>
      <c r="L22" s="123">
        <f>ROUND(F22*(1+(SAOw!$G$52)),2)</f>
        <v>8.4499999999999993</v>
      </c>
      <c r="M22" s="118" t="s">
        <v>77</v>
      </c>
      <c r="N22" s="382">
        <f t="shared" si="2"/>
        <v>0.55999999999999961</v>
      </c>
      <c r="O22" s="383">
        <f t="shared" si="3"/>
        <v>7.0975918884664091E-2</v>
      </c>
      <c r="R22" s="223"/>
    </row>
    <row r="23" spans="2:21" x14ac:dyDescent="0.5">
      <c r="B23" s="52"/>
      <c r="C23" s="120" t="s">
        <v>72</v>
      </c>
      <c r="D23" s="121">
        <v>8000</v>
      </c>
      <c r="E23" s="117" t="s">
        <v>75</v>
      </c>
      <c r="F23" s="260">
        <v>7.79</v>
      </c>
      <c r="G23" s="118" t="s">
        <v>77</v>
      </c>
      <c r="H23" s="9"/>
      <c r="I23" s="120" t="s">
        <v>72</v>
      </c>
      <c r="J23" s="121">
        <v>8000</v>
      </c>
      <c r="K23" s="117" t="s">
        <v>75</v>
      </c>
      <c r="L23" s="123">
        <f>ROUND(F23*(1+(SAOw!$G$52)),2)</f>
        <v>8.34</v>
      </c>
      <c r="M23" s="118" t="s">
        <v>77</v>
      </c>
      <c r="N23" s="382">
        <f t="shared" si="2"/>
        <v>0.54999999999999982</v>
      </c>
      <c r="O23" s="383">
        <f t="shared" si="3"/>
        <v>7.0603337612323472E-2</v>
      </c>
      <c r="R23" s="223"/>
    </row>
    <row r="24" spans="2:21" x14ac:dyDescent="0.5">
      <c r="B24" s="52"/>
      <c r="C24" s="120" t="s">
        <v>73</v>
      </c>
      <c r="D24" s="121">
        <v>24000</v>
      </c>
      <c r="E24" s="117" t="s">
        <v>75</v>
      </c>
      <c r="F24" s="123">
        <v>7.69</v>
      </c>
      <c r="G24" s="118" t="s">
        <v>77</v>
      </c>
      <c r="H24" s="9"/>
      <c r="I24" s="120" t="s">
        <v>73</v>
      </c>
      <c r="J24" s="121">
        <v>24000</v>
      </c>
      <c r="K24" s="117" t="s">
        <v>75</v>
      </c>
      <c r="L24" s="123">
        <f>ROUND(F24*(1+(SAOw!$G$52)),2)</f>
        <v>8.24</v>
      </c>
      <c r="M24" s="118" t="s">
        <v>77</v>
      </c>
      <c r="N24" s="382">
        <f t="shared" si="2"/>
        <v>0.54999999999999982</v>
      </c>
      <c r="O24" s="383">
        <f t="shared" si="3"/>
        <v>7.1521456436931058E-2</v>
      </c>
      <c r="R24" s="223"/>
    </row>
    <row r="25" spans="2:21" x14ac:dyDescent="0.5">
      <c r="B25" s="116"/>
      <c r="C25" s="121"/>
      <c r="D25" s="117"/>
      <c r="E25" s="117"/>
      <c r="F25" s="117"/>
      <c r="G25" s="118"/>
      <c r="H25" s="117"/>
      <c r="I25" s="121"/>
      <c r="J25" s="117"/>
      <c r="K25" s="117"/>
      <c r="L25" s="117"/>
      <c r="M25" s="118"/>
      <c r="N25" s="116"/>
      <c r="O25" s="118"/>
    </row>
    <row r="26" spans="2:21" x14ac:dyDescent="0.5">
      <c r="B26" s="52"/>
      <c r="C26" s="119" t="s">
        <v>104</v>
      </c>
      <c r="D26" s="117"/>
      <c r="E26" s="117"/>
      <c r="F26" s="117"/>
      <c r="G26" s="118"/>
      <c r="H26" s="9"/>
      <c r="I26" s="119" t="s">
        <v>104</v>
      </c>
      <c r="J26" s="117"/>
      <c r="K26" s="117"/>
      <c r="L26" s="117"/>
      <c r="M26" s="118"/>
      <c r="N26" s="116"/>
      <c r="O26" s="118"/>
    </row>
    <row r="27" spans="2:21" x14ac:dyDescent="0.5">
      <c r="B27" s="52"/>
      <c r="C27" s="120" t="s">
        <v>71</v>
      </c>
      <c r="D27" s="121">
        <v>24000</v>
      </c>
      <c r="E27" s="117" t="s">
        <v>75</v>
      </c>
      <c r="F27" s="122">
        <v>200.86</v>
      </c>
      <c r="G27" s="118" t="s">
        <v>76</v>
      </c>
      <c r="H27" s="9"/>
      <c r="I27" s="120" t="s">
        <v>71</v>
      </c>
      <c r="J27" s="121">
        <v>24000</v>
      </c>
      <c r="K27" s="117" t="s">
        <v>75</v>
      </c>
      <c r="L27" s="261">
        <f>L13+2*L14+2*L15+10*L16+8*L17</f>
        <v>215.09</v>
      </c>
      <c r="M27" s="118" t="s">
        <v>76</v>
      </c>
      <c r="N27" s="382">
        <f t="shared" ref="N27:N28" si="4">L27-F27</f>
        <v>14.22999999999999</v>
      </c>
      <c r="O27" s="383">
        <f t="shared" ref="O27:O28" si="5">N27/F27</f>
        <v>7.0845364930797516E-2</v>
      </c>
      <c r="P27" s="167"/>
      <c r="R27" s="167"/>
    </row>
    <row r="28" spans="2:21" x14ac:dyDescent="0.5">
      <c r="B28" s="52"/>
      <c r="C28" s="120" t="s">
        <v>73</v>
      </c>
      <c r="D28" s="121">
        <v>24000</v>
      </c>
      <c r="E28" s="117" t="s">
        <v>75</v>
      </c>
      <c r="F28" s="123">
        <v>7.69</v>
      </c>
      <c r="G28" s="118" t="s">
        <v>77</v>
      </c>
      <c r="H28" s="9"/>
      <c r="I28" s="120" t="s">
        <v>73</v>
      </c>
      <c r="J28" s="121">
        <v>24000</v>
      </c>
      <c r="K28" s="117" t="s">
        <v>75</v>
      </c>
      <c r="L28" s="123">
        <f>ROUND(F28*(1+(SAOw!$G$52)),2)</f>
        <v>8.24</v>
      </c>
      <c r="M28" s="118" t="s">
        <v>77</v>
      </c>
      <c r="N28" s="382">
        <f t="shared" si="4"/>
        <v>0.54999999999999982</v>
      </c>
      <c r="O28" s="383">
        <f t="shared" si="5"/>
        <v>7.1521456436931058E-2</v>
      </c>
      <c r="R28" s="223"/>
    </row>
    <row r="29" spans="2:21" x14ac:dyDescent="0.5">
      <c r="B29" s="124"/>
      <c r="C29" s="125"/>
      <c r="D29" s="126"/>
      <c r="E29" s="126"/>
      <c r="F29" s="126"/>
      <c r="G29" s="127"/>
      <c r="H29" s="126"/>
      <c r="I29" s="126"/>
      <c r="J29" s="126"/>
      <c r="K29" s="126"/>
      <c r="L29" s="126"/>
      <c r="M29" s="127"/>
      <c r="N29" s="124"/>
      <c r="O29" s="127"/>
    </row>
    <row r="30" spans="2:21" x14ac:dyDescent="0.5">
      <c r="C30" s="100"/>
    </row>
    <row r="31" spans="2:21" x14ac:dyDescent="0.5">
      <c r="C31" s="100" t="s">
        <v>159</v>
      </c>
      <c r="Q31" s="128"/>
      <c r="R31" s="128"/>
      <c r="S31" s="129"/>
      <c r="T31" s="129"/>
      <c r="U31" s="129"/>
    </row>
    <row r="32" spans="2:21" x14ac:dyDescent="0.5">
      <c r="C32" s="100"/>
      <c r="Q32" s="38"/>
      <c r="R32" s="128"/>
      <c r="S32" s="130"/>
      <c r="T32" s="130"/>
      <c r="U32" s="131"/>
    </row>
    <row r="33" spans="3:21" x14ac:dyDescent="0.5">
      <c r="C33" s="100"/>
      <c r="Q33" s="38"/>
      <c r="R33" s="128"/>
      <c r="S33" s="159"/>
      <c r="T33" s="159"/>
      <c r="U33" s="131"/>
    </row>
    <row r="34" spans="3:21" x14ac:dyDescent="0.5">
      <c r="C34" s="100"/>
      <c r="Q34" s="38"/>
      <c r="R34" s="128"/>
      <c r="S34" s="159"/>
      <c r="T34" s="159"/>
      <c r="U34" s="131"/>
    </row>
    <row r="35" spans="3:21" x14ac:dyDescent="0.5">
      <c r="P35" s="100"/>
      <c r="Q35" s="38"/>
      <c r="R35" s="128"/>
      <c r="S35" s="159"/>
      <c r="T35" s="159"/>
      <c r="U35" s="131"/>
    </row>
  </sheetData>
  <mergeCells count="7">
    <mergeCell ref="C3:O3"/>
    <mergeCell ref="C10:G10"/>
    <mergeCell ref="I10:M10"/>
    <mergeCell ref="C4:O4"/>
    <mergeCell ref="C5:O5"/>
    <mergeCell ref="C6:O6"/>
    <mergeCell ref="C7:O7"/>
  </mergeCells>
  <printOptions horizontalCentered="1"/>
  <pageMargins left="0.55000000000000004" right="0.55000000000000004" top="1.7" bottom="0.5" header="0" footer="0"/>
  <pageSetup scale="79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7"/>
  <sheetViews>
    <sheetView showGridLines="0" workbookViewId="0">
      <selection sqref="A1:P16"/>
    </sheetView>
  </sheetViews>
  <sheetFormatPr defaultRowHeight="15" x14ac:dyDescent="0.4"/>
  <cols>
    <col min="1" max="1" width="2.5" customWidth="1"/>
    <col min="2" max="2" width="1.109375" customWidth="1"/>
    <col min="3" max="3" width="4.77734375" customWidth="1"/>
    <col min="4" max="4" width="5.5546875" customWidth="1"/>
    <col min="5" max="5" width="6.33203125" customWidth="1"/>
    <col min="6" max="6" width="7" bestFit="1" customWidth="1"/>
    <col min="7" max="7" width="13.33203125" customWidth="1"/>
    <col min="8" max="8" width="1.21875" customWidth="1"/>
    <col min="9" max="9" width="4.77734375" customWidth="1"/>
    <col min="10" max="10" width="5.5546875" customWidth="1"/>
    <col min="11" max="11" width="6.33203125" customWidth="1"/>
    <col min="12" max="12" width="7.109375" customWidth="1"/>
    <col min="13" max="13" width="13.33203125" customWidth="1"/>
    <col min="14" max="14" width="8.609375" bestFit="1" customWidth="1"/>
    <col min="15" max="15" width="6.5546875" bestFit="1" customWidth="1"/>
    <col min="16" max="16" width="1.6640625" customWidth="1"/>
    <col min="17" max="22" width="9.6640625" customWidth="1"/>
  </cols>
  <sheetData>
    <row r="1" spans="1:22" ht="15.75" x14ac:dyDescent="0.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5.75" x14ac:dyDescent="0.5">
      <c r="A2" s="29"/>
      <c r="B2" s="48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5"/>
      <c r="P2" s="29"/>
      <c r="Q2" s="29"/>
      <c r="R2" s="29"/>
      <c r="S2" s="29"/>
      <c r="T2" s="29"/>
      <c r="U2" s="29"/>
      <c r="V2" s="29"/>
    </row>
    <row r="3" spans="1:22" ht="18" hidden="1" x14ac:dyDescent="0.55000000000000004">
      <c r="A3" s="29"/>
      <c r="B3" s="52"/>
      <c r="C3" s="425" t="s">
        <v>349</v>
      </c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18"/>
      <c r="O3" s="419"/>
      <c r="P3" s="29"/>
      <c r="Q3" s="29"/>
      <c r="R3" s="29"/>
      <c r="S3" s="29"/>
      <c r="T3" s="29"/>
      <c r="U3" s="29"/>
      <c r="V3" s="29"/>
    </row>
    <row r="4" spans="1:22" ht="18" hidden="1" x14ac:dyDescent="0.55000000000000004">
      <c r="A4" s="29"/>
      <c r="B4" s="52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88"/>
      <c r="O4" s="389"/>
      <c r="P4" s="29"/>
      <c r="Q4" s="29"/>
      <c r="R4" s="29"/>
      <c r="S4" s="29"/>
      <c r="T4" s="29"/>
      <c r="U4" s="29"/>
      <c r="V4" s="29"/>
    </row>
    <row r="5" spans="1:22" ht="18" x14ac:dyDescent="0.55000000000000004">
      <c r="A5" s="29"/>
      <c r="B5" s="52"/>
      <c r="C5" s="425" t="s">
        <v>81</v>
      </c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18"/>
      <c r="O5" s="419"/>
      <c r="P5" s="29"/>
      <c r="Q5" s="29"/>
      <c r="R5" s="29"/>
      <c r="S5" s="29"/>
      <c r="T5" s="29"/>
      <c r="U5" s="29"/>
      <c r="V5" s="29"/>
    </row>
    <row r="6" spans="1:22" ht="18" x14ac:dyDescent="0.5">
      <c r="A6" s="29"/>
      <c r="B6" s="52"/>
      <c r="C6" s="420" t="s">
        <v>150</v>
      </c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1"/>
      <c r="O6" s="422"/>
      <c r="P6" s="217"/>
      <c r="Q6" s="217"/>
      <c r="R6" s="217"/>
      <c r="S6" s="217"/>
      <c r="T6" s="217"/>
      <c r="U6" s="219"/>
      <c r="V6" s="29"/>
    </row>
    <row r="7" spans="1:22" ht="18" x14ac:dyDescent="0.5">
      <c r="A7" s="29"/>
      <c r="B7" s="52"/>
      <c r="C7" s="420" t="s">
        <v>147</v>
      </c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1"/>
      <c r="O7" s="422"/>
      <c r="P7" s="217"/>
      <c r="Q7" s="217"/>
      <c r="R7" s="217"/>
      <c r="S7" s="217"/>
      <c r="T7" s="217"/>
      <c r="U7" s="218"/>
      <c r="V7" s="29"/>
    </row>
    <row r="8" spans="1:22" ht="15.75" x14ac:dyDescent="0.5">
      <c r="A8" s="29"/>
      <c r="B8" s="58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2"/>
      <c r="P8" s="29"/>
      <c r="Q8" s="29"/>
      <c r="R8" s="29"/>
      <c r="S8" s="29"/>
      <c r="T8" s="29"/>
      <c r="U8" s="29"/>
      <c r="V8" s="29"/>
    </row>
    <row r="9" spans="1:22" ht="15.75" x14ac:dyDescent="0.5">
      <c r="A9" s="29"/>
      <c r="B9" s="52"/>
      <c r="C9" s="9"/>
      <c r="D9" s="9"/>
      <c r="E9" s="9"/>
      <c r="F9" s="9"/>
      <c r="G9" s="226"/>
      <c r="H9" s="52"/>
      <c r="I9" s="9"/>
      <c r="J9" s="9"/>
      <c r="K9" s="9"/>
      <c r="L9" s="9"/>
      <c r="M9" s="226"/>
      <c r="N9" s="52"/>
      <c r="O9" s="226"/>
      <c r="P9" s="29"/>
      <c r="Q9" s="29"/>
      <c r="R9" s="29"/>
      <c r="S9" s="29"/>
      <c r="T9" s="29"/>
      <c r="U9" s="29"/>
      <c r="V9" s="29"/>
    </row>
    <row r="10" spans="1:22" ht="15.75" x14ac:dyDescent="0.5">
      <c r="A10" s="29"/>
      <c r="B10" s="52"/>
      <c r="C10" s="423" t="s">
        <v>80</v>
      </c>
      <c r="D10" s="423"/>
      <c r="E10" s="423"/>
      <c r="F10" s="423"/>
      <c r="G10" s="424"/>
      <c r="H10" s="1"/>
      <c r="I10" s="423" t="s">
        <v>142</v>
      </c>
      <c r="J10" s="423"/>
      <c r="K10" s="423"/>
      <c r="L10" s="423"/>
      <c r="M10" s="424"/>
      <c r="N10" s="384" t="s">
        <v>334</v>
      </c>
      <c r="O10" s="371" t="s">
        <v>335</v>
      </c>
      <c r="P10" s="29"/>
      <c r="Q10" s="241"/>
      <c r="R10" s="29"/>
      <c r="S10" s="29"/>
      <c r="T10" s="29"/>
      <c r="U10" s="29"/>
      <c r="V10" s="29"/>
    </row>
    <row r="11" spans="1:22" ht="15.75" x14ac:dyDescent="0.5">
      <c r="A11" s="29"/>
      <c r="B11" s="52"/>
      <c r="C11" s="1"/>
      <c r="D11" s="1"/>
      <c r="E11" s="1"/>
      <c r="F11" s="1"/>
      <c r="G11" s="226"/>
      <c r="H11" s="1"/>
      <c r="I11" s="1"/>
      <c r="J11" s="1"/>
      <c r="K11" s="1"/>
      <c r="L11" s="1"/>
      <c r="M11" s="226"/>
      <c r="N11" s="52"/>
      <c r="O11" s="226"/>
      <c r="P11" s="29"/>
      <c r="Q11" s="29"/>
      <c r="R11" s="29"/>
      <c r="S11" s="29"/>
      <c r="T11" s="29"/>
      <c r="U11" s="29"/>
      <c r="V11" s="29"/>
    </row>
    <row r="12" spans="1:22" ht="15.75" x14ac:dyDescent="0.5">
      <c r="A12" s="29"/>
      <c r="B12" s="52"/>
      <c r="C12" s="12" t="s">
        <v>143</v>
      </c>
      <c r="D12" s="1"/>
      <c r="E12" s="1"/>
      <c r="F12" s="1"/>
      <c r="G12" s="226"/>
      <c r="H12" s="1"/>
      <c r="I12" s="12" t="s">
        <v>143</v>
      </c>
      <c r="J12" s="1"/>
      <c r="K12" s="1"/>
      <c r="L12" s="220"/>
      <c r="M12" s="226"/>
      <c r="N12" s="52"/>
      <c r="O12" s="226"/>
      <c r="P12" s="29"/>
      <c r="Q12" s="29"/>
      <c r="R12" s="29"/>
      <c r="S12" s="29"/>
      <c r="T12" s="29"/>
      <c r="U12" s="29"/>
      <c r="V12" s="29"/>
    </row>
    <row r="13" spans="1:22" ht="15.75" x14ac:dyDescent="0.5">
      <c r="A13" s="29"/>
      <c r="B13" s="52"/>
      <c r="C13" s="15" t="s">
        <v>71</v>
      </c>
      <c r="D13" s="227">
        <v>2000</v>
      </c>
      <c r="E13" s="1" t="s">
        <v>75</v>
      </c>
      <c r="F13" s="228">
        <v>26.84</v>
      </c>
      <c r="G13" s="226" t="s">
        <v>76</v>
      </c>
      <c r="H13" s="1"/>
      <c r="I13" s="15" t="s">
        <v>71</v>
      </c>
      <c r="J13" s="227">
        <f>D13</f>
        <v>2000</v>
      </c>
      <c r="K13" s="1" t="s">
        <v>75</v>
      </c>
      <c r="L13" s="228">
        <f>ROUND(F13*(1+SAOs!G48),2)</f>
        <v>34.29</v>
      </c>
      <c r="M13" s="226" t="s">
        <v>76</v>
      </c>
      <c r="N13" s="385">
        <f>L13-F13</f>
        <v>7.4499999999999993</v>
      </c>
      <c r="O13" s="386">
        <f>N13/F13</f>
        <v>0.2775707898658718</v>
      </c>
      <c r="P13" s="29"/>
      <c r="Q13" s="229"/>
      <c r="R13" s="230"/>
      <c r="S13" s="29"/>
      <c r="U13" s="230"/>
      <c r="V13" s="29"/>
    </row>
    <row r="14" spans="1:22" ht="15.75" x14ac:dyDescent="0.5">
      <c r="A14" s="29"/>
      <c r="B14" s="52"/>
      <c r="C14" s="15" t="s">
        <v>73</v>
      </c>
      <c r="D14" s="227">
        <v>2000</v>
      </c>
      <c r="E14" s="1" t="s">
        <v>75</v>
      </c>
      <c r="F14" s="252">
        <v>1.342E-2</v>
      </c>
      <c r="G14" s="226" t="s">
        <v>160</v>
      </c>
      <c r="H14" s="1"/>
      <c r="I14" s="15" t="s">
        <v>73</v>
      </c>
      <c r="J14" s="227">
        <f t="shared" ref="J14" si="0">D14</f>
        <v>2000</v>
      </c>
      <c r="K14" s="1" t="s">
        <v>75</v>
      </c>
      <c r="L14" s="253">
        <f>ROUND(F14*(1+SAOs!G48),5)</f>
        <v>1.7149999999999999E-2</v>
      </c>
      <c r="M14" s="226" t="s">
        <v>160</v>
      </c>
      <c r="N14" s="387">
        <f>L14-F14</f>
        <v>3.7299999999999989E-3</v>
      </c>
      <c r="O14" s="386">
        <f>N14/F14</f>
        <v>0.27794336810730247</v>
      </c>
      <c r="P14" s="29"/>
      <c r="Q14" s="229"/>
      <c r="R14" s="230"/>
      <c r="S14" s="29"/>
      <c r="U14" s="230"/>
      <c r="V14" s="29"/>
    </row>
    <row r="15" spans="1:22" ht="15.75" x14ac:dyDescent="0.5">
      <c r="A15" s="29"/>
      <c r="B15" s="58"/>
      <c r="C15" s="231"/>
      <c r="D15" s="22"/>
      <c r="E15" s="22"/>
      <c r="F15" s="22"/>
      <c r="G15" s="232"/>
      <c r="H15" s="22"/>
      <c r="I15" s="22"/>
      <c r="J15" s="22"/>
      <c r="K15" s="22"/>
      <c r="L15" s="22"/>
      <c r="M15" s="232"/>
      <c r="N15" s="58"/>
      <c r="O15" s="232"/>
      <c r="P15" s="29"/>
      <c r="Q15" s="29"/>
      <c r="R15" s="29"/>
      <c r="S15" s="29"/>
      <c r="U15" s="29"/>
      <c r="V15" s="29"/>
    </row>
    <row r="16" spans="1:22" ht="15.75" x14ac:dyDescent="0.5">
      <c r="A16" s="29"/>
      <c r="B16" s="29"/>
      <c r="C16" s="233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9:9" x14ac:dyDescent="0.4">
      <c r="I17" s="176"/>
    </row>
  </sheetData>
  <mergeCells count="6">
    <mergeCell ref="C10:G10"/>
    <mergeCell ref="I10:M10"/>
    <mergeCell ref="C3:O3"/>
    <mergeCell ref="C5:O5"/>
    <mergeCell ref="C6:O6"/>
    <mergeCell ref="C7:O7"/>
  </mergeCells>
  <printOptions horizontalCentered="1"/>
  <pageMargins left="0.45" right="0.45" top="2" bottom="0.75" header="0.3" footer="0.3"/>
  <pageSetup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6"/>
  <sheetViews>
    <sheetView showGridLines="0" workbookViewId="0">
      <selection activeCell="I53" sqref="A1:I53"/>
    </sheetView>
  </sheetViews>
  <sheetFormatPr defaultRowHeight="15" x14ac:dyDescent="0.4"/>
  <cols>
    <col min="1" max="1" width="2.38671875" customWidth="1"/>
    <col min="2" max="2" width="1.77734375" customWidth="1"/>
    <col min="3" max="7" width="11.77734375" customWidth="1"/>
    <col min="8" max="9" width="1.77734375" customWidth="1"/>
    <col min="13" max="13" width="1.77734375" customWidth="1"/>
    <col min="14" max="19" width="9.77734375" customWidth="1"/>
    <col min="20" max="20" width="1.77734375" customWidth="1"/>
  </cols>
  <sheetData>
    <row r="1" spans="1:17" ht="15.75" x14ac:dyDescent="0.5">
      <c r="B1" s="29"/>
      <c r="C1" s="29"/>
      <c r="D1" s="29"/>
      <c r="E1" s="29"/>
      <c r="F1" s="29"/>
      <c r="G1" s="29"/>
      <c r="H1" s="29"/>
    </row>
    <row r="2" spans="1:17" ht="15.75" x14ac:dyDescent="0.5">
      <c r="B2" s="106"/>
      <c r="C2" s="107"/>
      <c r="D2" s="107"/>
      <c r="E2" s="107"/>
      <c r="F2" s="107"/>
      <c r="G2" s="107"/>
      <c r="H2" s="108"/>
    </row>
    <row r="3" spans="1:17" ht="18" hidden="1" x14ac:dyDescent="0.55000000000000004">
      <c r="B3" s="105"/>
      <c r="C3" s="425" t="s">
        <v>148</v>
      </c>
      <c r="D3" s="425"/>
      <c r="E3" s="425"/>
      <c r="F3" s="425"/>
      <c r="G3" s="425"/>
      <c r="H3" s="109"/>
    </row>
    <row r="4" spans="1:17" ht="18" x14ac:dyDescent="0.55000000000000004">
      <c r="A4" s="29"/>
      <c r="B4" s="105"/>
      <c r="C4" s="425" t="s">
        <v>82</v>
      </c>
      <c r="D4" s="425"/>
      <c r="E4" s="425"/>
      <c r="F4" s="425"/>
      <c r="G4" s="425"/>
      <c r="H4" s="109"/>
      <c r="I4" s="29"/>
    </row>
    <row r="5" spans="1:17" ht="18" x14ac:dyDescent="0.55000000000000004">
      <c r="A5" s="29"/>
      <c r="B5" s="105"/>
      <c r="C5" s="425" t="s">
        <v>150</v>
      </c>
      <c r="D5" s="425"/>
      <c r="E5" s="425"/>
      <c r="F5" s="425"/>
      <c r="G5" s="425"/>
      <c r="H5" s="109"/>
      <c r="I5" s="29"/>
    </row>
    <row r="6" spans="1:17" ht="15.75" x14ac:dyDescent="0.5">
      <c r="A6" s="29"/>
      <c r="B6" s="110"/>
      <c r="C6" s="111"/>
      <c r="D6" s="111"/>
      <c r="E6" s="111"/>
      <c r="F6" s="111"/>
      <c r="G6" s="111"/>
      <c r="H6" s="112"/>
      <c r="I6" s="29"/>
    </row>
    <row r="7" spans="1:17" ht="15.75" x14ac:dyDescent="0.5">
      <c r="A7" s="29"/>
      <c r="B7" s="90"/>
      <c r="C7" s="91"/>
      <c r="D7" s="168"/>
      <c r="E7" s="90"/>
      <c r="F7" s="91"/>
      <c r="G7" s="91"/>
      <c r="H7" s="92"/>
      <c r="I7" s="29"/>
    </row>
    <row r="8" spans="1:17" ht="17.649999999999999" x14ac:dyDescent="0.75">
      <c r="A8" s="29"/>
      <c r="B8" s="93"/>
      <c r="C8" s="98" t="s">
        <v>78</v>
      </c>
      <c r="D8" s="169" t="s">
        <v>62</v>
      </c>
      <c r="E8" s="427" t="s">
        <v>105</v>
      </c>
      <c r="F8" s="428"/>
      <c r="G8" s="428"/>
      <c r="H8" s="101"/>
      <c r="I8" s="29"/>
    </row>
    <row r="9" spans="1:17" ht="17.649999999999999" x14ac:dyDescent="0.75">
      <c r="A9" s="29"/>
      <c r="B9" s="93"/>
      <c r="C9" s="98" t="s">
        <v>92</v>
      </c>
      <c r="D9" s="169" t="s">
        <v>79</v>
      </c>
      <c r="E9" s="174" t="s">
        <v>79</v>
      </c>
      <c r="F9" s="175" t="s">
        <v>161</v>
      </c>
      <c r="G9" s="175" t="s">
        <v>162</v>
      </c>
      <c r="H9" s="173"/>
      <c r="I9" s="29"/>
    </row>
    <row r="10" spans="1:17" ht="17.649999999999999" x14ac:dyDescent="0.75">
      <c r="A10" s="29"/>
      <c r="B10" s="93"/>
      <c r="C10" s="222"/>
      <c r="D10" s="169"/>
      <c r="E10" s="174"/>
      <c r="F10" s="175"/>
      <c r="G10" s="175"/>
      <c r="H10" s="173"/>
      <c r="I10" s="29"/>
    </row>
    <row r="11" spans="1:17" ht="17.649999999999999" hidden="1" x14ac:dyDescent="0.75">
      <c r="B11" s="93"/>
      <c r="C11" s="426" t="s">
        <v>182</v>
      </c>
      <c r="D11" s="426"/>
      <c r="E11" s="426"/>
      <c r="F11" s="426"/>
      <c r="G11" s="426"/>
      <c r="H11" s="101"/>
    </row>
    <row r="12" spans="1:17" ht="15.4" hidden="1" x14ac:dyDescent="0.45">
      <c r="B12" s="93"/>
      <c r="C12" s="84">
        <v>2000</v>
      </c>
      <c r="D12" s="170">
        <f>RatesW!F13</f>
        <v>27.48</v>
      </c>
      <c r="E12" s="8">
        <f>RatesW!L13</f>
        <v>29.43</v>
      </c>
      <c r="F12" s="4">
        <f>(E12-D12)</f>
        <v>1.9499999999999993</v>
      </c>
      <c r="G12" s="258">
        <f>F12/D12</f>
        <v>7.0960698689956303E-2</v>
      </c>
      <c r="H12" s="102"/>
      <c r="J12" s="250"/>
      <c r="K12" s="254"/>
      <c r="L12" s="250"/>
      <c r="M12" s="250"/>
      <c r="N12" s="250"/>
      <c r="O12" s="250"/>
      <c r="P12" s="250"/>
      <c r="Q12" s="250"/>
    </row>
    <row r="13" spans="1:17" ht="15.4" hidden="1" x14ac:dyDescent="0.45">
      <c r="B13" s="93"/>
      <c r="C13" s="267">
        <v>4000</v>
      </c>
      <c r="D13" s="300">
        <f>RatesW!F13+(2*RatesW!F14)</f>
        <v>43.66</v>
      </c>
      <c r="E13" s="302">
        <f>RatesW!L13+(2*RatesW!L14)</f>
        <v>46.75</v>
      </c>
      <c r="F13" s="259">
        <f t="shared" ref="F13" si="0">(E13-D13)</f>
        <v>3.0900000000000034</v>
      </c>
      <c r="G13" s="258">
        <f t="shared" ref="G13" si="1">F13/D13</f>
        <v>7.0774163994503064E-2</v>
      </c>
      <c r="H13" s="102"/>
      <c r="J13" s="250"/>
      <c r="K13" s="254"/>
      <c r="L13" s="250"/>
      <c r="M13" s="250"/>
      <c r="N13" s="250"/>
      <c r="O13" s="250"/>
      <c r="P13" s="250"/>
      <c r="Q13" s="250"/>
    </row>
    <row r="14" spans="1:17" ht="15.4" hidden="1" x14ac:dyDescent="0.45">
      <c r="B14" s="93"/>
      <c r="C14" s="103">
        <v>6000</v>
      </c>
      <c r="D14" s="171">
        <f>RatesW!F13+(2*RatesW!F14)+(2*RatesW!F15)</f>
        <v>59.64</v>
      </c>
      <c r="E14" s="299">
        <f>RatesW!L13+(2*RatesW!L14)+(2*RatesW!L15)</f>
        <v>63.870000000000005</v>
      </c>
      <c r="F14" s="303">
        <f t="shared" ref="F14" si="2">(E14-D14)</f>
        <v>4.230000000000004</v>
      </c>
      <c r="G14" s="304">
        <f t="shared" ref="G14" si="3">F14/D14</f>
        <v>7.0925553319919579E-2</v>
      </c>
      <c r="H14" s="102"/>
      <c r="J14" s="250"/>
      <c r="K14" s="254"/>
      <c r="L14" s="250"/>
      <c r="M14" s="250"/>
      <c r="N14" s="250"/>
      <c r="O14" s="250"/>
      <c r="P14" s="250"/>
      <c r="Q14" s="250"/>
    </row>
    <row r="15" spans="1:17" ht="15.4" hidden="1" x14ac:dyDescent="0.45">
      <c r="B15" s="93"/>
      <c r="C15" s="84">
        <v>10000</v>
      </c>
      <c r="D15" s="172">
        <f>RatesW!F13+2*RatesW!F14+2*RatesW!F15+4*RatesW!F16</f>
        <v>91.2</v>
      </c>
      <c r="E15" s="99">
        <f>RatesW!L13+2*RatesW!L14+2*RatesW!L15+4*RatesW!L16</f>
        <v>97.67</v>
      </c>
      <c r="F15" s="259">
        <f t="shared" ref="F15" si="4">(E15-D15)</f>
        <v>6.4699999999999989</v>
      </c>
      <c r="G15" s="258">
        <f t="shared" ref="G15" si="5">F15/D15</f>
        <v>7.0942982456140335E-2</v>
      </c>
      <c r="H15" s="102"/>
      <c r="J15" s="250"/>
      <c r="K15" s="254"/>
      <c r="L15" s="250"/>
      <c r="M15" s="250"/>
      <c r="N15" s="250"/>
      <c r="O15" s="250"/>
      <c r="P15" s="250"/>
      <c r="Q15" s="250"/>
    </row>
    <row r="16" spans="1:17" ht="15.4" hidden="1" x14ac:dyDescent="0.45">
      <c r="B16" s="93"/>
      <c r="C16" s="84">
        <v>16000</v>
      </c>
      <c r="D16" s="172">
        <f>RatesW!F13+(2*RatesW!F14)+(2*RatesW!F15)+(10*RatesW!F16)</f>
        <v>138.54</v>
      </c>
      <c r="E16" s="99">
        <f>RatesW!L13+(2*RatesW!L14)+(2*RatesW!L15)+(10*RatesW!L16)</f>
        <v>148.37</v>
      </c>
      <c r="F16" s="259">
        <f t="shared" ref="F16" si="6">(E16-D16)</f>
        <v>9.8300000000000125</v>
      </c>
      <c r="G16" s="258">
        <f t="shared" ref="G16" si="7">F16/D16</f>
        <v>7.0954237043453244E-2</v>
      </c>
      <c r="H16" s="102"/>
      <c r="J16" s="250"/>
      <c r="K16" s="254"/>
      <c r="L16" s="250"/>
      <c r="M16" s="250"/>
      <c r="N16" s="250"/>
      <c r="O16" s="250"/>
      <c r="P16" s="250"/>
      <c r="Q16" s="250"/>
    </row>
    <row r="17" spans="2:17" ht="15.4" hidden="1" x14ac:dyDescent="0.45">
      <c r="B17" s="93"/>
      <c r="C17" s="84">
        <v>20000</v>
      </c>
      <c r="D17" s="172">
        <f>RatesW!F13+(2*RatesW!F14)+(2*RatesW!F15)+(14*RatesW!F16)</f>
        <v>170.1</v>
      </c>
      <c r="E17" s="99">
        <f>RatesW!L13+(2*RatesW!L14)+(2*RatesW!L15)+(14*RatesW!L16)</f>
        <v>182.17</v>
      </c>
      <c r="F17" s="259">
        <f t="shared" ref="F17" si="8">(E17-D17)</f>
        <v>12.069999999999993</v>
      </c>
      <c r="G17" s="258">
        <f t="shared" ref="G17" si="9">F17/D17</f>
        <v>7.0958259847148694E-2</v>
      </c>
      <c r="H17" s="102"/>
      <c r="J17" s="250"/>
      <c r="K17" s="254"/>
      <c r="L17" s="250"/>
      <c r="M17" s="250"/>
      <c r="N17" s="250"/>
      <c r="O17" s="250"/>
      <c r="P17" s="250"/>
      <c r="Q17" s="250"/>
    </row>
    <row r="18" spans="2:17" ht="15.4" hidden="1" x14ac:dyDescent="0.45">
      <c r="B18" s="93"/>
      <c r="C18" s="84">
        <v>24000</v>
      </c>
      <c r="D18" s="172">
        <f>RatesW!F13+(2*RatesW!F14)+(2*RatesW!F15)+(10*RatesW!F16)+(8*RatesW!F17)</f>
        <v>200.85999999999999</v>
      </c>
      <c r="E18" s="99">
        <f>RatesW!L13+(2*RatesW!L14)+(2*RatesW!L15)+(10*RatesW!L16)+(8*RatesW!L17)</f>
        <v>215.09</v>
      </c>
      <c r="F18" s="259">
        <f t="shared" ref="F18:F19" si="10">(E18-D18)</f>
        <v>14.230000000000018</v>
      </c>
      <c r="G18" s="258">
        <f t="shared" ref="G18:G19" si="11">F18/D18</f>
        <v>7.0845364930797669E-2</v>
      </c>
      <c r="H18" s="102"/>
      <c r="J18" s="250"/>
      <c r="K18" s="254"/>
      <c r="L18" s="250"/>
      <c r="M18" s="250"/>
      <c r="N18" s="250"/>
      <c r="O18" s="250"/>
      <c r="P18" s="250"/>
      <c r="Q18" s="250"/>
    </row>
    <row r="19" spans="2:17" ht="15.4" hidden="1" x14ac:dyDescent="0.45">
      <c r="B19" s="93"/>
      <c r="C19" s="84">
        <v>50000</v>
      </c>
      <c r="D19" s="172">
        <f>RatesW!F13+(2*RatesW!F14)+(2*RatesW!F15)+(10*RatesW!F16)+(8*RatesW!F17)+(26*RatesW!F18)</f>
        <v>400.79999999999995</v>
      </c>
      <c r="E19" s="99">
        <f>RatesW!L13+(2*RatesW!L14)+(2*RatesW!L15)+(10*RatesW!L16)+(8*RatesW!L17)+(26*RatesW!L18)</f>
        <v>429.33000000000004</v>
      </c>
      <c r="F19" s="259">
        <f t="shared" si="10"/>
        <v>28.530000000000086</v>
      </c>
      <c r="G19" s="258">
        <f t="shared" si="11"/>
        <v>7.1182634730539152E-2</v>
      </c>
      <c r="H19" s="102"/>
      <c r="J19" s="250"/>
      <c r="K19" s="254"/>
      <c r="L19" s="250"/>
      <c r="M19" s="250"/>
      <c r="N19" s="250"/>
      <c r="O19" s="250"/>
      <c r="P19" s="250"/>
      <c r="Q19" s="250"/>
    </row>
    <row r="20" spans="2:17" ht="15.4" hidden="1" x14ac:dyDescent="0.45">
      <c r="B20" s="93"/>
      <c r="C20" s="84">
        <v>120000</v>
      </c>
      <c r="D20" s="172">
        <f>RatesW!F13+(2*RatesW!F14)+(2*RatesW!F15)+(10*RatesW!F16)+(8*RatesW!F17)+(96*RatesW!F18)</f>
        <v>939.1</v>
      </c>
      <c r="E20" s="99">
        <f>RatesW!L13+(2*RatesW!L14)+(2*RatesW!L15)+(10*RatesW!L16)+(8*RatesW!L17)+(96*RatesW!L18)</f>
        <v>1006.13</v>
      </c>
      <c r="F20" s="259">
        <f t="shared" ref="F20" si="12">(E20-D20)</f>
        <v>67.029999999999973</v>
      </c>
      <c r="G20" s="258">
        <f t="shared" ref="G20" si="13">F20/D20</f>
        <v>7.1376850175700113E-2</v>
      </c>
      <c r="H20" s="102"/>
      <c r="J20" s="250"/>
      <c r="K20" s="254"/>
      <c r="L20" s="250"/>
      <c r="M20" s="250"/>
      <c r="N20" s="250"/>
      <c r="O20" s="250"/>
      <c r="P20" s="250"/>
      <c r="Q20" s="250"/>
    </row>
    <row r="21" spans="2:17" ht="15.4" hidden="1" x14ac:dyDescent="0.45">
      <c r="B21" s="93"/>
      <c r="C21" s="84"/>
      <c r="D21" s="99"/>
      <c r="E21" s="99"/>
      <c r="F21" s="99"/>
      <c r="G21" s="99"/>
      <c r="H21" s="102"/>
      <c r="J21" s="250"/>
      <c r="K21" s="250"/>
      <c r="L21" s="250"/>
      <c r="M21" s="250"/>
      <c r="N21" s="250"/>
      <c r="O21" s="250"/>
      <c r="P21" s="250"/>
      <c r="Q21" s="250"/>
    </row>
    <row r="22" spans="2:17" ht="17.649999999999999" hidden="1" x14ac:dyDescent="0.75">
      <c r="B22" s="93"/>
      <c r="C22" s="426" t="s">
        <v>183</v>
      </c>
      <c r="D22" s="426"/>
      <c r="E22" s="426"/>
      <c r="F22" s="426"/>
      <c r="G22" s="426"/>
      <c r="H22" s="102"/>
      <c r="J22" s="250"/>
      <c r="K22" s="250"/>
      <c r="L22" s="250"/>
      <c r="M22" s="250"/>
      <c r="N22" s="250"/>
      <c r="O22" s="250"/>
      <c r="P22" s="250"/>
      <c r="Q22" s="250"/>
    </row>
    <row r="23" spans="2:17" ht="15.4" hidden="1" x14ac:dyDescent="0.45">
      <c r="B23" s="93"/>
      <c r="C23" s="84">
        <v>2000</v>
      </c>
      <c r="D23" s="170">
        <f>RatesW!F21</f>
        <v>91.2</v>
      </c>
      <c r="E23" s="8">
        <f>RatesW!L21</f>
        <v>97.67</v>
      </c>
      <c r="F23" s="4">
        <f>(E23-D23)</f>
        <v>6.4699999999999989</v>
      </c>
      <c r="G23" s="258">
        <f>F23/D23</f>
        <v>7.0942982456140335E-2</v>
      </c>
      <c r="H23" s="102"/>
      <c r="J23" s="250"/>
      <c r="K23" s="250"/>
      <c r="L23" s="250"/>
      <c r="M23" s="250"/>
      <c r="N23" s="250"/>
      <c r="O23" s="250"/>
      <c r="P23" s="250"/>
      <c r="Q23" s="250"/>
    </row>
    <row r="24" spans="2:17" ht="15.4" hidden="1" x14ac:dyDescent="0.45">
      <c r="B24" s="93"/>
      <c r="C24" s="267">
        <v>4000</v>
      </c>
      <c r="D24" s="300">
        <f>RatesW!F21</f>
        <v>91.2</v>
      </c>
      <c r="E24" s="302">
        <f>RatesW!L21</f>
        <v>97.67</v>
      </c>
      <c r="F24" s="259">
        <f t="shared" ref="F24:F30" si="14">(E24-D24)</f>
        <v>6.4699999999999989</v>
      </c>
      <c r="G24" s="258">
        <f t="shared" ref="G24:G30" si="15">F24/D24</f>
        <v>7.0942982456140335E-2</v>
      </c>
      <c r="H24" s="102"/>
      <c r="J24" s="250"/>
      <c r="K24" s="250"/>
      <c r="L24" s="250"/>
      <c r="M24" s="250"/>
      <c r="N24" s="250"/>
      <c r="O24" s="250"/>
      <c r="P24" s="250"/>
      <c r="Q24" s="250"/>
    </row>
    <row r="25" spans="2:17" ht="15.4" hidden="1" x14ac:dyDescent="0.45">
      <c r="B25" s="93"/>
      <c r="C25" s="267">
        <v>6000</v>
      </c>
      <c r="D25" s="300">
        <f>RatesW!F21</f>
        <v>91.2</v>
      </c>
      <c r="E25" s="302">
        <f>RatesW!L21</f>
        <v>97.67</v>
      </c>
      <c r="F25" s="305">
        <f t="shared" si="14"/>
        <v>6.4699999999999989</v>
      </c>
      <c r="G25" s="306">
        <f t="shared" si="15"/>
        <v>7.0942982456140335E-2</v>
      </c>
      <c r="H25" s="102"/>
      <c r="J25" s="250"/>
      <c r="K25" s="250"/>
      <c r="L25" s="250"/>
      <c r="M25" s="250"/>
      <c r="N25" s="250"/>
      <c r="O25" s="250"/>
      <c r="P25" s="250"/>
      <c r="Q25" s="250"/>
    </row>
    <row r="26" spans="2:17" ht="15.4" hidden="1" x14ac:dyDescent="0.45">
      <c r="B26" s="93"/>
      <c r="C26" s="84">
        <v>10000</v>
      </c>
      <c r="D26" s="172">
        <f>RatesW!F21</f>
        <v>91.2</v>
      </c>
      <c r="E26" s="99">
        <f>RatesW!L21</f>
        <v>97.67</v>
      </c>
      <c r="F26" s="259">
        <f t="shared" si="14"/>
        <v>6.4699999999999989</v>
      </c>
      <c r="G26" s="258">
        <f t="shared" si="15"/>
        <v>7.0942982456140335E-2</v>
      </c>
      <c r="H26" s="102"/>
      <c r="J26" s="250"/>
      <c r="K26" s="250"/>
      <c r="L26" s="250"/>
      <c r="M26" s="250"/>
      <c r="N26" s="250"/>
      <c r="O26" s="250"/>
      <c r="P26" s="250"/>
      <c r="Q26" s="250"/>
    </row>
    <row r="27" spans="2:17" ht="15.4" hidden="1" x14ac:dyDescent="0.45">
      <c r="B27" s="93"/>
      <c r="C27" s="84">
        <v>16000</v>
      </c>
      <c r="D27" s="172">
        <f>RatesW!F21+6*RatesW!F22</f>
        <v>138.54</v>
      </c>
      <c r="E27" s="99">
        <f>RatesW!L21+6*RatesW!L22</f>
        <v>148.37</v>
      </c>
      <c r="F27" s="259">
        <f t="shared" si="14"/>
        <v>9.8300000000000125</v>
      </c>
      <c r="G27" s="258">
        <f t="shared" si="15"/>
        <v>7.0954237043453244E-2</v>
      </c>
      <c r="H27" s="102"/>
      <c r="J27" s="250"/>
      <c r="K27" s="250"/>
      <c r="L27" s="250"/>
      <c r="M27" s="250"/>
      <c r="N27" s="250"/>
      <c r="O27" s="250"/>
      <c r="P27" s="250"/>
      <c r="Q27" s="250"/>
    </row>
    <row r="28" spans="2:17" ht="15.4" hidden="1" x14ac:dyDescent="0.45">
      <c r="B28" s="93"/>
      <c r="C28" s="267">
        <v>20000</v>
      </c>
      <c r="D28" s="300">
        <f>RatesW!F21+6*RatesW!F22+4*RatesW!F23</f>
        <v>169.7</v>
      </c>
      <c r="E28" s="302">
        <f>RatesW!L21+6*RatesW!L22+4*RatesW!L23</f>
        <v>181.73000000000002</v>
      </c>
      <c r="F28" s="305">
        <f t="shared" ref="F28" si="16">(E28-D28)</f>
        <v>12.03000000000003</v>
      </c>
      <c r="G28" s="306">
        <f t="shared" ref="G28" si="17">F28/D28</f>
        <v>7.0889805539186973E-2</v>
      </c>
      <c r="H28" s="102"/>
      <c r="J28" s="250"/>
      <c r="K28" s="250"/>
      <c r="L28" s="250"/>
      <c r="M28" s="250"/>
      <c r="N28" s="250"/>
      <c r="O28" s="250"/>
      <c r="P28" s="250"/>
      <c r="Q28" s="250"/>
    </row>
    <row r="29" spans="2:17" ht="15.4" hidden="1" x14ac:dyDescent="0.45">
      <c r="B29" s="93"/>
      <c r="C29" s="84">
        <v>24000</v>
      </c>
      <c r="D29" s="172">
        <f>RatesW!F21+6*RatesW!F22+8*RatesW!F23</f>
        <v>200.85999999999999</v>
      </c>
      <c r="E29" s="99">
        <f>RatesW!L21+6*RatesW!L22+8*RatesW!L23</f>
        <v>215.09</v>
      </c>
      <c r="F29" s="259">
        <f t="shared" si="14"/>
        <v>14.230000000000018</v>
      </c>
      <c r="G29" s="258">
        <f t="shared" si="15"/>
        <v>7.0845364930797669E-2</v>
      </c>
      <c r="H29" s="102"/>
      <c r="J29" s="250"/>
      <c r="K29" s="250"/>
      <c r="L29" s="250"/>
      <c r="M29" s="250"/>
      <c r="N29" s="250"/>
      <c r="O29" s="250"/>
      <c r="P29" s="250"/>
      <c r="Q29" s="250"/>
    </row>
    <row r="30" spans="2:17" ht="15.4" hidden="1" x14ac:dyDescent="0.45">
      <c r="B30" s="93"/>
      <c r="C30" s="84">
        <v>50000</v>
      </c>
      <c r="D30" s="172">
        <f>RatesW!F21+6*RatesW!F22+8*RatesW!F23+26*RatesW!F24</f>
        <v>400.79999999999995</v>
      </c>
      <c r="E30" s="99">
        <f>RatesW!L21+6*RatesW!L22+8*RatesW!L23+26*RatesW!L24</f>
        <v>429.33000000000004</v>
      </c>
      <c r="F30" s="259">
        <f t="shared" si="14"/>
        <v>28.530000000000086</v>
      </c>
      <c r="G30" s="258">
        <f t="shared" si="15"/>
        <v>7.1182634730539152E-2</v>
      </c>
      <c r="H30" s="102"/>
      <c r="J30" s="250"/>
      <c r="K30" s="250"/>
      <c r="L30" s="250"/>
      <c r="M30" s="250"/>
      <c r="N30" s="250"/>
      <c r="O30" s="250"/>
      <c r="P30" s="250"/>
      <c r="Q30" s="250"/>
    </row>
    <row r="31" spans="2:17" ht="15.4" hidden="1" x14ac:dyDescent="0.45">
      <c r="B31" s="93"/>
      <c r="C31" s="84">
        <v>120000</v>
      </c>
      <c r="D31" s="172">
        <f>RatesW!F21+6*RatesW!F22+8*RatesW!F23+96*RatesW!F24</f>
        <v>939.1</v>
      </c>
      <c r="E31" s="99">
        <f>RatesW!L21+6*RatesW!L22+8*RatesW!L23+96*RatesW!L24</f>
        <v>1006.13</v>
      </c>
      <c r="F31" s="259">
        <f t="shared" ref="F31" si="18">(E31-D31)</f>
        <v>67.029999999999973</v>
      </c>
      <c r="G31" s="258">
        <f t="shared" ref="G31" si="19">F31/D31</f>
        <v>7.1376850175700113E-2</v>
      </c>
      <c r="H31" s="102"/>
      <c r="J31" s="250"/>
      <c r="K31" s="250"/>
      <c r="L31" s="250"/>
      <c r="M31" s="250"/>
      <c r="N31" s="250"/>
      <c r="O31" s="250"/>
      <c r="P31" s="250"/>
      <c r="Q31" s="250"/>
    </row>
    <row r="32" spans="2:17" ht="15.4" hidden="1" x14ac:dyDescent="0.45">
      <c r="B32" s="93"/>
      <c r="C32" s="84"/>
      <c r="D32" s="99"/>
      <c r="E32" s="99"/>
      <c r="F32" s="259"/>
      <c r="G32" s="258"/>
      <c r="H32" s="102"/>
      <c r="J32" s="250"/>
      <c r="K32" s="250"/>
      <c r="L32" s="250"/>
      <c r="M32" s="250"/>
      <c r="N32" s="250"/>
      <c r="O32" s="250"/>
      <c r="P32" s="250"/>
      <c r="Q32" s="250"/>
    </row>
    <row r="33" spans="2:17" ht="17.649999999999999" hidden="1" x14ac:dyDescent="0.75">
      <c r="B33" s="93"/>
      <c r="C33" s="426" t="s">
        <v>184</v>
      </c>
      <c r="D33" s="426"/>
      <c r="E33" s="426"/>
      <c r="F33" s="426"/>
      <c r="G33" s="426"/>
      <c r="H33" s="102"/>
      <c r="J33" s="250"/>
      <c r="K33" s="250"/>
      <c r="L33" s="250"/>
      <c r="M33" s="250"/>
      <c r="N33" s="250"/>
      <c r="O33" s="250"/>
      <c r="P33" s="250"/>
      <c r="Q33" s="250"/>
    </row>
    <row r="34" spans="2:17" ht="15.4" hidden="1" x14ac:dyDescent="0.45">
      <c r="B34" s="93"/>
      <c r="C34" s="84">
        <v>2000</v>
      </c>
      <c r="D34" s="170">
        <f>RatesW!F27</f>
        <v>200.86</v>
      </c>
      <c r="E34" s="8">
        <f>RatesW!L27</f>
        <v>215.09</v>
      </c>
      <c r="F34" s="4">
        <f>(E34-D34)</f>
        <v>14.22999999999999</v>
      </c>
      <c r="G34" s="258">
        <f>F34/D34</f>
        <v>7.0845364930797516E-2</v>
      </c>
      <c r="H34" s="102"/>
      <c r="J34" s="250"/>
      <c r="K34" s="250"/>
      <c r="L34" s="250"/>
      <c r="M34" s="250"/>
      <c r="N34" s="250"/>
      <c r="O34" s="250"/>
      <c r="P34" s="250"/>
      <c r="Q34" s="250"/>
    </row>
    <row r="35" spans="2:17" ht="15.4" hidden="1" x14ac:dyDescent="0.45">
      <c r="B35" s="93"/>
      <c r="C35" s="267">
        <v>4000</v>
      </c>
      <c r="D35" s="300">
        <f>RatesW!F27</f>
        <v>200.86</v>
      </c>
      <c r="E35" s="302">
        <f>RatesW!L27</f>
        <v>215.09</v>
      </c>
      <c r="F35" s="259">
        <f t="shared" ref="F35:F40" si="20">(E35-D35)</f>
        <v>14.22999999999999</v>
      </c>
      <c r="G35" s="258">
        <f t="shared" ref="G35:G40" si="21">F35/D35</f>
        <v>7.0845364930797516E-2</v>
      </c>
      <c r="H35" s="102"/>
      <c r="J35" s="250"/>
      <c r="K35" s="250"/>
      <c r="L35" s="250"/>
      <c r="M35" s="250"/>
      <c r="N35" s="250"/>
      <c r="O35" s="250"/>
      <c r="P35" s="250"/>
      <c r="Q35" s="250"/>
    </row>
    <row r="36" spans="2:17" ht="15.4" hidden="1" x14ac:dyDescent="0.45">
      <c r="B36" s="93"/>
      <c r="C36" s="267">
        <v>6000</v>
      </c>
      <c r="D36" s="300">
        <f>RatesW!F27</f>
        <v>200.86</v>
      </c>
      <c r="E36" s="302">
        <f>RatesW!L27</f>
        <v>215.09</v>
      </c>
      <c r="F36" s="305">
        <f t="shared" si="20"/>
        <v>14.22999999999999</v>
      </c>
      <c r="G36" s="306">
        <f t="shared" si="21"/>
        <v>7.0845364930797516E-2</v>
      </c>
      <c r="H36" s="102"/>
      <c r="J36" s="250"/>
      <c r="K36" s="250"/>
      <c r="L36" s="250"/>
      <c r="M36" s="250"/>
      <c r="N36" s="250"/>
      <c r="O36" s="250"/>
      <c r="P36" s="250"/>
      <c r="Q36" s="250"/>
    </row>
    <row r="37" spans="2:17" ht="15.4" hidden="1" x14ac:dyDescent="0.45">
      <c r="B37" s="93"/>
      <c r="C37" s="84">
        <v>10000</v>
      </c>
      <c r="D37" s="308">
        <f>RatesW!F27</f>
        <v>200.86</v>
      </c>
      <c r="E37" s="302">
        <f>RatesW!L27</f>
        <v>215.09</v>
      </c>
      <c r="F37" s="259">
        <f t="shared" si="20"/>
        <v>14.22999999999999</v>
      </c>
      <c r="G37" s="258">
        <f t="shared" si="21"/>
        <v>7.0845364930797516E-2</v>
      </c>
      <c r="H37" s="102"/>
      <c r="J37" s="250"/>
      <c r="K37" s="250"/>
      <c r="L37" s="250"/>
      <c r="M37" s="250"/>
      <c r="N37" s="250"/>
      <c r="O37" s="250"/>
      <c r="P37" s="250"/>
      <c r="Q37" s="250"/>
    </row>
    <row r="38" spans="2:17" ht="15.4" hidden="1" x14ac:dyDescent="0.45">
      <c r="B38" s="93"/>
      <c r="C38" s="84">
        <v>16000</v>
      </c>
      <c r="D38" s="308">
        <f>RatesW!F27</f>
        <v>200.86</v>
      </c>
      <c r="E38" s="302">
        <f>RatesW!L27</f>
        <v>215.09</v>
      </c>
      <c r="F38" s="259">
        <f t="shared" si="20"/>
        <v>14.22999999999999</v>
      </c>
      <c r="G38" s="258">
        <f t="shared" si="21"/>
        <v>7.0845364930797516E-2</v>
      </c>
      <c r="H38" s="102"/>
      <c r="J38" s="250"/>
      <c r="K38" s="250"/>
      <c r="L38" s="250"/>
      <c r="M38" s="250"/>
      <c r="N38" s="250"/>
      <c r="O38" s="250"/>
      <c r="P38" s="250"/>
      <c r="Q38" s="250"/>
    </row>
    <row r="39" spans="2:17" ht="15.4" hidden="1" x14ac:dyDescent="0.45">
      <c r="B39" s="93"/>
      <c r="C39" s="84">
        <v>24000</v>
      </c>
      <c r="D39" s="308">
        <f>RatesW!F27</f>
        <v>200.86</v>
      </c>
      <c r="E39" s="302">
        <f>RatesW!L27</f>
        <v>215.09</v>
      </c>
      <c r="F39" s="259">
        <f t="shared" si="20"/>
        <v>14.22999999999999</v>
      </c>
      <c r="G39" s="258">
        <f t="shared" si="21"/>
        <v>7.0845364930797516E-2</v>
      </c>
      <c r="H39" s="102"/>
      <c r="J39" s="250"/>
      <c r="K39" s="250"/>
      <c r="L39" s="250"/>
      <c r="M39" s="250"/>
      <c r="N39" s="250"/>
      <c r="O39" s="250"/>
      <c r="P39" s="250"/>
      <c r="Q39" s="250"/>
    </row>
    <row r="40" spans="2:17" ht="15.4" hidden="1" x14ac:dyDescent="0.45">
      <c r="B40" s="93"/>
      <c r="C40" s="84">
        <v>50000</v>
      </c>
      <c r="D40" s="172">
        <f>RatesW!F27+26*RatesW!F28</f>
        <v>400.8</v>
      </c>
      <c r="E40" s="99">
        <f>RatesW!L27+26*RatesW!L28</f>
        <v>429.33000000000004</v>
      </c>
      <c r="F40" s="259">
        <f t="shared" si="20"/>
        <v>28.53000000000003</v>
      </c>
      <c r="G40" s="258">
        <f t="shared" si="21"/>
        <v>7.1182634730538999E-2</v>
      </c>
      <c r="H40" s="102"/>
      <c r="J40" s="250"/>
      <c r="K40" s="250"/>
      <c r="L40" s="250"/>
      <c r="M40" s="250"/>
      <c r="N40" s="250"/>
      <c r="O40" s="250"/>
      <c r="P40" s="250"/>
      <c r="Q40" s="250"/>
    </row>
    <row r="41" spans="2:17" ht="15.4" hidden="1" x14ac:dyDescent="0.45">
      <c r="B41" s="93"/>
      <c r="C41" s="267">
        <v>120000</v>
      </c>
      <c r="D41" s="300">
        <f>RatesW!F27+96*RatesW!F28</f>
        <v>939.1</v>
      </c>
      <c r="E41" s="302">
        <f>RatesW!L27+96*RatesW!L28</f>
        <v>1006.13</v>
      </c>
      <c r="F41" s="305">
        <f t="shared" ref="F41" si="22">(E41-D41)</f>
        <v>67.029999999999973</v>
      </c>
      <c r="G41" s="306">
        <f t="shared" ref="G41" si="23">F41/D41</f>
        <v>7.1376850175700113E-2</v>
      </c>
      <c r="H41" s="102"/>
      <c r="J41" s="250"/>
      <c r="K41" s="250"/>
      <c r="L41" s="250"/>
      <c r="M41" s="250"/>
      <c r="N41" s="250"/>
      <c r="O41" s="250"/>
      <c r="P41" s="250"/>
      <c r="Q41" s="250"/>
    </row>
    <row r="42" spans="2:17" ht="15.4" hidden="1" x14ac:dyDescent="0.45">
      <c r="B42" s="93"/>
      <c r="C42" s="84"/>
      <c r="D42" s="99"/>
      <c r="E42" s="99"/>
      <c r="F42" s="259"/>
      <c r="G42" s="258"/>
      <c r="H42" s="102"/>
      <c r="J42" s="250"/>
      <c r="K42" s="250"/>
      <c r="L42" s="250"/>
      <c r="M42" s="250"/>
      <c r="N42" s="250"/>
      <c r="O42" s="250"/>
      <c r="P42" s="250"/>
      <c r="Q42" s="250"/>
    </row>
    <row r="43" spans="2:17" ht="17.649999999999999" x14ac:dyDescent="0.75">
      <c r="B43" s="93"/>
      <c r="C43" s="426" t="s">
        <v>144</v>
      </c>
      <c r="D43" s="426"/>
      <c r="E43" s="426"/>
      <c r="F43" s="426"/>
      <c r="G43" s="426"/>
      <c r="H43" s="102"/>
      <c r="J43" s="250"/>
      <c r="K43" s="250"/>
      <c r="L43" s="250"/>
      <c r="M43" s="250"/>
      <c r="N43" s="250"/>
      <c r="O43" s="250"/>
      <c r="P43" s="250"/>
      <c r="Q43" s="250"/>
    </row>
    <row r="44" spans="2:17" ht="15.4" x14ac:dyDescent="0.45">
      <c r="B44" s="93"/>
      <c r="C44" s="84">
        <v>2000</v>
      </c>
      <c r="D44" s="170">
        <f>RatesS!F13</f>
        <v>26.84</v>
      </c>
      <c r="E44" s="4">
        <f>RatesS!L13</f>
        <v>34.29</v>
      </c>
      <c r="F44" s="4">
        <f t="shared" ref="F44:F47" si="24">(E44-D44)</f>
        <v>7.4499999999999993</v>
      </c>
      <c r="G44" s="258">
        <f t="shared" ref="G44:G47" si="25">F44/D44</f>
        <v>0.2775707898658718</v>
      </c>
      <c r="H44" s="102"/>
      <c r="J44" s="255"/>
      <c r="K44" s="254"/>
      <c r="L44" s="250"/>
      <c r="M44" s="250"/>
      <c r="N44" s="250"/>
      <c r="O44" s="250"/>
      <c r="P44" s="250"/>
      <c r="Q44" s="250"/>
    </row>
    <row r="45" spans="2:17" ht="15.4" x14ac:dyDescent="0.45">
      <c r="B45" s="93"/>
      <c r="C45" s="267">
        <v>4000</v>
      </c>
      <c r="D45" s="300">
        <f>RatesS!F13+(2000*RatesS!F14)</f>
        <v>53.68</v>
      </c>
      <c r="E45" s="301">
        <f>RatesS!L13+(2000*RatesS!L14)</f>
        <v>68.59</v>
      </c>
      <c r="F45" s="4">
        <f t="shared" si="24"/>
        <v>14.910000000000004</v>
      </c>
      <c r="G45" s="258">
        <f t="shared" si="25"/>
        <v>0.27775707898658725</v>
      </c>
      <c r="H45" s="102"/>
      <c r="J45" s="255"/>
      <c r="K45" s="254"/>
      <c r="L45" s="250"/>
      <c r="M45" s="250"/>
      <c r="N45" s="256"/>
      <c r="O45" s="257"/>
      <c r="P45" s="250"/>
      <c r="Q45" s="250"/>
    </row>
    <row r="46" spans="2:17" ht="15.4" x14ac:dyDescent="0.45">
      <c r="B46" s="93"/>
      <c r="C46" s="103">
        <v>6000</v>
      </c>
      <c r="D46" s="171">
        <f>RatesS!F13+4000*RatesS!F14</f>
        <v>80.52</v>
      </c>
      <c r="E46" s="299">
        <f>RatesS!L13+4000*RatesS!L14</f>
        <v>102.88999999999999</v>
      </c>
      <c r="F46" s="307">
        <f t="shared" si="24"/>
        <v>22.36999999999999</v>
      </c>
      <c r="G46" s="304">
        <f t="shared" si="25"/>
        <v>0.27781917536015888</v>
      </c>
      <c r="H46" s="102"/>
      <c r="J46" s="255"/>
      <c r="K46" s="254"/>
      <c r="L46" s="250"/>
      <c r="M46" s="250"/>
      <c r="N46" s="250"/>
      <c r="O46" s="250"/>
      <c r="P46" s="250"/>
      <c r="Q46" s="250"/>
    </row>
    <row r="47" spans="2:17" ht="15.4" x14ac:dyDescent="0.45">
      <c r="B47" s="93"/>
      <c r="C47" s="84">
        <v>10000</v>
      </c>
      <c r="D47" s="172">
        <f>RatesS!F13+(8000*RatesS!F14)</f>
        <v>134.19999999999999</v>
      </c>
      <c r="E47" s="99">
        <f>RatesS!L13+8000*RatesS!L14</f>
        <v>171.48999999999998</v>
      </c>
      <c r="F47" s="4">
        <f t="shared" si="24"/>
        <v>37.289999999999992</v>
      </c>
      <c r="G47" s="258">
        <f t="shared" si="25"/>
        <v>0.27786885245901638</v>
      </c>
      <c r="H47" s="102"/>
      <c r="J47" s="255"/>
      <c r="K47" s="254"/>
      <c r="L47" s="250"/>
      <c r="M47" s="250"/>
      <c r="N47" s="250"/>
      <c r="O47" s="250"/>
      <c r="P47" s="250"/>
      <c r="Q47" s="250"/>
    </row>
    <row r="48" spans="2:17" ht="15.4" x14ac:dyDescent="0.45">
      <c r="B48" s="93"/>
      <c r="C48" s="84">
        <v>16000</v>
      </c>
      <c r="D48" s="172">
        <f>RatesS!F13+(14000*RatesS!F14)</f>
        <v>214.72</v>
      </c>
      <c r="E48" s="99">
        <f>RatesS!L13+(14000*RatesS!L14)</f>
        <v>274.39</v>
      </c>
      <c r="F48" s="4">
        <f t="shared" ref="F48:F51" si="26">(E48-D48)</f>
        <v>59.669999999999987</v>
      </c>
      <c r="G48" s="258">
        <f t="shared" ref="G48:G51" si="27">F48/D48</f>
        <v>0.27789679582712362</v>
      </c>
      <c r="H48" s="102"/>
      <c r="J48" s="255"/>
      <c r="K48" s="254"/>
      <c r="L48" s="250"/>
      <c r="M48" s="250"/>
      <c r="N48" s="250"/>
      <c r="O48" s="250"/>
      <c r="P48" s="250"/>
      <c r="Q48" s="250"/>
    </row>
    <row r="49" spans="2:17" ht="15.4" x14ac:dyDescent="0.45">
      <c r="B49" s="93"/>
      <c r="C49" s="267">
        <v>20000</v>
      </c>
      <c r="D49" s="300">
        <f>RatesS!F13+(18000*RatesS!F14)</f>
        <v>268.39999999999998</v>
      </c>
      <c r="E49" s="302">
        <f>RatesS!L13+(18000*RatesS!L14)</f>
        <v>342.99</v>
      </c>
      <c r="F49" s="309">
        <f t="shared" ref="F49" si="28">(E49-D49)</f>
        <v>74.590000000000032</v>
      </c>
      <c r="G49" s="306">
        <f t="shared" ref="G49" si="29">F49/D49</f>
        <v>0.27790611028315959</v>
      </c>
      <c r="H49" s="102"/>
      <c r="J49" s="255"/>
      <c r="K49" s="254"/>
      <c r="L49" s="250"/>
      <c r="M49" s="250"/>
      <c r="N49" s="250"/>
      <c r="O49" s="250"/>
      <c r="P49" s="250"/>
      <c r="Q49" s="250"/>
    </row>
    <row r="50" spans="2:17" ht="15.4" x14ac:dyDescent="0.45">
      <c r="B50" s="93"/>
      <c r="C50" s="267">
        <v>24000</v>
      </c>
      <c r="D50" s="300">
        <f>RatesS!F13+22000*RatesS!F14</f>
        <v>322.08</v>
      </c>
      <c r="E50" s="302">
        <f>RatesS!L13+22000*RatesS!L14</f>
        <v>411.59</v>
      </c>
      <c r="F50" s="309">
        <f t="shared" si="26"/>
        <v>89.509999999999991</v>
      </c>
      <c r="G50" s="306">
        <f t="shared" si="27"/>
        <v>0.27791231992051663</v>
      </c>
      <c r="H50" s="102"/>
      <c r="J50" s="255"/>
      <c r="K50" s="254"/>
      <c r="L50" s="250"/>
      <c r="M50" s="250"/>
      <c r="N50" s="250"/>
      <c r="O50" s="250"/>
      <c r="P50" s="250"/>
      <c r="Q50" s="250"/>
    </row>
    <row r="51" spans="2:17" ht="15.4" x14ac:dyDescent="0.45">
      <c r="B51" s="93"/>
      <c r="C51" s="267">
        <v>50000</v>
      </c>
      <c r="D51" s="300">
        <f>RatesS!F13+48000*RatesS!F14</f>
        <v>671</v>
      </c>
      <c r="E51" s="302">
        <f>RatesS!L13+48000*RatesS!L14</f>
        <v>857.4899999999999</v>
      </c>
      <c r="F51" s="309">
        <f t="shared" si="26"/>
        <v>186.4899999999999</v>
      </c>
      <c r="G51" s="306">
        <f t="shared" si="27"/>
        <v>0.27792846497764517</v>
      </c>
      <c r="H51" s="102"/>
      <c r="J51" s="255"/>
      <c r="K51" s="254"/>
      <c r="L51" s="250"/>
      <c r="M51" s="250"/>
      <c r="N51" s="250"/>
      <c r="O51" s="250"/>
      <c r="P51" s="250"/>
      <c r="Q51" s="250"/>
    </row>
    <row r="52" spans="2:17" ht="15.4" x14ac:dyDescent="0.45">
      <c r="B52" s="93"/>
      <c r="C52" s="267">
        <v>120000</v>
      </c>
      <c r="D52" s="300">
        <f>RatesS!F13+118000*RatesS!F14</f>
        <v>1610.3999999999999</v>
      </c>
      <c r="E52" s="302">
        <f>RatesS!L13+118000*RatesS!L14</f>
        <v>2057.9899999999998</v>
      </c>
      <c r="F52" s="309">
        <f t="shared" ref="F52" si="30">(E52-D52)</f>
        <v>447.58999999999992</v>
      </c>
      <c r="G52" s="306">
        <f t="shared" ref="G52" si="31">F52/D52</f>
        <v>0.27793715846994532</v>
      </c>
      <c r="H52" s="102"/>
      <c r="J52" s="255"/>
      <c r="K52" s="254"/>
      <c r="L52" s="250"/>
      <c r="M52" s="250"/>
      <c r="N52" s="250"/>
      <c r="O52" s="250"/>
      <c r="P52" s="250"/>
      <c r="Q52" s="250"/>
    </row>
    <row r="53" spans="2:17" ht="15.4" x14ac:dyDescent="0.45">
      <c r="B53" s="96"/>
      <c r="C53" s="19"/>
      <c r="D53" s="23"/>
      <c r="E53" s="23"/>
      <c r="F53" s="23"/>
      <c r="G53" s="23"/>
      <c r="H53" s="97"/>
    </row>
    <row r="55" spans="2:17" ht="15.4" x14ac:dyDescent="0.45">
      <c r="D55" s="158" t="s">
        <v>93</v>
      </c>
    </row>
    <row r="56" spans="2:17" ht="15.4" x14ac:dyDescent="0.45">
      <c r="D56" s="158" t="s">
        <v>165</v>
      </c>
    </row>
  </sheetData>
  <mergeCells count="8">
    <mergeCell ref="C11:G11"/>
    <mergeCell ref="C43:G43"/>
    <mergeCell ref="C3:G3"/>
    <mergeCell ref="C4:G4"/>
    <mergeCell ref="C5:G5"/>
    <mergeCell ref="E8:G8"/>
    <mergeCell ref="C22:G22"/>
    <mergeCell ref="C33:G33"/>
  </mergeCells>
  <printOptions horizontalCentered="1"/>
  <pageMargins left="0.45" right="0.45" top="1.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80452-3FE5-4BB0-86FF-A852146CBC38}">
  <dimension ref="A1:Q57"/>
  <sheetViews>
    <sheetView showGridLines="0" topLeftCell="A43" workbookViewId="0">
      <selection activeCell="I57" sqref="A1:I57"/>
    </sheetView>
  </sheetViews>
  <sheetFormatPr defaultRowHeight="15" x14ac:dyDescent="0.4"/>
  <cols>
    <col min="1" max="1" width="2.83203125" customWidth="1"/>
    <col min="2" max="2" width="1.77734375" customWidth="1"/>
    <col min="3" max="7" width="11.77734375" customWidth="1"/>
    <col min="8" max="8" width="1.77734375" customWidth="1"/>
    <col min="9" max="9" width="2.5" customWidth="1"/>
    <col min="13" max="13" width="1.77734375" customWidth="1"/>
    <col min="14" max="19" width="9.77734375" customWidth="1"/>
    <col min="20" max="20" width="1.77734375" customWidth="1"/>
  </cols>
  <sheetData>
    <row r="1" spans="1:17" ht="15.75" x14ac:dyDescent="0.5">
      <c r="B1" s="29"/>
      <c r="C1" s="29"/>
      <c r="D1" s="29"/>
      <c r="E1" s="29"/>
      <c r="F1" s="29"/>
      <c r="G1" s="29"/>
      <c r="H1" s="29"/>
    </row>
    <row r="2" spans="1:17" ht="15.75" x14ac:dyDescent="0.5">
      <c r="B2" s="106"/>
      <c r="C2" s="107"/>
      <c r="D2" s="107"/>
      <c r="E2" s="107"/>
      <c r="F2" s="107"/>
      <c r="G2" s="107"/>
      <c r="H2" s="108"/>
    </row>
    <row r="3" spans="1:17" ht="18" x14ac:dyDescent="0.55000000000000004">
      <c r="B3" s="105"/>
      <c r="C3" s="425" t="s">
        <v>163</v>
      </c>
      <c r="D3" s="425"/>
      <c r="E3" s="425"/>
      <c r="F3" s="425"/>
      <c r="G3" s="425"/>
      <c r="H3" s="109"/>
    </row>
    <row r="4" spans="1:17" ht="18" x14ac:dyDescent="0.55000000000000004">
      <c r="A4" s="29"/>
      <c r="B4" s="105"/>
      <c r="C4" s="425" t="s">
        <v>82</v>
      </c>
      <c r="D4" s="425"/>
      <c r="E4" s="425"/>
      <c r="F4" s="425"/>
      <c r="G4" s="425"/>
      <c r="H4" s="109"/>
      <c r="I4" s="29"/>
    </row>
    <row r="5" spans="1:17" ht="18" x14ac:dyDescent="0.55000000000000004">
      <c r="A5" s="29"/>
      <c r="B5" s="105"/>
      <c r="C5" s="425" t="s">
        <v>185</v>
      </c>
      <c r="D5" s="408"/>
      <c r="E5" s="408"/>
      <c r="F5" s="408"/>
      <c r="G5" s="408"/>
      <c r="H5" s="109"/>
      <c r="I5" s="29"/>
    </row>
    <row r="6" spans="1:17" ht="18" x14ac:dyDescent="0.55000000000000004">
      <c r="A6" s="29"/>
      <c r="B6" s="105"/>
      <c r="C6" s="425" t="s">
        <v>150</v>
      </c>
      <c r="D6" s="425"/>
      <c r="E6" s="425"/>
      <c r="F6" s="425"/>
      <c r="G6" s="425"/>
      <c r="H6" s="109"/>
      <c r="I6" s="29"/>
    </row>
    <row r="7" spans="1:17" ht="15.75" x14ac:dyDescent="0.5">
      <c r="A7" s="29"/>
      <c r="B7" s="110"/>
      <c r="C7" s="111"/>
      <c r="D7" s="111"/>
      <c r="E7" s="111"/>
      <c r="F7" s="111"/>
      <c r="G7" s="111"/>
      <c r="H7" s="112"/>
      <c r="I7" s="29"/>
    </row>
    <row r="8" spans="1:17" ht="15.75" x14ac:dyDescent="0.5">
      <c r="A8" s="29"/>
      <c r="B8" s="90"/>
      <c r="C8" s="91"/>
      <c r="D8" s="168"/>
      <c r="E8" s="90"/>
      <c r="F8" s="91"/>
      <c r="G8" s="91"/>
      <c r="H8" s="92"/>
      <c r="I8" s="29"/>
    </row>
    <row r="9" spans="1:17" ht="17.649999999999999" x14ac:dyDescent="0.75">
      <c r="A9" s="29"/>
      <c r="B9" s="93"/>
      <c r="C9" s="298" t="s">
        <v>78</v>
      </c>
      <c r="D9" s="169" t="s">
        <v>62</v>
      </c>
      <c r="E9" s="427" t="s">
        <v>105</v>
      </c>
      <c r="F9" s="428"/>
      <c r="G9" s="428"/>
      <c r="H9" s="101"/>
      <c r="I9" s="29"/>
    </row>
    <row r="10" spans="1:17" ht="17.649999999999999" x14ac:dyDescent="0.75">
      <c r="A10" s="29"/>
      <c r="B10" s="93"/>
      <c r="C10" s="298" t="s">
        <v>92</v>
      </c>
      <c r="D10" s="169" t="s">
        <v>79</v>
      </c>
      <c r="E10" s="174" t="s">
        <v>79</v>
      </c>
      <c r="F10" s="175" t="s">
        <v>161</v>
      </c>
      <c r="G10" s="175" t="s">
        <v>162</v>
      </c>
      <c r="H10" s="173"/>
      <c r="I10" s="29"/>
    </row>
    <row r="11" spans="1:17" ht="17.649999999999999" x14ac:dyDescent="0.75">
      <c r="A11" s="29"/>
      <c r="B11" s="93"/>
      <c r="C11" s="298"/>
      <c r="D11" s="169"/>
      <c r="E11" s="174"/>
      <c r="F11" s="175"/>
      <c r="G11" s="175"/>
      <c r="H11" s="173"/>
      <c r="I11" s="29"/>
    </row>
    <row r="12" spans="1:17" ht="17.649999999999999" x14ac:dyDescent="0.75">
      <c r="B12" s="93"/>
      <c r="C12" s="426" t="s">
        <v>182</v>
      </c>
      <c r="D12" s="426"/>
      <c r="E12" s="426"/>
      <c r="F12" s="426"/>
      <c r="G12" s="426"/>
      <c r="H12" s="101"/>
    </row>
    <row r="13" spans="1:17" ht="15.4" x14ac:dyDescent="0.45">
      <c r="B13" s="93"/>
      <c r="C13" s="84">
        <v>2000</v>
      </c>
      <c r="D13" s="170">
        <f>RatesW!F13+6.5</f>
        <v>33.980000000000004</v>
      </c>
      <c r="E13" s="8">
        <f>RatesW!L13+6.5</f>
        <v>35.93</v>
      </c>
      <c r="F13" s="4">
        <f>(E13-D13)</f>
        <v>1.9499999999999957</v>
      </c>
      <c r="G13" s="258">
        <f>F13/D13</f>
        <v>5.738669805768086E-2</v>
      </c>
      <c r="H13" s="102"/>
      <c r="J13" s="250"/>
      <c r="K13" s="254"/>
      <c r="L13" s="250"/>
      <c r="M13" s="250"/>
      <c r="N13" s="250"/>
      <c r="O13" s="250"/>
      <c r="P13" s="250"/>
      <c r="Q13" s="250"/>
    </row>
    <row r="14" spans="1:17" ht="15.4" x14ac:dyDescent="0.45">
      <c r="B14" s="93"/>
      <c r="C14" s="267">
        <v>4000</v>
      </c>
      <c r="D14" s="300">
        <f>RatesW!F13+(2*RatesW!F14)+6.5</f>
        <v>50.16</v>
      </c>
      <c r="E14" s="302">
        <f>RatesW!L13+(2*RatesW!L14)+6.5</f>
        <v>53.25</v>
      </c>
      <c r="F14" s="259">
        <f t="shared" ref="F14:F21" si="0">(E14-D14)</f>
        <v>3.0900000000000034</v>
      </c>
      <c r="G14" s="258">
        <f t="shared" ref="G14:G21" si="1">F14/D14</f>
        <v>6.1602870813397201E-2</v>
      </c>
      <c r="H14" s="102"/>
      <c r="J14" s="250"/>
      <c r="K14" s="254"/>
      <c r="L14" s="250"/>
      <c r="M14" s="250"/>
      <c r="N14" s="250"/>
      <c r="O14" s="250"/>
      <c r="P14" s="250"/>
      <c r="Q14" s="250"/>
    </row>
    <row r="15" spans="1:17" ht="15.4" x14ac:dyDescent="0.45">
      <c r="B15" s="93"/>
      <c r="C15" s="103">
        <v>6000</v>
      </c>
      <c r="D15" s="171">
        <f>RatesW!F13+(2*RatesW!F14)+(2*RatesW!F15)+6.5</f>
        <v>66.14</v>
      </c>
      <c r="E15" s="299">
        <f>RatesW!L13+(2*RatesW!L14)+(2*RatesW!L15)+6.5</f>
        <v>70.37</v>
      </c>
      <c r="F15" s="303">
        <f t="shared" si="0"/>
        <v>4.230000000000004</v>
      </c>
      <c r="G15" s="304">
        <f t="shared" si="1"/>
        <v>6.3955246446930819E-2</v>
      </c>
      <c r="H15" s="102"/>
      <c r="J15" s="250"/>
      <c r="K15" s="254"/>
      <c r="L15" s="250"/>
      <c r="M15" s="250"/>
      <c r="N15" s="250"/>
      <c r="O15" s="250"/>
      <c r="P15" s="250"/>
      <c r="Q15" s="250"/>
    </row>
    <row r="16" spans="1:17" ht="15.4" x14ac:dyDescent="0.45">
      <c r="B16" s="93"/>
      <c r="C16" s="84">
        <v>10000</v>
      </c>
      <c r="D16" s="172">
        <f>RatesW!F13+2*RatesW!F14+2*RatesW!F15+4*RatesW!F16+6.5</f>
        <v>97.7</v>
      </c>
      <c r="E16" s="99">
        <f>RatesW!L13+2*RatesW!L14+2*RatesW!L15+4*RatesW!L16+6.5</f>
        <v>104.17</v>
      </c>
      <c r="F16" s="259">
        <f t="shared" si="0"/>
        <v>6.4699999999999989</v>
      </c>
      <c r="G16" s="258">
        <f t="shared" si="1"/>
        <v>6.6223132036847474E-2</v>
      </c>
      <c r="H16" s="102"/>
      <c r="J16" s="250"/>
      <c r="K16" s="254"/>
      <c r="L16" s="250"/>
      <c r="M16" s="250"/>
      <c r="N16" s="250"/>
      <c r="O16" s="250"/>
      <c r="P16" s="250"/>
      <c r="Q16" s="250"/>
    </row>
    <row r="17" spans="2:17" ht="15.4" x14ac:dyDescent="0.45">
      <c r="B17" s="93"/>
      <c r="C17" s="84">
        <v>16000</v>
      </c>
      <c r="D17" s="172">
        <f>RatesW!F13+(2*RatesW!F14)+(2*RatesW!F15)+(10*RatesW!F16)+6.5</f>
        <v>145.04</v>
      </c>
      <c r="E17" s="99">
        <f>RatesW!L13+(2*RatesW!L14)+(2*RatesW!L15)+(10*RatesW!L16)+6.5</f>
        <v>154.87</v>
      </c>
      <c r="F17" s="259">
        <f t="shared" si="0"/>
        <v>9.8300000000000125</v>
      </c>
      <c r="G17" s="258">
        <f t="shared" si="1"/>
        <v>6.777440706012143E-2</v>
      </c>
      <c r="H17" s="102"/>
      <c r="J17" s="250"/>
      <c r="K17" s="254"/>
      <c r="L17" s="250"/>
      <c r="M17" s="250"/>
      <c r="N17" s="250"/>
      <c r="O17" s="250"/>
      <c r="P17" s="250"/>
      <c r="Q17" s="250"/>
    </row>
    <row r="18" spans="2:17" ht="15.4" x14ac:dyDescent="0.45">
      <c r="B18" s="93"/>
      <c r="C18" s="84">
        <v>20000</v>
      </c>
      <c r="D18" s="172">
        <f>RatesW!F13+(2*RatesW!F14)+(2*RatesW!F15)+(14*RatesW!F16)+6.5</f>
        <v>176.6</v>
      </c>
      <c r="E18" s="99">
        <f>RatesW!L13+(2*RatesW!L14)+(2*RatesW!L15)+(14*RatesW!L16)+6.5</f>
        <v>188.67</v>
      </c>
      <c r="F18" s="259">
        <f t="shared" si="0"/>
        <v>12.069999999999993</v>
      </c>
      <c r="G18" s="258">
        <f t="shared" si="1"/>
        <v>6.8346545866364627E-2</v>
      </c>
      <c r="H18" s="102"/>
      <c r="J18" s="250"/>
      <c r="K18" s="254"/>
      <c r="L18" s="250"/>
      <c r="M18" s="250"/>
      <c r="N18" s="250"/>
      <c r="O18" s="250"/>
      <c r="P18" s="250"/>
      <c r="Q18" s="250"/>
    </row>
    <row r="19" spans="2:17" ht="15.4" x14ac:dyDescent="0.45">
      <c r="B19" s="93"/>
      <c r="C19" s="84">
        <v>24000</v>
      </c>
      <c r="D19" s="172">
        <f>RatesW!F13+(2*RatesW!F14)+(2*RatesW!F15)+(10*RatesW!F16)+(8*RatesW!F17)+6.5</f>
        <v>207.35999999999999</v>
      </c>
      <c r="E19" s="99">
        <f>RatesW!L13+(2*RatesW!L14)+(2*RatesW!L15)+(10*RatesW!L16)+(8*RatesW!L17)+6.5</f>
        <v>221.59</v>
      </c>
      <c r="F19" s="259">
        <f t="shared" si="0"/>
        <v>14.230000000000018</v>
      </c>
      <c r="G19" s="258">
        <f t="shared" si="1"/>
        <v>6.862461419753095E-2</v>
      </c>
      <c r="H19" s="102"/>
      <c r="J19" s="250"/>
      <c r="K19" s="254"/>
      <c r="L19" s="250"/>
      <c r="M19" s="250"/>
      <c r="N19" s="250"/>
      <c r="O19" s="250"/>
      <c r="P19" s="250"/>
      <c r="Q19" s="250"/>
    </row>
    <row r="20" spans="2:17" ht="15.4" x14ac:dyDescent="0.45">
      <c r="B20" s="93"/>
      <c r="C20" s="84">
        <v>50000</v>
      </c>
      <c r="D20" s="172">
        <f>RatesW!F13+(2*RatesW!F14)+(2*RatesW!F15)+(10*RatesW!F16)+(8*RatesW!F17)+(26*RatesW!F18)+6.5</f>
        <v>407.29999999999995</v>
      </c>
      <c r="E20" s="99">
        <f>RatesW!L13+(2*RatesW!L14)+(2*RatesW!L15)+(10*RatesW!L16)+(8*RatesW!L17)+(26*RatesW!L18)+6.5</f>
        <v>435.83000000000004</v>
      </c>
      <c r="F20" s="259">
        <f t="shared" si="0"/>
        <v>28.530000000000086</v>
      </c>
      <c r="G20" s="258">
        <f t="shared" si="1"/>
        <v>7.0046648661920174E-2</v>
      </c>
      <c r="H20" s="102"/>
      <c r="J20" s="250"/>
      <c r="K20" s="254"/>
      <c r="L20" s="250"/>
      <c r="M20" s="250"/>
      <c r="N20" s="250"/>
      <c r="O20" s="250"/>
      <c r="P20" s="250"/>
      <c r="Q20" s="250"/>
    </row>
    <row r="21" spans="2:17" ht="15.4" x14ac:dyDescent="0.45">
      <c r="B21" s="93"/>
      <c r="C21" s="84">
        <v>120000</v>
      </c>
      <c r="D21" s="172">
        <f>RatesW!F13+(2*RatesW!F14)+(2*RatesW!F15)+(10*RatesW!F16)+(8*RatesW!F17)+(96*RatesW!F18)+6.5</f>
        <v>945.6</v>
      </c>
      <c r="E21" s="99">
        <f>RatesW!L13+(2*RatesW!L14)+(2*RatesW!L15)+(10*RatesW!L16)+(8*RatesW!L17)+(96*RatesW!L18)+6.5</f>
        <v>1012.63</v>
      </c>
      <c r="F21" s="259">
        <f t="shared" si="0"/>
        <v>67.029999999999973</v>
      </c>
      <c r="G21" s="258">
        <f t="shared" si="1"/>
        <v>7.0886209813874765E-2</v>
      </c>
      <c r="H21" s="102"/>
      <c r="J21" s="250"/>
      <c r="K21" s="254"/>
      <c r="L21" s="250"/>
      <c r="M21" s="250"/>
      <c r="N21" s="250"/>
      <c r="O21" s="250"/>
      <c r="P21" s="250"/>
      <c r="Q21" s="250"/>
    </row>
    <row r="22" spans="2:17" ht="15.4" x14ac:dyDescent="0.45">
      <c r="B22" s="93"/>
      <c r="C22" s="84"/>
      <c r="D22" s="99"/>
      <c r="E22" s="99"/>
      <c r="F22" s="99"/>
      <c r="G22" s="99"/>
      <c r="H22" s="102"/>
      <c r="J22" s="250"/>
      <c r="K22" s="250"/>
      <c r="L22" s="250"/>
      <c r="M22" s="250"/>
      <c r="N22" s="250"/>
      <c r="O22" s="250"/>
      <c r="P22" s="250"/>
      <c r="Q22" s="250"/>
    </row>
    <row r="23" spans="2:17" ht="17.649999999999999" x14ac:dyDescent="0.75">
      <c r="B23" s="93"/>
      <c r="C23" s="426" t="s">
        <v>183</v>
      </c>
      <c r="D23" s="426"/>
      <c r="E23" s="426"/>
      <c r="F23" s="426"/>
      <c r="G23" s="426"/>
      <c r="H23" s="102"/>
      <c r="J23" s="250"/>
      <c r="K23" s="250"/>
      <c r="L23" s="250"/>
      <c r="M23" s="250"/>
      <c r="N23" s="250"/>
      <c r="O23" s="250"/>
      <c r="P23" s="250"/>
      <c r="Q23" s="250"/>
    </row>
    <row r="24" spans="2:17" ht="15.4" x14ac:dyDescent="0.45">
      <c r="B24" s="93"/>
      <c r="C24" s="84">
        <v>2000</v>
      </c>
      <c r="D24" s="170">
        <f>RatesW!F21+6.5</f>
        <v>97.7</v>
      </c>
      <c r="E24" s="8">
        <f>RatesW!L21+6.5</f>
        <v>104.17</v>
      </c>
      <c r="F24" s="4">
        <f>(E24-D24)</f>
        <v>6.4699999999999989</v>
      </c>
      <c r="G24" s="258">
        <f>F24/D24</f>
        <v>6.6223132036847474E-2</v>
      </c>
      <c r="H24" s="102"/>
      <c r="J24" s="250"/>
      <c r="K24" s="250"/>
      <c r="L24" s="250"/>
      <c r="M24" s="250"/>
      <c r="N24" s="250"/>
      <c r="O24" s="250"/>
      <c r="P24" s="250"/>
      <c r="Q24" s="250"/>
    </row>
    <row r="25" spans="2:17" ht="15.4" x14ac:dyDescent="0.45">
      <c r="B25" s="93"/>
      <c r="C25" s="267">
        <v>4000</v>
      </c>
      <c r="D25" s="300">
        <f>RatesW!F21+6.5</f>
        <v>97.7</v>
      </c>
      <c r="E25" s="302">
        <f>RatesW!L21+6.5</f>
        <v>104.17</v>
      </c>
      <c r="F25" s="259">
        <f t="shared" ref="F25:F32" si="2">(E25-D25)</f>
        <v>6.4699999999999989</v>
      </c>
      <c r="G25" s="258">
        <f t="shared" ref="G25:G32" si="3">F25/D25</f>
        <v>6.6223132036847474E-2</v>
      </c>
      <c r="H25" s="102"/>
      <c r="J25" s="250"/>
      <c r="K25" s="250"/>
      <c r="L25" s="250"/>
      <c r="M25" s="250"/>
      <c r="N25" s="250"/>
      <c r="O25" s="250"/>
      <c r="P25" s="250"/>
      <c r="Q25" s="250"/>
    </row>
    <row r="26" spans="2:17" ht="15.4" x14ac:dyDescent="0.45">
      <c r="B26" s="93"/>
      <c r="C26" s="267">
        <v>6000</v>
      </c>
      <c r="D26" s="300">
        <f>RatesW!F21+6.5</f>
        <v>97.7</v>
      </c>
      <c r="E26" s="302">
        <f>RatesW!L21+6.5</f>
        <v>104.17</v>
      </c>
      <c r="F26" s="305">
        <f t="shared" si="2"/>
        <v>6.4699999999999989</v>
      </c>
      <c r="G26" s="306">
        <f t="shared" si="3"/>
        <v>6.6223132036847474E-2</v>
      </c>
      <c r="H26" s="102"/>
      <c r="J26" s="250"/>
      <c r="K26" s="250"/>
      <c r="L26" s="250"/>
      <c r="M26" s="250"/>
      <c r="N26" s="250"/>
      <c r="O26" s="250"/>
      <c r="P26" s="250"/>
      <c r="Q26" s="250"/>
    </row>
    <row r="27" spans="2:17" ht="15.4" x14ac:dyDescent="0.45">
      <c r="B27" s="93"/>
      <c r="C27" s="84">
        <v>10000</v>
      </c>
      <c r="D27" s="172">
        <f>RatesW!F21+6.5</f>
        <v>97.7</v>
      </c>
      <c r="E27" s="99">
        <f>RatesW!L21+6.5</f>
        <v>104.17</v>
      </c>
      <c r="F27" s="259">
        <f t="shared" si="2"/>
        <v>6.4699999999999989</v>
      </c>
      <c r="G27" s="258">
        <f t="shared" si="3"/>
        <v>6.6223132036847474E-2</v>
      </c>
      <c r="H27" s="102"/>
      <c r="J27" s="250"/>
      <c r="K27" s="250"/>
      <c r="L27" s="250"/>
      <c r="M27" s="250"/>
      <c r="N27" s="250"/>
      <c r="O27" s="250"/>
      <c r="P27" s="250"/>
      <c r="Q27" s="250"/>
    </row>
    <row r="28" spans="2:17" ht="15.4" x14ac:dyDescent="0.45">
      <c r="B28" s="93"/>
      <c r="C28" s="84">
        <v>16000</v>
      </c>
      <c r="D28" s="172">
        <f>RatesW!F21+6*RatesW!F22+6.5</f>
        <v>145.04</v>
      </c>
      <c r="E28" s="99">
        <f>RatesW!L21+6*RatesW!L22+6.5</f>
        <v>154.87</v>
      </c>
      <c r="F28" s="259">
        <f t="shared" si="2"/>
        <v>9.8300000000000125</v>
      </c>
      <c r="G28" s="258">
        <f t="shared" si="3"/>
        <v>6.777440706012143E-2</v>
      </c>
      <c r="H28" s="102"/>
      <c r="J28" s="250"/>
      <c r="K28" s="250"/>
      <c r="L28" s="250"/>
      <c r="M28" s="250"/>
      <c r="N28" s="250"/>
      <c r="O28" s="250"/>
      <c r="P28" s="250"/>
      <c r="Q28" s="250"/>
    </row>
    <row r="29" spans="2:17" ht="15.4" x14ac:dyDescent="0.45">
      <c r="B29" s="93"/>
      <c r="C29" s="267">
        <v>20000</v>
      </c>
      <c r="D29" s="300">
        <f>RatesW!F21+6*RatesW!F22+4*RatesW!F23+6.5</f>
        <v>176.2</v>
      </c>
      <c r="E29" s="302">
        <f>RatesW!L21+6*RatesW!L22+4*RatesW!L23+6.5</f>
        <v>188.23000000000002</v>
      </c>
      <c r="F29" s="305">
        <f t="shared" si="2"/>
        <v>12.03000000000003</v>
      </c>
      <c r="G29" s="306">
        <f t="shared" si="3"/>
        <v>6.8274687854710733E-2</v>
      </c>
      <c r="H29" s="102"/>
      <c r="J29" s="250"/>
      <c r="K29" s="250"/>
      <c r="L29" s="250"/>
      <c r="M29" s="250"/>
      <c r="N29" s="250"/>
      <c r="O29" s="250"/>
      <c r="P29" s="250"/>
      <c r="Q29" s="250"/>
    </row>
    <row r="30" spans="2:17" ht="15.4" x14ac:dyDescent="0.45">
      <c r="B30" s="93"/>
      <c r="C30" s="84">
        <v>24000</v>
      </c>
      <c r="D30" s="172">
        <f>RatesW!F21+6*RatesW!F22+8*RatesW!F23+6.5</f>
        <v>207.35999999999999</v>
      </c>
      <c r="E30" s="99">
        <f>RatesW!L21+6*RatesW!L22+8*RatesW!L23+6.5</f>
        <v>221.59</v>
      </c>
      <c r="F30" s="259">
        <f t="shared" si="2"/>
        <v>14.230000000000018</v>
      </c>
      <c r="G30" s="258">
        <f t="shared" si="3"/>
        <v>6.862461419753095E-2</v>
      </c>
      <c r="H30" s="102"/>
      <c r="J30" s="250"/>
      <c r="K30" s="250"/>
      <c r="L30" s="250"/>
      <c r="M30" s="250"/>
      <c r="N30" s="250"/>
      <c r="O30" s="250"/>
      <c r="P30" s="250"/>
      <c r="Q30" s="250"/>
    </row>
    <row r="31" spans="2:17" ht="15.4" x14ac:dyDescent="0.45">
      <c r="B31" s="93"/>
      <c r="C31" s="84">
        <v>50000</v>
      </c>
      <c r="D31" s="172">
        <f>RatesW!F21+6*RatesW!F22+8*RatesW!F23+26*RatesW!F24+6.5</f>
        <v>407.29999999999995</v>
      </c>
      <c r="E31" s="99">
        <f>RatesW!L21+6*RatesW!L22+8*RatesW!L23+26*RatesW!L24+6.5</f>
        <v>435.83000000000004</v>
      </c>
      <c r="F31" s="259">
        <f t="shared" si="2"/>
        <v>28.530000000000086</v>
      </c>
      <c r="G31" s="258">
        <f t="shared" si="3"/>
        <v>7.0046648661920174E-2</v>
      </c>
      <c r="H31" s="102"/>
      <c r="J31" s="250"/>
      <c r="K31" s="250"/>
      <c r="L31" s="250"/>
      <c r="M31" s="250"/>
      <c r="N31" s="250"/>
      <c r="O31" s="250"/>
      <c r="P31" s="250"/>
      <c r="Q31" s="250"/>
    </row>
    <row r="32" spans="2:17" ht="15.4" x14ac:dyDescent="0.45">
      <c r="B32" s="93"/>
      <c r="C32" s="84">
        <v>120000</v>
      </c>
      <c r="D32" s="172">
        <f>RatesW!F21+6*RatesW!F22+8*RatesW!F23+96*RatesW!F24+6.5</f>
        <v>945.6</v>
      </c>
      <c r="E32" s="99">
        <f>RatesW!L21+6*RatesW!L22+8*RatesW!L23+96*RatesW!L24+6.5</f>
        <v>1012.63</v>
      </c>
      <c r="F32" s="259">
        <f t="shared" si="2"/>
        <v>67.029999999999973</v>
      </c>
      <c r="G32" s="258">
        <f t="shared" si="3"/>
        <v>7.0886209813874765E-2</v>
      </c>
      <c r="H32" s="102"/>
      <c r="J32" s="250"/>
      <c r="K32" s="250"/>
      <c r="L32" s="250"/>
      <c r="M32" s="250"/>
      <c r="N32" s="250"/>
      <c r="O32" s="250"/>
      <c r="P32" s="250"/>
      <c r="Q32" s="250"/>
    </row>
    <row r="33" spans="2:17" ht="15.4" x14ac:dyDescent="0.45">
      <c r="B33" s="93"/>
      <c r="C33" s="84"/>
      <c r="D33" s="99"/>
      <c r="E33" s="99"/>
      <c r="F33" s="259"/>
      <c r="G33" s="258"/>
      <c r="H33" s="102"/>
      <c r="J33" s="250"/>
      <c r="K33" s="250"/>
      <c r="L33" s="250"/>
      <c r="M33" s="250"/>
      <c r="N33" s="250"/>
      <c r="O33" s="250"/>
      <c r="P33" s="250"/>
      <c r="Q33" s="250"/>
    </row>
    <row r="34" spans="2:17" ht="17.649999999999999" x14ac:dyDescent="0.75">
      <c r="B34" s="93"/>
      <c r="C34" s="426" t="s">
        <v>184</v>
      </c>
      <c r="D34" s="426"/>
      <c r="E34" s="426"/>
      <c r="F34" s="426"/>
      <c r="G34" s="426"/>
      <c r="H34" s="102"/>
      <c r="J34" s="250"/>
      <c r="K34" s="250"/>
      <c r="L34" s="250"/>
      <c r="M34" s="250"/>
      <c r="N34" s="250"/>
      <c r="O34" s="250"/>
      <c r="P34" s="250"/>
      <c r="Q34" s="250"/>
    </row>
    <row r="35" spans="2:17" ht="15.4" x14ac:dyDescent="0.45">
      <c r="B35" s="93"/>
      <c r="C35" s="84">
        <v>2000</v>
      </c>
      <c r="D35" s="170">
        <f>RatesW!F27+6.5</f>
        <v>207.36</v>
      </c>
      <c r="E35" s="8">
        <f>RatesW!L27+6.5</f>
        <v>221.59</v>
      </c>
      <c r="F35" s="4">
        <f>(E35-D35)</f>
        <v>14.22999999999999</v>
      </c>
      <c r="G35" s="258">
        <f>F35/D35</f>
        <v>6.8624614197530812E-2</v>
      </c>
      <c r="H35" s="102"/>
      <c r="J35" s="250"/>
      <c r="K35" s="250"/>
      <c r="L35" s="250"/>
      <c r="M35" s="250"/>
      <c r="N35" s="250"/>
      <c r="O35" s="250"/>
      <c r="P35" s="250"/>
      <c r="Q35" s="250"/>
    </row>
    <row r="36" spans="2:17" ht="15.4" x14ac:dyDescent="0.45">
      <c r="B36" s="93"/>
      <c r="C36" s="267">
        <v>4000</v>
      </c>
      <c r="D36" s="300">
        <f>RatesW!F27+6.5</f>
        <v>207.36</v>
      </c>
      <c r="E36" s="302">
        <f>RatesW!L27+6.5</f>
        <v>221.59</v>
      </c>
      <c r="F36" s="259">
        <f t="shared" ref="F36:F42" si="4">(E36-D36)</f>
        <v>14.22999999999999</v>
      </c>
      <c r="G36" s="258">
        <f t="shared" ref="G36:G42" si="5">F36/D36</f>
        <v>6.8624614197530812E-2</v>
      </c>
      <c r="H36" s="102"/>
      <c r="J36" s="250"/>
      <c r="K36" s="250"/>
      <c r="L36" s="250"/>
      <c r="M36" s="250"/>
      <c r="N36" s="250"/>
      <c r="O36" s="250"/>
      <c r="P36" s="250"/>
      <c r="Q36" s="250"/>
    </row>
    <row r="37" spans="2:17" ht="15.4" x14ac:dyDescent="0.45">
      <c r="B37" s="93"/>
      <c r="C37" s="267">
        <v>6000</v>
      </c>
      <c r="D37" s="300">
        <f>RatesW!F27+6.5</f>
        <v>207.36</v>
      </c>
      <c r="E37" s="302">
        <f>RatesW!L27+6.5</f>
        <v>221.59</v>
      </c>
      <c r="F37" s="305">
        <f t="shared" si="4"/>
        <v>14.22999999999999</v>
      </c>
      <c r="G37" s="306">
        <f t="shared" si="5"/>
        <v>6.8624614197530812E-2</v>
      </c>
      <c r="H37" s="102"/>
      <c r="J37" s="250"/>
      <c r="K37" s="250"/>
      <c r="L37" s="250"/>
      <c r="M37" s="250"/>
      <c r="N37" s="250"/>
      <c r="O37" s="250"/>
      <c r="P37" s="250"/>
      <c r="Q37" s="250"/>
    </row>
    <row r="38" spans="2:17" ht="15.4" x14ac:dyDescent="0.45">
      <c r="B38" s="93"/>
      <c r="C38" s="84">
        <v>10000</v>
      </c>
      <c r="D38" s="308">
        <f>RatesW!F27+6.5</f>
        <v>207.36</v>
      </c>
      <c r="E38" s="302">
        <f>RatesW!L27+6.5</f>
        <v>221.59</v>
      </c>
      <c r="F38" s="259">
        <f t="shared" si="4"/>
        <v>14.22999999999999</v>
      </c>
      <c r="G38" s="258">
        <f t="shared" si="5"/>
        <v>6.8624614197530812E-2</v>
      </c>
      <c r="H38" s="102"/>
      <c r="J38" s="250"/>
      <c r="K38" s="250"/>
      <c r="L38" s="250"/>
      <c r="M38" s="250"/>
      <c r="N38" s="250"/>
      <c r="O38" s="250"/>
      <c r="P38" s="250"/>
      <c r="Q38" s="250"/>
    </row>
    <row r="39" spans="2:17" ht="15.4" x14ac:dyDescent="0.45">
      <c r="B39" s="93"/>
      <c r="C39" s="84">
        <v>16000</v>
      </c>
      <c r="D39" s="308">
        <f>RatesW!F27+6.5</f>
        <v>207.36</v>
      </c>
      <c r="E39" s="302">
        <f>RatesW!L27+6.5</f>
        <v>221.59</v>
      </c>
      <c r="F39" s="259">
        <f t="shared" si="4"/>
        <v>14.22999999999999</v>
      </c>
      <c r="G39" s="258">
        <f t="shared" si="5"/>
        <v>6.8624614197530812E-2</v>
      </c>
      <c r="H39" s="102"/>
      <c r="J39" s="250"/>
      <c r="K39" s="250"/>
      <c r="L39" s="250"/>
      <c r="M39" s="250"/>
      <c r="N39" s="250"/>
      <c r="O39" s="250"/>
      <c r="P39" s="250"/>
      <c r="Q39" s="250"/>
    </row>
    <row r="40" spans="2:17" ht="15.4" x14ac:dyDescent="0.45">
      <c r="B40" s="93"/>
      <c r="C40" s="84">
        <v>24000</v>
      </c>
      <c r="D40" s="308">
        <f>RatesW!F27+6.5</f>
        <v>207.36</v>
      </c>
      <c r="E40" s="302">
        <f>RatesW!L27+6.5</f>
        <v>221.59</v>
      </c>
      <c r="F40" s="259">
        <f t="shared" si="4"/>
        <v>14.22999999999999</v>
      </c>
      <c r="G40" s="258">
        <f t="shared" si="5"/>
        <v>6.8624614197530812E-2</v>
      </c>
      <c r="H40" s="102"/>
      <c r="J40" s="250"/>
      <c r="K40" s="250"/>
      <c r="L40" s="250"/>
      <c r="M40" s="250"/>
      <c r="N40" s="250"/>
      <c r="O40" s="250"/>
      <c r="P40" s="250"/>
      <c r="Q40" s="250"/>
    </row>
    <row r="41" spans="2:17" ht="15.4" x14ac:dyDescent="0.45">
      <c r="B41" s="93"/>
      <c r="C41" s="84">
        <v>50000</v>
      </c>
      <c r="D41" s="172">
        <f>RatesW!F27+26*RatesW!F28+6.5</f>
        <v>407.3</v>
      </c>
      <c r="E41" s="99">
        <f>RatesW!L27+26*RatesW!L28+6.5</f>
        <v>435.83000000000004</v>
      </c>
      <c r="F41" s="259">
        <f t="shared" si="4"/>
        <v>28.53000000000003</v>
      </c>
      <c r="G41" s="258">
        <f t="shared" si="5"/>
        <v>7.0046648661920036E-2</v>
      </c>
      <c r="H41" s="102"/>
      <c r="J41" s="250"/>
      <c r="K41" s="250"/>
      <c r="L41" s="250"/>
      <c r="M41" s="250"/>
      <c r="N41" s="250"/>
      <c r="O41" s="250"/>
      <c r="P41" s="250"/>
      <c r="Q41" s="250"/>
    </row>
    <row r="42" spans="2:17" ht="15.4" x14ac:dyDescent="0.45">
      <c r="B42" s="93"/>
      <c r="C42" s="267">
        <v>120000</v>
      </c>
      <c r="D42" s="300">
        <f>RatesW!F27+96*RatesW!F28+6.5</f>
        <v>945.6</v>
      </c>
      <c r="E42" s="302">
        <f>RatesW!L27+96*RatesW!L28+6.5</f>
        <v>1012.63</v>
      </c>
      <c r="F42" s="305">
        <f t="shared" si="4"/>
        <v>67.029999999999973</v>
      </c>
      <c r="G42" s="306">
        <f t="shared" si="5"/>
        <v>7.0886209813874765E-2</v>
      </c>
      <c r="H42" s="102"/>
      <c r="J42" s="250"/>
      <c r="K42" s="250"/>
      <c r="L42" s="250"/>
      <c r="M42" s="250"/>
      <c r="N42" s="250"/>
      <c r="O42" s="250"/>
      <c r="P42" s="250"/>
      <c r="Q42" s="250"/>
    </row>
    <row r="43" spans="2:17" ht="15.4" x14ac:dyDescent="0.45">
      <c r="B43" s="93"/>
      <c r="C43" s="84"/>
      <c r="D43" s="99"/>
      <c r="E43" s="99"/>
      <c r="F43" s="259"/>
      <c r="G43" s="258"/>
      <c r="H43" s="102"/>
      <c r="J43" s="250"/>
      <c r="K43" s="250"/>
      <c r="L43" s="250"/>
      <c r="M43" s="250"/>
      <c r="N43" s="250"/>
      <c r="O43" s="250"/>
      <c r="P43" s="250"/>
      <c r="Q43" s="250"/>
    </row>
    <row r="44" spans="2:17" ht="17.649999999999999" x14ac:dyDescent="0.75">
      <c r="B44" s="93"/>
      <c r="C44" s="426" t="s">
        <v>144</v>
      </c>
      <c r="D44" s="426"/>
      <c r="E44" s="426"/>
      <c r="F44" s="426"/>
      <c r="G44" s="426"/>
      <c r="H44" s="102"/>
      <c r="J44" s="250"/>
      <c r="K44" s="250"/>
      <c r="L44" s="250"/>
      <c r="M44" s="250"/>
      <c r="N44" s="250"/>
      <c r="O44" s="250"/>
      <c r="P44" s="250"/>
      <c r="Q44" s="250"/>
    </row>
    <row r="45" spans="2:17" ht="15.4" x14ac:dyDescent="0.45">
      <c r="B45" s="93"/>
      <c r="C45" s="84">
        <v>2000</v>
      </c>
      <c r="D45" s="170">
        <f>RatesS!F13</f>
        <v>26.84</v>
      </c>
      <c r="E45" s="4">
        <f>RatesS!L13</f>
        <v>34.29</v>
      </c>
      <c r="F45" s="4">
        <f t="shared" ref="F45:F53" si="6">(E45-D45)</f>
        <v>7.4499999999999993</v>
      </c>
      <c r="G45" s="258">
        <f t="shared" ref="G45:G53" si="7">F45/D45</f>
        <v>0.2775707898658718</v>
      </c>
      <c r="H45" s="102"/>
      <c r="J45" s="255"/>
      <c r="K45" s="254"/>
      <c r="L45" s="250"/>
      <c r="M45" s="250"/>
      <c r="N45" s="250"/>
      <c r="O45" s="250"/>
      <c r="P45" s="250"/>
      <c r="Q45" s="250"/>
    </row>
    <row r="46" spans="2:17" ht="15.4" x14ac:dyDescent="0.45">
      <c r="B46" s="93"/>
      <c r="C46" s="267">
        <v>4000</v>
      </c>
      <c r="D46" s="300">
        <f>RatesS!F13+(2000*RatesS!F14)</f>
        <v>53.68</v>
      </c>
      <c r="E46" s="301">
        <f>RatesS!L13+(2000*RatesS!L14)</f>
        <v>68.59</v>
      </c>
      <c r="F46" s="4">
        <f t="shared" si="6"/>
        <v>14.910000000000004</v>
      </c>
      <c r="G46" s="258">
        <f t="shared" si="7"/>
        <v>0.27775707898658725</v>
      </c>
      <c r="H46" s="102"/>
      <c r="J46" s="255"/>
      <c r="K46" s="254"/>
      <c r="L46" s="250"/>
      <c r="M46" s="250"/>
      <c r="N46" s="256"/>
      <c r="O46" s="257"/>
      <c r="P46" s="250"/>
      <c r="Q46" s="250"/>
    </row>
    <row r="47" spans="2:17" ht="15.4" x14ac:dyDescent="0.45">
      <c r="B47" s="93"/>
      <c r="C47" s="103">
        <v>6000</v>
      </c>
      <c r="D47" s="171">
        <f>RatesS!F13+4000*RatesS!F14</f>
        <v>80.52</v>
      </c>
      <c r="E47" s="299">
        <f>RatesS!L13+4000*RatesS!L14</f>
        <v>102.88999999999999</v>
      </c>
      <c r="F47" s="307">
        <f t="shared" si="6"/>
        <v>22.36999999999999</v>
      </c>
      <c r="G47" s="304">
        <f t="shared" si="7"/>
        <v>0.27781917536015888</v>
      </c>
      <c r="H47" s="102"/>
      <c r="J47" s="255"/>
      <c r="K47" s="254"/>
      <c r="L47" s="250"/>
      <c r="M47" s="250"/>
      <c r="N47" s="250"/>
      <c r="O47" s="250"/>
      <c r="P47" s="250"/>
      <c r="Q47" s="250"/>
    </row>
    <row r="48" spans="2:17" ht="15.4" x14ac:dyDescent="0.45">
      <c r="B48" s="93"/>
      <c r="C48" s="84">
        <v>10000</v>
      </c>
      <c r="D48" s="172">
        <f>RatesS!F13+(8000*RatesS!F14)</f>
        <v>134.19999999999999</v>
      </c>
      <c r="E48" s="99">
        <f>RatesS!L13+8000*RatesS!L14</f>
        <v>171.48999999999998</v>
      </c>
      <c r="F48" s="4">
        <f t="shared" si="6"/>
        <v>37.289999999999992</v>
      </c>
      <c r="G48" s="258">
        <f t="shared" si="7"/>
        <v>0.27786885245901638</v>
      </c>
      <c r="H48" s="102"/>
      <c r="J48" s="255"/>
      <c r="K48" s="254"/>
      <c r="L48" s="250"/>
      <c r="M48" s="250"/>
      <c r="N48" s="250"/>
      <c r="O48" s="250"/>
      <c r="P48" s="250"/>
      <c r="Q48" s="250"/>
    </row>
    <row r="49" spans="2:17" ht="15.4" x14ac:dyDescent="0.45">
      <c r="B49" s="93"/>
      <c r="C49" s="84">
        <v>16000</v>
      </c>
      <c r="D49" s="172">
        <f>RatesS!F13+(14000*RatesS!F14)</f>
        <v>214.72</v>
      </c>
      <c r="E49" s="99">
        <f>RatesS!L13+(14000*RatesS!L14)</f>
        <v>274.39</v>
      </c>
      <c r="F49" s="4">
        <f t="shared" si="6"/>
        <v>59.669999999999987</v>
      </c>
      <c r="G49" s="258">
        <f t="shared" si="7"/>
        <v>0.27789679582712362</v>
      </c>
      <c r="H49" s="102"/>
      <c r="J49" s="255"/>
      <c r="K49" s="254"/>
      <c r="L49" s="250"/>
      <c r="M49" s="250"/>
      <c r="N49" s="250"/>
      <c r="O49" s="250"/>
      <c r="P49" s="250"/>
      <c r="Q49" s="250"/>
    </row>
    <row r="50" spans="2:17" ht="15.4" x14ac:dyDescent="0.45">
      <c r="B50" s="93"/>
      <c r="C50" s="267">
        <v>20000</v>
      </c>
      <c r="D50" s="300">
        <f>RatesS!F13+(18000*RatesS!F14)</f>
        <v>268.39999999999998</v>
      </c>
      <c r="E50" s="302">
        <f>RatesS!L13+(18000*RatesS!L14)</f>
        <v>342.99</v>
      </c>
      <c r="F50" s="309">
        <f t="shared" si="6"/>
        <v>74.590000000000032</v>
      </c>
      <c r="G50" s="306">
        <f t="shared" si="7"/>
        <v>0.27790611028315959</v>
      </c>
      <c r="H50" s="102"/>
      <c r="J50" s="255"/>
      <c r="K50" s="254"/>
      <c r="L50" s="250"/>
      <c r="M50" s="250"/>
      <c r="N50" s="250"/>
      <c r="O50" s="250"/>
      <c r="P50" s="250"/>
      <c r="Q50" s="250"/>
    </row>
    <row r="51" spans="2:17" ht="15.4" x14ac:dyDescent="0.45">
      <c r="B51" s="93"/>
      <c r="C51" s="267">
        <v>24000</v>
      </c>
      <c r="D51" s="300">
        <f>RatesS!F13+22000*RatesS!F14</f>
        <v>322.08</v>
      </c>
      <c r="E51" s="302">
        <f>RatesS!L13+22000*RatesS!L14</f>
        <v>411.59</v>
      </c>
      <c r="F51" s="309">
        <f t="shared" si="6"/>
        <v>89.509999999999991</v>
      </c>
      <c r="G51" s="306">
        <f t="shared" si="7"/>
        <v>0.27791231992051663</v>
      </c>
      <c r="H51" s="102"/>
      <c r="J51" s="255"/>
      <c r="K51" s="254"/>
      <c r="L51" s="250"/>
      <c r="M51" s="250"/>
      <c r="N51" s="250"/>
      <c r="O51" s="250"/>
      <c r="P51" s="250"/>
      <c r="Q51" s="250"/>
    </row>
    <row r="52" spans="2:17" ht="15.4" x14ac:dyDescent="0.45">
      <c r="B52" s="93"/>
      <c r="C52" s="267">
        <v>50000</v>
      </c>
      <c r="D52" s="300">
        <f>RatesS!F13+48000*RatesS!F14</f>
        <v>671</v>
      </c>
      <c r="E52" s="302">
        <f>RatesS!L13+48000*RatesS!L14</f>
        <v>857.4899999999999</v>
      </c>
      <c r="F52" s="309">
        <f t="shared" si="6"/>
        <v>186.4899999999999</v>
      </c>
      <c r="G52" s="306">
        <f t="shared" si="7"/>
        <v>0.27792846497764517</v>
      </c>
      <c r="H52" s="102"/>
      <c r="J52" s="255"/>
      <c r="K52" s="254"/>
      <c r="L52" s="250"/>
      <c r="M52" s="250"/>
      <c r="N52" s="250"/>
      <c r="O52" s="250"/>
      <c r="P52" s="250"/>
      <c r="Q52" s="250"/>
    </row>
    <row r="53" spans="2:17" ht="15.4" x14ac:dyDescent="0.45">
      <c r="B53" s="93"/>
      <c r="C53" s="267">
        <v>120000</v>
      </c>
      <c r="D53" s="300">
        <f>RatesS!F13+118000*RatesS!F14</f>
        <v>1610.3999999999999</v>
      </c>
      <c r="E53" s="302">
        <f>RatesS!L13+118000*RatesS!L14</f>
        <v>2057.9899999999998</v>
      </c>
      <c r="F53" s="309">
        <f t="shared" si="6"/>
        <v>447.58999999999992</v>
      </c>
      <c r="G53" s="306">
        <f t="shared" si="7"/>
        <v>0.27793715846994532</v>
      </c>
      <c r="H53" s="102"/>
      <c r="J53" s="255"/>
      <c r="K53" s="254"/>
      <c r="L53" s="250"/>
      <c r="M53" s="250"/>
      <c r="N53" s="250"/>
      <c r="O53" s="250"/>
      <c r="P53" s="250"/>
      <c r="Q53" s="250"/>
    </row>
    <row r="54" spans="2:17" ht="15.4" x14ac:dyDescent="0.45">
      <c r="B54" s="96"/>
      <c r="C54" s="19"/>
      <c r="D54" s="23"/>
      <c r="E54" s="23"/>
      <c r="F54" s="23"/>
      <c r="G54" s="23"/>
      <c r="H54" s="97"/>
    </row>
    <row r="56" spans="2:17" ht="15.4" x14ac:dyDescent="0.45">
      <c r="D56" s="158" t="s">
        <v>93</v>
      </c>
    </row>
    <row r="57" spans="2:17" ht="15.4" x14ac:dyDescent="0.45">
      <c r="D57" s="158" t="s">
        <v>164</v>
      </c>
    </row>
  </sheetData>
  <mergeCells count="9">
    <mergeCell ref="C23:G23"/>
    <mergeCell ref="C34:G34"/>
    <mergeCell ref="C44:G44"/>
    <mergeCell ref="C5:G5"/>
    <mergeCell ref="C3:G3"/>
    <mergeCell ref="C4:G4"/>
    <mergeCell ref="C6:G6"/>
    <mergeCell ref="E9:G9"/>
    <mergeCell ref="C12:G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123"/>
  <sheetViews>
    <sheetView zoomScaleNormal="100" workbookViewId="0">
      <selection activeCell="A3" sqref="A3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1.5546875" style="3" customWidth="1"/>
    <col min="5" max="5" width="9.77734375" style="1" customWidth="1"/>
    <col min="6" max="6" width="10.33203125" style="1" customWidth="1"/>
    <col min="7" max="7" width="9.5546875" style="1" bestFit="1" customWidth="1"/>
    <col min="8" max="9" width="9.77734375" style="1" customWidth="1"/>
    <col min="10" max="11" width="9.88671875" style="1" bestFit="1" customWidth="1"/>
    <col min="12" max="12" width="10.5546875" style="3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" x14ac:dyDescent="0.55000000000000004">
      <c r="A1" s="80" t="s">
        <v>350</v>
      </c>
      <c r="B1" s="10"/>
      <c r="C1" s="10"/>
      <c r="D1" s="275"/>
      <c r="E1" s="10"/>
      <c r="F1" s="10"/>
      <c r="G1" s="10"/>
      <c r="H1" s="10"/>
      <c r="I1" s="10"/>
    </row>
    <row r="2" spans="1:17" ht="18" x14ac:dyDescent="0.45">
      <c r="A2" s="400" t="s">
        <v>351</v>
      </c>
      <c r="B2" s="400"/>
      <c r="C2" s="400"/>
      <c r="D2" s="400"/>
      <c r="E2" s="400"/>
      <c r="F2" s="400"/>
      <c r="G2" s="400"/>
      <c r="H2" s="400"/>
      <c r="I2" s="400"/>
    </row>
    <row r="3" spans="1:17" x14ac:dyDescent="0.45">
      <c r="M3" s="3"/>
      <c r="Q3" s="3"/>
    </row>
    <row r="4" spans="1:17" ht="16.5" x14ac:dyDescent="0.75">
      <c r="C4" s="86" t="s">
        <v>86</v>
      </c>
      <c r="M4" s="81"/>
      <c r="Q4" s="145"/>
    </row>
    <row r="5" spans="1:17" x14ac:dyDescent="0.45">
      <c r="C5" s="150"/>
      <c r="D5" s="89"/>
      <c r="E5" s="282" t="s">
        <v>74</v>
      </c>
      <c r="F5" s="282" t="s">
        <v>50</v>
      </c>
      <c r="G5" s="282" t="s">
        <v>48</v>
      </c>
      <c r="H5" s="7"/>
      <c r="J5" s="157"/>
      <c r="K5" s="3"/>
      <c r="L5" s="157"/>
      <c r="M5" s="3"/>
      <c r="Q5" s="85"/>
    </row>
    <row r="6" spans="1:17" x14ac:dyDescent="0.45">
      <c r="C6" s="1" t="s">
        <v>97</v>
      </c>
      <c r="E6" s="3">
        <f>C27</f>
        <v>36155</v>
      </c>
      <c r="F6" s="76">
        <f>D27</f>
        <v>211155006</v>
      </c>
      <c r="G6" s="78">
        <f>F37</f>
        <v>2312979.2543600001</v>
      </c>
      <c r="H6" s="78"/>
      <c r="J6" s="157"/>
      <c r="K6" s="85"/>
    </row>
    <row r="7" spans="1:17" x14ac:dyDescent="0.45">
      <c r="C7" s="1" t="s">
        <v>98</v>
      </c>
      <c r="E7" s="3">
        <f>C46</f>
        <v>1670</v>
      </c>
      <c r="F7" s="76">
        <f>D46</f>
        <v>33529352</v>
      </c>
      <c r="G7" s="3">
        <f>F54</f>
        <v>353605.07082000002</v>
      </c>
      <c r="H7" s="3"/>
      <c r="J7" s="157"/>
      <c r="K7" s="3"/>
    </row>
    <row r="8" spans="1:17" x14ac:dyDescent="0.45">
      <c r="C8" s="1" t="s">
        <v>99</v>
      </c>
      <c r="E8" s="89">
        <f>C61</f>
        <v>73</v>
      </c>
      <c r="F8" s="274">
        <f>D61</f>
        <v>8685630</v>
      </c>
      <c r="G8" s="89">
        <f>F67</f>
        <v>76299.601200000005</v>
      </c>
      <c r="H8" s="3"/>
      <c r="J8" s="157"/>
      <c r="K8" s="3"/>
    </row>
    <row r="9" spans="1:17" x14ac:dyDescent="0.45">
      <c r="C9" s="1" t="s">
        <v>44</v>
      </c>
      <c r="E9" s="85">
        <f>SUM(E6:E8)</f>
        <v>37898</v>
      </c>
      <c r="F9" s="6">
        <f>SUM(F6:F8)</f>
        <v>253369988</v>
      </c>
      <c r="G9" s="5">
        <f>SUM(G6:G8)</f>
        <v>2742883.9263800001</v>
      </c>
      <c r="H9" s="5"/>
      <c r="J9" s="157"/>
      <c r="K9" s="85"/>
      <c r="M9" s="77"/>
    </row>
    <row r="10" spans="1:17" x14ac:dyDescent="0.45">
      <c r="C10" s="1" t="s">
        <v>169</v>
      </c>
      <c r="E10" s="85"/>
      <c r="F10" s="6"/>
      <c r="G10" s="213">
        <v>-50884.95</v>
      </c>
      <c r="H10" s="5"/>
      <c r="J10" s="157"/>
      <c r="K10" s="85"/>
      <c r="M10" s="77"/>
    </row>
    <row r="11" spans="1:17" x14ac:dyDescent="0.45">
      <c r="C11" s="1" t="s">
        <v>170</v>
      </c>
      <c r="E11" s="85"/>
      <c r="F11" s="6"/>
      <c r="G11" s="5">
        <f>G9+G10</f>
        <v>2691998.9763799999</v>
      </c>
      <c r="H11" s="5"/>
      <c r="I11" s="81"/>
      <c r="J11" s="287"/>
      <c r="K11" s="85"/>
      <c r="M11" s="77"/>
    </row>
    <row r="12" spans="1:17" x14ac:dyDescent="0.45">
      <c r="C12" s="1" t="s">
        <v>171</v>
      </c>
      <c r="E12" s="85"/>
      <c r="F12" s="6"/>
      <c r="G12" s="213">
        <f>-SAOw!G49</f>
        <v>-2688574.6527937395</v>
      </c>
      <c r="H12" s="5"/>
      <c r="J12" s="157"/>
      <c r="K12" s="77"/>
    </row>
    <row r="13" spans="1:17" x14ac:dyDescent="0.45">
      <c r="C13" s="1" t="s">
        <v>172</v>
      </c>
      <c r="D13" s="236"/>
      <c r="E13" s="146"/>
      <c r="F13" s="147"/>
      <c r="G13" s="148">
        <f>G11+G12</f>
        <v>3424.3235862604342</v>
      </c>
      <c r="H13" s="289">
        <f>G13/G12</f>
        <v>-1.2736576173185917E-3</v>
      </c>
      <c r="I13" s="148"/>
      <c r="J13" s="157"/>
      <c r="O13" s="85"/>
    </row>
    <row r="14" spans="1:17" x14ac:dyDescent="0.45">
      <c r="D14" s="236"/>
      <c r="E14" s="146"/>
      <c r="F14" s="212"/>
      <c r="G14" s="211"/>
      <c r="H14" s="146"/>
      <c r="I14" s="148"/>
      <c r="J14" s="157"/>
    </row>
    <row r="15" spans="1:17" x14ac:dyDescent="0.45">
      <c r="D15" s="236"/>
      <c r="E15" s="146"/>
      <c r="F15" s="147"/>
      <c r="G15" s="236"/>
      <c r="H15" s="146"/>
      <c r="I15" s="148"/>
      <c r="L15" s="181"/>
    </row>
    <row r="16" spans="1:17" x14ac:dyDescent="0.45">
      <c r="F16" s="210"/>
      <c r="G16" s="81"/>
    </row>
    <row r="17" spans="1:19" x14ac:dyDescent="0.45">
      <c r="F17" s="81"/>
      <c r="G17" s="81"/>
    </row>
    <row r="18" spans="1:19" ht="15.75" x14ac:dyDescent="0.5">
      <c r="A18" s="143" t="s">
        <v>94</v>
      </c>
      <c r="N18"/>
      <c r="O18"/>
      <c r="P18"/>
      <c r="Q18"/>
      <c r="R18"/>
      <c r="S18"/>
    </row>
    <row r="19" spans="1:19" ht="15.4" x14ac:dyDescent="0.45">
      <c r="E19" s="2" t="s">
        <v>51</v>
      </c>
      <c r="F19" s="2" t="s">
        <v>70</v>
      </c>
      <c r="G19" s="2" t="s">
        <v>70</v>
      </c>
      <c r="H19" s="2" t="s">
        <v>70</v>
      </c>
      <c r="I19" s="2" t="s">
        <v>70</v>
      </c>
      <c r="J19" s="2" t="s">
        <v>52</v>
      </c>
      <c r="L19" s="1"/>
      <c r="M19"/>
      <c r="N19"/>
      <c r="O19"/>
      <c r="P19"/>
      <c r="Q19"/>
      <c r="R19"/>
    </row>
    <row r="20" spans="1:19" ht="15.4" x14ac:dyDescent="0.45">
      <c r="B20" s="282" t="s">
        <v>53</v>
      </c>
      <c r="C20" s="14" t="s">
        <v>54</v>
      </c>
      <c r="D20" s="276" t="s">
        <v>55</v>
      </c>
      <c r="E20" s="14">
        <f>B21</f>
        <v>2000</v>
      </c>
      <c r="F20" s="14">
        <f>B22</f>
        <v>2000</v>
      </c>
      <c r="G20" s="14">
        <f>B23</f>
        <v>2000</v>
      </c>
      <c r="H20" s="14">
        <f>B24</f>
        <v>10000</v>
      </c>
      <c r="I20" s="14">
        <f>B25</f>
        <v>8000</v>
      </c>
      <c r="J20" s="14">
        <f>B26</f>
        <v>24000</v>
      </c>
      <c r="K20" s="282" t="s">
        <v>56</v>
      </c>
      <c r="L20" s="1"/>
      <c r="M20"/>
      <c r="N20"/>
      <c r="O20"/>
      <c r="P20"/>
      <c r="Q20"/>
      <c r="R20"/>
    </row>
    <row r="21" spans="1:19" ht="15.4" x14ac:dyDescent="0.45">
      <c r="A21" s="15" t="s">
        <v>51</v>
      </c>
      <c r="B21" s="16">
        <v>2000</v>
      </c>
      <c r="C21" s="271">
        <f>ExBAw!C21</f>
        <v>7383</v>
      </c>
      <c r="D21" s="236">
        <f>ExBAw!D21</f>
        <v>6699493</v>
      </c>
      <c r="E21" s="82">
        <f>D21</f>
        <v>6699493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f>SUM(E21:J21)</f>
        <v>6699493</v>
      </c>
      <c r="L21" s="1"/>
      <c r="M21"/>
      <c r="N21"/>
      <c r="O21"/>
      <c r="P21"/>
      <c r="Q21"/>
      <c r="R21"/>
    </row>
    <row r="22" spans="1:19" ht="15.4" x14ac:dyDescent="0.45">
      <c r="A22" s="15" t="s">
        <v>70</v>
      </c>
      <c r="B22" s="16">
        <v>2000</v>
      </c>
      <c r="C22" s="271">
        <f>ExBAw!C22</f>
        <v>10842</v>
      </c>
      <c r="D22" s="236">
        <f>ExBAw!D22</f>
        <v>32398957</v>
      </c>
      <c r="E22" s="82">
        <f>C22*E$20</f>
        <v>21684000</v>
      </c>
      <c r="F22" s="82">
        <f>D22-E22</f>
        <v>10714957</v>
      </c>
      <c r="G22" s="82">
        <v>0</v>
      </c>
      <c r="H22" s="82">
        <v>0</v>
      </c>
      <c r="I22" s="82">
        <v>0</v>
      </c>
      <c r="J22" s="82">
        <v>0</v>
      </c>
      <c r="K22" s="82">
        <f>SUM(E22:J22)</f>
        <v>32398957</v>
      </c>
      <c r="L22" s="1"/>
      <c r="M22"/>
      <c r="N22"/>
      <c r="O22"/>
      <c r="P22"/>
      <c r="Q22"/>
      <c r="R22"/>
    </row>
    <row r="23" spans="1:19" ht="15.4" x14ac:dyDescent="0.45">
      <c r="A23" s="15" t="s">
        <v>70</v>
      </c>
      <c r="B23" s="16">
        <v>2000</v>
      </c>
      <c r="C23" s="271">
        <f>ExBAw!C23</f>
        <v>7801</v>
      </c>
      <c r="D23" s="236">
        <f>ExBAw!D23</f>
        <v>38173082</v>
      </c>
      <c r="E23" s="82">
        <f>C23*E$20</f>
        <v>15602000</v>
      </c>
      <c r="F23" s="82">
        <f>$C23*F$20</f>
        <v>15602000</v>
      </c>
      <c r="G23" s="82">
        <f>D23-(F23+E23)</f>
        <v>6969082</v>
      </c>
      <c r="H23" s="82">
        <v>0</v>
      </c>
      <c r="I23" s="82">
        <v>0</v>
      </c>
      <c r="J23" s="82">
        <v>0</v>
      </c>
      <c r="K23" s="82">
        <f>SUM(E23:J23)</f>
        <v>38173082</v>
      </c>
      <c r="L23" s="1"/>
      <c r="M23"/>
      <c r="N23"/>
      <c r="O23"/>
      <c r="P23"/>
      <c r="Q23"/>
      <c r="R23"/>
    </row>
    <row r="24" spans="1:19" ht="15.4" x14ac:dyDescent="0.45">
      <c r="A24" s="15" t="s">
        <v>70</v>
      </c>
      <c r="B24" s="16">
        <v>10000</v>
      </c>
      <c r="C24" s="271">
        <f>ExBAw!C24</f>
        <v>8157</v>
      </c>
      <c r="D24" s="236">
        <f>ExBAw!D24</f>
        <v>71807316</v>
      </c>
      <c r="E24" s="82">
        <f t="shared" ref="E24:E25" si="0">C24*E$20</f>
        <v>16314000</v>
      </c>
      <c r="F24" s="82">
        <f t="shared" ref="F24:F25" si="1">$C24*F$20</f>
        <v>16314000</v>
      </c>
      <c r="G24" s="82">
        <f>C24*G20</f>
        <v>16314000</v>
      </c>
      <c r="H24" s="85">
        <f>D24-E24-F24-G24</f>
        <v>22865316</v>
      </c>
      <c r="I24" s="82">
        <v>0</v>
      </c>
      <c r="J24" s="82">
        <v>0</v>
      </c>
      <c r="K24" s="82">
        <f t="shared" ref="K24:K25" si="2">SUM(E24:J24)</f>
        <v>71807316</v>
      </c>
      <c r="L24" s="1"/>
      <c r="M24"/>
      <c r="N24"/>
      <c r="O24"/>
      <c r="P24"/>
      <c r="Q24"/>
      <c r="R24"/>
    </row>
    <row r="25" spans="1:19" ht="15.4" x14ac:dyDescent="0.45">
      <c r="A25" s="15" t="s">
        <v>70</v>
      </c>
      <c r="B25" s="16">
        <v>8000</v>
      </c>
      <c r="C25" s="271">
        <f>ExBAw!C25</f>
        <v>901</v>
      </c>
      <c r="D25" s="236">
        <f>ExBAw!D25</f>
        <v>17544727</v>
      </c>
      <c r="E25" s="82">
        <f t="shared" si="0"/>
        <v>1802000</v>
      </c>
      <c r="F25" s="82">
        <f t="shared" si="1"/>
        <v>1802000</v>
      </c>
      <c r="G25" s="82">
        <f>C25*G20</f>
        <v>1802000</v>
      </c>
      <c r="H25" s="85">
        <f>C25*H20</f>
        <v>9010000</v>
      </c>
      <c r="I25" s="85">
        <f>D25-E25-F25-G25-H25</f>
        <v>3128727</v>
      </c>
      <c r="J25" s="82">
        <v>0</v>
      </c>
      <c r="K25" s="82">
        <f t="shared" si="2"/>
        <v>17544727</v>
      </c>
      <c r="L25" s="1"/>
      <c r="M25"/>
      <c r="N25"/>
      <c r="O25"/>
      <c r="P25"/>
      <c r="Q25"/>
      <c r="R25"/>
    </row>
    <row r="26" spans="1:19" ht="15.4" x14ac:dyDescent="0.45">
      <c r="A26" s="15" t="s">
        <v>52</v>
      </c>
      <c r="B26" s="18">
        <v>24000</v>
      </c>
      <c r="C26" s="272">
        <f>ExBAw!C26</f>
        <v>1071</v>
      </c>
      <c r="D26" s="277">
        <f>ExBAw!D26</f>
        <v>44531431</v>
      </c>
      <c r="E26" s="83">
        <f>C26*E$20</f>
        <v>2142000</v>
      </c>
      <c r="F26" s="83">
        <f>$C26*F$20</f>
        <v>2142000</v>
      </c>
      <c r="G26" s="83">
        <f>$C26*G$20</f>
        <v>2142000</v>
      </c>
      <c r="H26" s="262">
        <f>C26*H20</f>
        <v>10710000</v>
      </c>
      <c r="I26" s="262">
        <f>C26*I20</f>
        <v>8568000</v>
      </c>
      <c r="J26" s="83">
        <f>D26-E26-F26-G26-H26-I26</f>
        <v>18827431</v>
      </c>
      <c r="K26" s="83">
        <f>SUM(E26:J26)</f>
        <v>44531431</v>
      </c>
      <c r="L26" s="1"/>
      <c r="M26"/>
      <c r="N26"/>
      <c r="O26"/>
      <c r="P26"/>
      <c r="Q26"/>
      <c r="R26"/>
    </row>
    <row r="27" spans="1:19" ht="15.4" x14ac:dyDescent="0.45">
      <c r="A27" s="15"/>
      <c r="B27" s="16" t="s">
        <v>56</v>
      </c>
      <c r="C27" s="84">
        <f t="shared" ref="C27:I27" si="3">SUM(C21:C26)</f>
        <v>36155</v>
      </c>
      <c r="D27" s="6">
        <f t="shared" si="3"/>
        <v>211155006</v>
      </c>
      <c r="E27" s="84">
        <f t="shared" si="3"/>
        <v>64243493</v>
      </c>
      <c r="F27" s="84">
        <f t="shared" si="3"/>
        <v>46574957</v>
      </c>
      <c r="G27" s="84">
        <f t="shared" si="3"/>
        <v>27227082</v>
      </c>
      <c r="H27" s="84">
        <f t="shared" si="3"/>
        <v>42585316</v>
      </c>
      <c r="I27" s="84">
        <f t="shared" si="3"/>
        <v>11696727</v>
      </c>
      <c r="J27" s="84">
        <f>SUM(J21:J26)</f>
        <v>18827431</v>
      </c>
      <c r="K27" s="84">
        <f>SUM(K21:K26)</f>
        <v>211155006</v>
      </c>
      <c r="M27"/>
      <c r="N27"/>
      <c r="O27"/>
      <c r="P27"/>
      <c r="Q27"/>
      <c r="R27"/>
    </row>
    <row r="28" spans="1:19" ht="15.4" x14ac:dyDescent="0.45">
      <c r="A28" s="15"/>
      <c r="B28" s="16"/>
      <c r="E28" s="16"/>
      <c r="F28" s="16"/>
      <c r="G28" s="16"/>
      <c r="H28" s="16"/>
      <c r="I28" s="16"/>
      <c r="N28"/>
      <c r="O28"/>
      <c r="P28"/>
      <c r="Q28"/>
      <c r="R28"/>
      <c r="S28"/>
    </row>
    <row r="29" spans="1:19" ht="15.4" x14ac:dyDescent="0.45">
      <c r="A29" s="20" t="s">
        <v>57</v>
      </c>
      <c r="B29" s="20"/>
      <c r="E29" s="16"/>
      <c r="F29" s="16"/>
      <c r="G29" s="16"/>
      <c r="H29" s="16"/>
      <c r="I29" s="16"/>
      <c r="N29"/>
      <c r="O29"/>
      <c r="P29"/>
      <c r="Q29"/>
      <c r="R29"/>
      <c r="S29"/>
    </row>
    <row r="30" spans="1:19" ht="15.4" x14ac:dyDescent="0.45">
      <c r="A30" s="15"/>
      <c r="B30" s="282"/>
      <c r="C30" s="14" t="s">
        <v>54</v>
      </c>
      <c r="D30" s="276" t="s">
        <v>55</v>
      </c>
      <c r="E30" s="14" t="s">
        <v>58</v>
      </c>
      <c r="F30" s="14" t="s">
        <v>59</v>
      </c>
      <c r="G30" s="16"/>
      <c r="H30" s="16"/>
      <c r="I30" s="16"/>
      <c r="N30"/>
      <c r="O30"/>
      <c r="P30"/>
      <c r="Q30"/>
      <c r="R30"/>
      <c r="S30"/>
    </row>
    <row r="31" spans="1:19" ht="15.4" x14ac:dyDescent="0.45">
      <c r="A31" s="15" t="s">
        <v>51</v>
      </c>
      <c r="B31" s="16">
        <f>B21</f>
        <v>2000</v>
      </c>
      <c r="C31" s="17">
        <f>C27</f>
        <v>36155</v>
      </c>
      <c r="D31" s="236">
        <f>E27</f>
        <v>64243493</v>
      </c>
      <c r="E31" s="206">
        <f>RatesW!L13</f>
        <v>29.43</v>
      </c>
      <c r="F31" s="205">
        <f>E31*C31</f>
        <v>1064041.6499999999</v>
      </c>
      <c r="G31" s="81">
        <v>993539.4</v>
      </c>
      <c r="H31" s="81"/>
      <c r="I31" s="287"/>
      <c r="N31"/>
      <c r="O31"/>
      <c r="P31"/>
      <c r="Q31"/>
      <c r="R31"/>
      <c r="S31"/>
    </row>
    <row r="32" spans="1:19" ht="15.4" x14ac:dyDescent="0.45">
      <c r="A32" s="15" t="s">
        <v>70</v>
      </c>
      <c r="B32" s="16">
        <f>B22</f>
        <v>2000</v>
      </c>
      <c r="D32" s="236">
        <f>F27</f>
        <v>46574957</v>
      </c>
      <c r="E32" s="206">
        <f>RatesW!L14</f>
        <v>8.66</v>
      </c>
      <c r="F32" s="3">
        <f>E32*(D32/1000)</f>
        <v>403339.12762000004</v>
      </c>
      <c r="G32" s="85">
        <v>376791.40213</v>
      </c>
      <c r="H32" s="81"/>
      <c r="I32" s="287"/>
      <c r="N32"/>
      <c r="O32"/>
      <c r="P32"/>
      <c r="Q32"/>
      <c r="R32"/>
      <c r="S32"/>
    </row>
    <row r="33" spans="1:19" ht="15.4" x14ac:dyDescent="0.45">
      <c r="A33" s="15" t="s">
        <v>70</v>
      </c>
      <c r="B33" s="16">
        <f>B23</f>
        <v>2000</v>
      </c>
      <c r="D33" s="236">
        <f>G27</f>
        <v>27227082</v>
      </c>
      <c r="E33" s="206">
        <f>RatesW!L15</f>
        <v>8.56</v>
      </c>
      <c r="F33" s="3">
        <f>E33*(D33/1000)</f>
        <v>233063.82191999999</v>
      </c>
      <c r="G33" s="85">
        <v>217544.38517999998</v>
      </c>
      <c r="H33" s="81"/>
      <c r="I33" s="287"/>
      <c r="N33"/>
      <c r="O33"/>
      <c r="P33"/>
      <c r="Q33"/>
      <c r="R33"/>
      <c r="S33"/>
    </row>
    <row r="34" spans="1:19" ht="15.4" x14ac:dyDescent="0.45">
      <c r="A34" s="15" t="s">
        <v>70</v>
      </c>
      <c r="B34" s="16">
        <v>10000</v>
      </c>
      <c r="D34" s="236">
        <f>H27</f>
        <v>42585316</v>
      </c>
      <c r="E34" s="206">
        <f>RatesW!L16</f>
        <v>8.4499999999999993</v>
      </c>
      <c r="F34" s="3">
        <f t="shared" ref="F34:F35" si="4">E34*(D34/1000)</f>
        <v>359845.92019999993</v>
      </c>
      <c r="G34" s="85">
        <v>335998.14324</v>
      </c>
      <c r="H34" s="81"/>
      <c r="I34" s="287"/>
      <c r="N34"/>
      <c r="O34"/>
      <c r="P34"/>
      <c r="Q34"/>
      <c r="R34"/>
      <c r="S34"/>
    </row>
    <row r="35" spans="1:19" ht="15.4" x14ac:dyDescent="0.45">
      <c r="A35" s="15" t="s">
        <v>70</v>
      </c>
      <c r="B35" s="16">
        <v>8000</v>
      </c>
      <c r="D35" s="236">
        <f>I27</f>
        <v>11696727</v>
      </c>
      <c r="E35" s="206">
        <f>RatesW!L17</f>
        <v>8.34</v>
      </c>
      <c r="F35" s="3">
        <f t="shared" si="4"/>
        <v>97550.703180000011</v>
      </c>
      <c r="G35" s="85">
        <v>91117.503330000007</v>
      </c>
      <c r="H35" s="81"/>
      <c r="I35" s="287"/>
      <c r="N35"/>
      <c r="O35"/>
      <c r="P35"/>
      <c r="Q35"/>
      <c r="R35"/>
      <c r="S35"/>
    </row>
    <row r="36" spans="1:19" x14ac:dyDescent="0.45">
      <c r="A36" s="15" t="s">
        <v>52</v>
      </c>
      <c r="B36" s="18">
        <f>B26</f>
        <v>24000</v>
      </c>
      <c r="C36" s="22"/>
      <c r="D36" s="277">
        <f>J27</f>
        <v>18827431</v>
      </c>
      <c r="E36" s="251">
        <f>RatesW!L18</f>
        <v>8.24</v>
      </c>
      <c r="F36" s="89">
        <f>E36*(D36/1000)</f>
        <v>155138.03144000002</v>
      </c>
      <c r="G36" s="262">
        <v>144782.94439000002</v>
      </c>
      <c r="H36" s="81"/>
      <c r="I36" s="287"/>
      <c r="Q36" s="3">
        <f>Q28/12</f>
        <v>0</v>
      </c>
    </row>
    <row r="37" spans="1:19" x14ac:dyDescent="0.45">
      <c r="A37" s="15"/>
      <c r="B37" s="16" t="s">
        <v>56</v>
      </c>
      <c r="C37" s="3">
        <f>SUM(C31:C36)</f>
        <v>36155</v>
      </c>
      <c r="D37" s="6">
        <f>SUM(D31:D36)</f>
        <v>211155006</v>
      </c>
      <c r="F37" s="205">
        <f>SUM(F31:F36)</f>
        <v>2312979.2543600001</v>
      </c>
      <c r="G37" s="78">
        <v>2159773.7782700001</v>
      </c>
      <c r="H37" s="81"/>
      <c r="I37" s="287"/>
    </row>
    <row r="38" spans="1:19" x14ac:dyDescent="0.45">
      <c r="A38" s="15"/>
      <c r="B38" s="16"/>
      <c r="C38" s="3"/>
      <c r="D38" s="6"/>
      <c r="F38" s="205"/>
      <c r="G38" s="16"/>
      <c r="H38" s="16"/>
      <c r="I38" s="16"/>
    </row>
    <row r="39" spans="1:19" ht="15.75" x14ac:dyDescent="0.5">
      <c r="A39" s="143" t="s">
        <v>95</v>
      </c>
    </row>
    <row r="40" spans="1:19" x14ac:dyDescent="0.45">
      <c r="E40" s="2" t="s">
        <v>51</v>
      </c>
      <c r="F40" s="2" t="s">
        <v>70</v>
      </c>
      <c r="G40" s="2" t="s">
        <v>70</v>
      </c>
      <c r="H40" s="2" t="s">
        <v>52</v>
      </c>
      <c r="L40" s="1"/>
    </row>
    <row r="41" spans="1:19" x14ac:dyDescent="0.45">
      <c r="B41" s="282" t="s">
        <v>53</v>
      </c>
      <c r="C41" s="14" t="s">
        <v>54</v>
      </c>
      <c r="D41" s="276" t="s">
        <v>55</v>
      </c>
      <c r="E41" s="14">
        <f>B42</f>
        <v>10000</v>
      </c>
      <c r="F41" s="14">
        <f>B43</f>
        <v>6000</v>
      </c>
      <c r="G41" s="14">
        <f>B44</f>
        <v>8000</v>
      </c>
      <c r="H41" s="14">
        <f>B45</f>
        <v>24000</v>
      </c>
      <c r="I41" s="282" t="s">
        <v>56</v>
      </c>
      <c r="L41" s="1"/>
    </row>
    <row r="42" spans="1:19" x14ac:dyDescent="0.45">
      <c r="A42" s="15" t="s">
        <v>51</v>
      </c>
      <c r="B42" s="16">
        <v>10000</v>
      </c>
      <c r="C42" s="271">
        <f>ExBAw!C42</f>
        <v>934</v>
      </c>
      <c r="D42" s="271">
        <f>ExBAw!D42</f>
        <v>3197114</v>
      </c>
      <c r="E42" s="82">
        <f>D42</f>
        <v>3197114</v>
      </c>
      <c r="F42" s="82">
        <v>0</v>
      </c>
      <c r="G42" s="82">
        <v>0</v>
      </c>
      <c r="H42" s="82">
        <v>0</v>
      </c>
      <c r="I42" s="82">
        <f>SUM(E42:H42)</f>
        <v>3197114</v>
      </c>
      <c r="L42" s="1"/>
    </row>
    <row r="43" spans="1:19" x14ac:dyDescent="0.45">
      <c r="A43" s="15" t="s">
        <v>70</v>
      </c>
      <c r="B43" s="16">
        <v>6000</v>
      </c>
      <c r="C43" s="271">
        <f>ExBAw!C43</f>
        <v>167</v>
      </c>
      <c r="D43" s="271">
        <f>ExBAw!D43</f>
        <v>2117490</v>
      </c>
      <c r="E43" s="82">
        <f>C43*E41</f>
        <v>1670000</v>
      </c>
      <c r="F43" s="82">
        <f>D43-E43</f>
        <v>447490</v>
      </c>
      <c r="G43" s="82">
        <v>0</v>
      </c>
      <c r="H43" s="82">
        <v>0</v>
      </c>
      <c r="I43" s="82">
        <f t="shared" ref="I43:I44" si="5">SUM(E43:H43)</f>
        <v>2117490</v>
      </c>
      <c r="L43" s="1"/>
    </row>
    <row r="44" spans="1:19" x14ac:dyDescent="0.45">
      <c r="A44" s="15" t="s">
        <v>70</v>
      </c>
      <c r="B44" s="16">
        <v>8000</v>
      </c>
      <c r="C44" s="271">
        <f>ExBAw!C44</f>
        <v>145</v>
      </c>
      <c r="D44" s="271">
        <f>ExBAw!D44</f>
        <v>2868168</v>
      </c>
      <c r="E44" s="82">
        <f>C44*E41</f>
        <v>1450000</v>
      </c>
      <c r="F44" s="82">
        <f>C44*F41</f>
        <v>870000</v>
      </c>
      <c r="G44" s="82">
        <f>D44-E44-F44</f>
        <v>548168</v>
      </c>
      <c r="H44" s="82"/>
      <c r="I44" s="82">
        <f t="shared" si="5"/>
        <v>2868168</v>
      </c>
      <c r="L44" s="1"/>
    </row>
    <row r="45" spans="1:19" x14ac:dyDescent="0.45">
      <c r="A45" s="15" t="s">
        <v>52</v>
      </c>
      <c r="B45" s="18">
        <v>24000</v>
      </c>
      <c r="C45" s="272">
        <f>ExBAw!C45</f>
        <v>424</v>
      </c>
      <c r="D45" s="272">
        <f>ExBAw!D45</f>
        <v>25346580</v>
      </c>
      <c r="E45" s="83">
        <f>$C45*E$41</f>
        <v>4240000</v>
      </c>
      <c r="F45" s="83">
        <f>C45*F41</f>
        <v>2544000</v>
      </c>
      <c r="G45" s="83">
        <f>C45*G41</f>
        <v>3392000</v>
      </c>
      <c r="H45" s="83">
        <f>D45-E45-F45-G45</f>
        <v>15170580</v>
      </c>
      <c r="I45" s="83">
        <f>SUM(E45:H45)</f>
        <v>25346580</v>
      </c>
      <c r="L45" s="1"/>
    </row>
    <row r="46" spans="1:19" x14ac:dyDescent="0.45">
      <c r="A46" s="15"/>
      <c r="B46" s="16"/>
      <c r="C46" s="273">
        <f>SUM(C42:C45)</f>
        <v>1670</v>
      </c>
      <c r="D46" s="6">
        <f>SUM(D42:D45)</f>
        <v>33529352</v>
      </c>
      <c r="E46" s="84">
        <f>SUM(E42:E45)</f>
        <v>10557114</v>
      </c>
      <c r="F46" s="84">
        <f t="shared" ref="F46:G46" si="6">SUM(F42:F45)</f>
        <v>3861490</v>
      </c>
      <c r="G46" s="84">
        <f t="shared" si="6"/>
        <v>3940168</v>
      </c>
      <c r="H46" s="84">
        <f>SUM(H42:H45)</f>
        <v>15170580</v>
      </c>
      <c r="I46" s="84">
        <f>SUM(I42:I45)</f>
        <v>33529352</v>
      </c>
      <c r="J46" s="209"/>
    </row>
    <row r="47" spans="1:19" x14ac:dyDescent="0.45">
      <c r="A47" s="15"/>
      <c r="B47" s="16"/>
      <c r="E47" s="16"/>
      <c r="F47" s="16"/>
      <c r="G47" s="16"/>
      <c r="H47" s="16"/>
      <c r="I47" s="16"/>
    </row>
    <row r="48" spans="1:19" x14ac:dyDescent="0.45">
      <c r="A48" s="20" t="s">
        <v>57</v>
      </c>
      <c r="B48" s="20"/>
      <c r="E48" s="16"/>
      <c r="F48" s="16"/>
      <c r="G48" s="16"/>
      <c r="H48" s="16"/>
      <c r="I48" s="16"/>
    </row>
    <row r="49" spans="1:12" x14ac:dyDescent="0.45">
      <c r="A49" s="15"/>
      <c r="B49" s="282"/>
      <c r="C49" s="14" t="s">
        <v>54</v>
      </c>
      <c r="D49" s="276" t="s">
        <v>55</v>
      </c>
      <c r="E49" s="14" t="s">
        <v>58</v>
      </c>
      <c r="F49" s="14" t="s">
        <v>59</v>
      </c>
      <c r="G49" s="16"/>
      <c r="H49" s="16"/>
      <c r="I49" s="16"/>
    </row>
    <row r="50" spans="1:12" x14ac:dyDescent="0.45">
      <c r="A50" s="15" t="s">
        <v>51</v>
      </c>
      <c r="B50" s="16">
        <f>B42</f>
        <v>10000</v>
      </c>
      <c r="C50" s="17">
        <f>C46</f>
        <v>1670</v>
      </c>
      <c r="D50" s="236">
        <f>E46</f>
        <v>10557114</v>
      </c>
      <c r="E50" s="206">
        <f>RatesW!L21</f>
        <v>97.67</v>
      </c>
      <c r="F50" s="205">
        <f>E50*C50</f>
        <v>163108.9</v>
      </c>
      <c r="G50" s="81"/>
      <c r="H50" s="81"/>
      <c r="I50" s="287"/>
    </row>
    <row r="51" spans="1:12" x14ac:dyDescent="0.45">
      <c r="A51" s="15" t="s">
        <v>70</v>
      </c>
      <c r="B51" s="16">
        <v>6000</v>
      </c>
      <c r="C51" s="17"/>
      <c r="D51" s="236">
        <f>F46</f>
        <v>3861490</v>
      </c>
      <c r="E51" s="206">
        <f>RatesW!L22</f>
        <v>8.4499999999999993</v>
      </c>
      <c r="F51" s="6">
        <f t="shared" ref="F51:F52" si="7">E51*(D51/1000)</f>
        <v>32629.590499999995</v>
      </c>
      <c r="G51" s="85"/>
      <c r="H51" s="81"/>
      <c r="I51" s="287"/>
    </row>
    <row r="52" spans="1:12" x14ac:dyDescent="0.45">
      <c r="A52" s="15" t="s">
        <v>70</v>
      </c>
      <c r="B52" s="16">
        <v>8000</v>
      </c>
      <c r="C52" s="17"/>
      <c r="D52" s="236">
        <f>G46</f>
        <v>3940168</v>
      </c>
      <c r="E52" s="206">
        <f>RatesW!L23</f>
        <v>8.34</v>
      </c>
      <c r="F52" s="6">
        <f t="shared" si="7"/>
        <v>32861.001120000001</v>
      </c>
      <c r="G52" s="85"/>
      <c r="H52" s="81"/>
      <c r="I52" s="287"/>
    </row>
    <row r="53" spans="1:12" x14ac:dyDescent="0.45">
      <c r="A53" s="15" t="s">
        <v>52</v>
      </c>
      <c r="B53" s="18">
        <f>B45</f>
        <v>24000</v>
      </c>
      <c r="C53" s="22"/>
      <c r="D53" s="277">
        <f>H46</f>
        <v>15170580</v>
      </c>
      <c r="E53" s="251">
        <f>RatesW!L24</f>
        <v>8.24</v>
      </c>
      <c r="F53" s="89">
        <f>E53*(D53/1000)</f>
        <v>125005.57920000001</v>
      </c>
      <c r="G53" s="85"/>
      <c r="H53" s="81"/>
      <c r="I53" s="287"/>
    </row>
    <row r="54" spans="1:12" x14ac:dyDescent="0.45">
      <c r="A54" s="15"/>
      <c r="B54" s="16" t="s">
        <v>56</v>
      </c>
      <c r="C54" s="3">
        <f>SUM(C50:C53)</f>
        <v>1670</v>
      </c>
      <c r="D54" s="6">
        <f>SUM(D50:D53)</f>
        <v>33529352</v>
      </c>
      <c r="F54" s="205">
        <f>SUM(F50:F53)</f>
        <v>353605.07082000002</v>
      </c>
      <c r="G54" s="78"/>
      <c r="H54" s="81"/>
      <c r="I54" s="287"/>
    </row>
    <row r="55" spans="1:12" x14ac:dyDescent="0.45">
      <c r="A55" s="15"/>
      <c r="B55" s="16"/>
      <c r="C55" s="24"/>
      <c r="D55" s="6"/>
      <c r="F55" s="206"/>
      <c r="G55" s="16"/>
      <c r="H55" s="16"/>
      <c r="I55" s="16"/>
    </row>
    <row r="56" spans="1:12" ht="15.75" x14ac:dyDescent="0.5">
      <c r="A56" s="143" t="s">
        <v>96</v>
      </c>
    </row>
    <row r="57" spans="1:12" x14ac:dyDescent="0.45">
      <c r="E57" s="2" t="s">
        <v>51</v>
      </c>
      <c r="F57" s="2" t="s">
        <v>52</v>
      </c>
      <c r="K57" s="3"/>
      <c r="L57" s="1"/>
    </row>
    <row r="58" spans="1:12" x14ac:dyDescent="0.45">
      <c r="B58" s="282" t="s">
        <v>53</v>
      </c>
      <c r="C58" s="14" t="s">
        <v>54</v>
      </c>
      <c r="D58" s="276" t="s">
        <v>55</v>
      </c>
      <c r="E58" s="14">
        <f>B59</f>
        <v>24000</v>
      </c>
      <c r="F58" s="14">
        <f>B60</f>
        <v>24000</v>
      </c>
      <c r="G58" s="282" t="s">
        <v>56</v>
      </c>
      <c r="L58" s="1"/>
    </row>
    <row r="59" spans="1:12" x14ac:dyDescent="0.45">
      <c r="A59" s="15" t="s">
        <v>51</v>
      </c>
      <c r="B59" s="16">
        <v>24000</v>
      </c>
      <c r="C59" s="271">
        <f>ExBAw!C59</f>
        <v>22</v>
      </c>
      <c r="D59" s="271">
        <f>ExBAw!D59</f>
        <v>107500</v>
      </c>
      <c r="E59" s="82">
        <f>D59</f>
        <v>107500</v>
      </c>
      <c r="F59" s="82">
        <v>0</v>
      </c>
      <c r="G59" s="82">
        <f>SUM(E59:F59)</f>
        <v>107500</v>
      </c>
      <c r="K59" s="88"/>
      <c r="L59" s="1"/>
    </row>
    <row r="60" spans="1:12" x14ac:dyDescent="0.45">
      <c r="A60" s="15" t="s">
        <v>52</v>
      </c>
      <c r="B60" s="18">
        <v>24000</v>
      </c>
      <c r="C60" s="272">
        <f>ExBAw!C60</f>
        <v>51</v>
      </c>
      <c r="D60" s="272">
        <f>ExBAw!D60</f>
        <v>8578130</v>
      </c>
      <c r="E60" s="83">
        <f>$C60*E$58</f>
        <v>1224000</v>
      </c>
      <c r="F60" s="83">
        <f>D60-E60</f>
        <v>7354130</v>
      </c>
      <c r="G60" s="83">
        <f>SUM(E60:F60)</f>
        <v>8578130</v>
      </c>
      <c r="H60" s="3"/>
      <c r="I60" s="3"/>
      <c r="K60" s="2"/>
      <c r="L60" s="1"/>
    </row>
    <row r="61" spans="1:12" x14ac:dyDescent="0.45">
      <c r="A61" s="15"/>
      <c r="B61" s="16"/>
      <c r="C61" s="3">
        <f>SUM(C59:C60)</f>
        <v>73</v>
      </c>
      <c r="D61" s="6">
        <f>SUM(D59:D60)</f>
        <v>8685630</v>
      </c>
      <c r="E61" s="84">
        <f>SUM(E59:E60)</f>
        <v>1331500</v>
      </c>
      <c r="F61" s="84">
        <f>SUM(F59:F60)</f>
        <v>7354130</v>
      </c>
      <c r="G61" s="84">
        <f>SUM(G59:G60)</f>
        <v>8685630</v>
      </c>
    </row>
    <row r="62" spans="1:12" x14ac:dyDescent="0.45">
      <c r="A62" s="15"/>
      <c r="B62" s="16"/>
      <c r="E62" s="16"/>
      <c r="F62" s="16"/>
      <c r="G62" s="16"/>
      <c r="H62" s="16"/>
      <c r="I62" s="16"/>
    </row>
    <row r="63" spans="1:12" x14ac:dyDescent="0.45">
      <c r="A63" s="20" t="s">
        <v>57</v>
      </c>
      <c r="B63" s="20"/>
      <c r="E63" s="16"/>
      <c r="F63" s="16"/>
      <c r="G63" s="16"/>
      <c r="H63" s="16"/>
      <c r="I63" s="16"/>
    </row>
    <row r="64" spans="1:12" x14ac:dyDescent="0.45">
      <c r="A64" s="15"/>
      <c r="B64" s="282"/>
      <c r="C64" s="14" t="s">
        <v>54</v>
      </c>
      <c r="D64" s="276" t="s">
        <v>55</v>
      </c>
      <c r="E64" s="14" t="s">
        <v>58</v>
      </c>
      <c r="F64" s="14" t="s">
        <v>59</v>
      </c>
      <c r="G64" s="16"/>
      <c r="H64" s="16"/>
      <c r="I64" s="16"/>
    </row>
    <row r="65" spans="1:12" x14ac:dyDescent="0.45">
      <c r="A65" s="15" t="s">
        <v>51</v>
      </c>
      <c r="B65" s="16">
        <f>B59</f>
        <v>24000</v>
      </c>
      <c r="C65" s="17">
        <f>C61</f>
        <v>73</v>
      </c>
      <c r="D65" s="236">
        <f>E61</f>
        <v>1331500</v>
      </c>
      <c r="E65" s="206">
        <f>RatesW!L27</f>
        <v>215.09</v>
      </c>
      <c r="F65" s="205">
        <f>E65*C65</f>
        <v>15701.57</v>
      </c>
      <c r="G65" s="81"/>
      <c r="H65" s="81"/>
      <c r="I65" s="287"/>
    </row>
    <row r="66" spans="1:12" x14ac:dyDescent="0.45">
      <c r="A66" s="15" t="s">
        <v>52</v>
      </c>
      <c r="B66" s="18">
        <f>B60</f>
        <v>24000</v>
      </c>
      <c r="C66" s="89"/>
      <c r="D66" s="277">
        <f>F61</f>
        <v>7354130</v>
      </c>
      <c r="E66" s="251">
        <f>RatesW!L28</f>
        <v>8.24</v>
      </c>
      <c r="F66" s="89">
        <f t="shared" ref="F66" si="8">E66*(D66/1000)</f>
        <v>60598.031200000005</v>
      </c>
      <c r="G66" s="85"/>
      <c r="H66" s="81"/>
      <c r="I66" s="287"/>
    </row>
    <row r="67" spans="1:12" x14ac:dyDescent="0.45">
      <c r="A67" s="15"/>
      <c r="B67" s="16" t="s">
        <v>56</v>
      </c>
      <c r="C67" s="3">
        <f>SUM(C65:C66)</f>
        <v>73</v>
      </c>
      <c r="D67" s="6">
        <f>SUM(D65:D66)</f>
        <v>8685630</v>
      </c>
      <c r="F67" s="205">
        <f>SUM(F65:F66)</f>
        <v>76299.601200000005</v>
      </c>
      <c r="G67" s="78"/>
      <c r="H67" s="81"/>
      <c r="I67" s="287"/>
    </row>
    <row r="68" spans="1:12" x14ac:dyDescent="0.45">
      <c r="A68" s="15"/>
      <c r="B68" s="16"/>
      <c r="C68" s="24"/>
      <c r="D68" s="6"/>
      <c r="F68" s="206"/>
      <c r="G68" s="16"/>
      <c r="H68" s="16"/>
      <c r="I68" s="16"/>
    </row>
    <row r="69" spans="1:12" s="9" customFormat="1" ht="15.75" x14ac:dyDescent="0.5">
      <c r="A69" s="263"/>
      <c r="D69" s="6"/>
      <c r="F69" s="288">
        <f>F37+F54+F67</f>
        <v>2742883.9263800001</v>
      </c>
      <c r="G69" s="288"/>
      <c r="H69" s="81"/>
      <c r="I69" s="287"/>
      <c r="L69" s="6"/>
    </row>
    <row r="70" spans="1:12" s="9" customFormat="1" x14ac:dyDescent="0.45">
      <c r="D70" s="6"/>
      <c r="E70" s="7"/>
      <c r="F70" s="7"/>
      <c r="G70" s="7"/>
      <c r="H70" s="7"/>
      <c r="I70" s="7"/>
      <c r="J70" s="7"/>
      <c r="L70" s="6"/>
    </row>
    <row r="71" spans="1:12" s="9" customFormat="1" x14ac:dyDescent="0.45">
      <c r="B71" s="7"/>
      <c r="C71" s="264"/>
      <c r="D71" s="278"/>
      <c r="E71" s="264"/>
      <c r="F71" s="264"/>
      <c r="G71" s="264"/>
      <c r="H71" s="264"/>
      <c r="I71" s="264"/>
      <c r="J71" s="264"/>
      <c r="K71" s="7"/>
      <c r="L71" s="6"/>
    </row>
    <row r="72" spans="1:12" s="9" customFormat="1" x14ac:dyDescent="0.45">
      <c r="A72" s="265"/>
      <c r="B72" s="266"/>
      <c r="C72" s="267"/>
      <c r="D72" s="211"/>
      <c r="E72" s="267"/>
      <c r="F72" s="267"/>
      <c r="G72" s="267"/>
      <c r="H72" s="267"/>
      <c r="I72" s="267"/>
      <c r="J72" s="267"/>
      <c r="K72" s="267"/>
      <c r="L72" s="6"/>
    </row>
    <row r="73" spans="1:12" s="9" customFormat="1" x14ac:dyDescent="0.45">
      <c r="A73" s="265"/>
      <c r="B73" s="266"/>
      <c r="C73" s="267"/>
      <c r="D73" s="211"/>
      <c r="E73" s="267"/>
      <c r="F73" s="267"/>
      <c r="G73" s="267"/>
      <c r="H73" s="267"/>
      <c r="I73" s="267"/>
      <c r="J73" s="267"/>
      <c r="K73" s="267"/>
      <c r="L73" s="6"/>
    </row>
    <row r="74" spans="1:12" s="9" customFormat="1" x14ac:dyDescent="0.45">
      <c r="A74" s="265"/>
      <c r="B74" s="266"/>
      <c r="C74" s="267"/>
      <c r="D74" s="211"/>
      <c r="E74" s="267"/>
      <c r="F74" s="267"/>
      <c r="G74" s="267"/>
      <c r="H74" s="267"/>
      <c r="I74" s="267"/>
      <c r="J74" s="267"/>
      <c r="K74" s="267"/>
      <c r="L74" s="6"/>
    </row>
    <row r="75" spans="1:12" s="9" customFormat="1" x14ac:dyDescent="0.45">
      <c r="A75" s="265"/>
      <c r="B75" s="266"/>
      <c r="C75" s="267"/>
      <c r="D75" s="211"/>
      <c r="E75" s="267"/>
      <c r="F75" s="267"/>
      <c r="G75" s="267"/>
      <c r="H75" s="44"/>
      <c r="I75" s="267"/>
      <c r="J75" s="267"/>
      <c r="K75" s="267"/>
      <c r="L75" s="6"/>
    </row>
    <row r="76" spans="1:12" s="9" customFormat="1" x14ac:dyDescent="0.45">
      <c r="A76" s="265"/>
      <c r="B76" s="266"/>
      <c r="C76" s="267"/>
      <c r="D76" s="211"/>
      <c r="E76" s="267"/>
      <c r="F76" s="267"/>
      <c r="G76" s="267"/>
      <c r="H76" s="44"/>
      <c r="I76" s="44"/>
      <c r="J76" s="267"/>
      <c r="K76" s="267"/>
      <c r="L76" s="6"/>
    </row>
    <row r="77" spans="1:12" s="9" customFormat="1" x14ac:dyDescent="0.45">
      <c r="A77" s="265"/>
      <c r="B77" s="266"/>
      <c r="C77" s="267"/>
      <c r="D77" s="211"/>
      <c r="E77" s="267"/>
      <c r="F77" s="267"/>
      <c r="G77" s="267"/>
      <c r="H77" s="44"/>
      <c r="I77" s="44"/>
      <c r="J77" s="267"/>
      <c r="K77" s="267"/>
      <c r="L77" s="6"/>
    </row>
    <row r="78" spans="1:12" s="9" customFormat="1" x14ac:dyDescent="0.45">
      <c r="A78" s="265"/>
      <c r="B78" s="266"/>
      <c r="C78" s="84"/>
      <c r="D78" s="6"/>
      <c r="E78" s="84"/>
      <c r="F78" s="84"/>
      <c r="G78" s="84"/>
      <c r="H78" s="84"/>
      <c r="I78" s="84"/>
      <c r="J78" s="84"/>
      <c r="K78" s="84"/>
      <c r="L78" s="6"/>
    </row>
    <row r="79" spans="1:12" s="9" customFormat="1" x14ac:dyDescent="0.45">
      <c r="A79" s="265"/>
      <c r="B79" s="266"/>
      <c r="D79" s="6"/>
      <c r="E79" s="266"/>
      <c r="F79" s="266"/>
      <c r="G79" s="266"/>
      <c r="H79" s="266"/>
      <c r="I79" s="266"/>
      <c r="L79" s="6"/>
    </row>
    <row r="80" spans="1:12" s="9" customFormat="1" x14ac:dyDescent="0.45">
      <c r="A80" s="268"/>
      <c r="B80" s="268"/>
      <c r="D80" s="6"/>
      <c r="E80" s="266"/>
      <c r="F80" s="266"/>
      <c r="G80" s="266"/>
      <c r="H80" s="266"/>
      <c r="I80" s="266"/>
      <c r="L80" s="6"/>
    </row>
    <row r="81" spans="1:12" s="9" customFormat="1" x14ac:dyDescent="0.45">
      <c r="A81" s="265"/>
      <c r="B81" s="7"/>
      <c r="C81" s="264"/>
      <c r="D81" s="278"/>
      <c r="E81" s="264"/>
      <c r="F81" s="264"/>
      <c r="G81" s="266"/>
      <c r="H81" s="266"/>
      <c r="I81" s="266"/>
      <c r="L81" s="6"/>
    </row>
    <row r="82" spans="1:12" s="9" customFormat="1" x14ac:dyDescent="0.45">
      <c r="A82" s="265"/>
      <c r="B82" s="266"/>
      <c r="C82" s="84"/>
      <c r="D82" s="211"/>
      <c r="E82" s="269"/>
      <c r="F82" s="270"/>
      <c r="G82" s="266"/>
      <c r="L82" s="6"/>
    </row>
    <row r="83" spans="1:12" s="9" customFormat="1" x14ac:dyDescent="0.45">
      <c r="A83" s="265"/>
      <c r="B83" s="266"/>
      <c r="D83" s="211"/>
      <c r="E83" s="269"/>
      <c r="F83" s="6"/>
      <c r="G83" s="266"/>
      <c r="L83" s="6"/>
    </row>
    <row r="84" spans="1:12" s="9" customFormat="1" x14ac:dyDescent="0.45">
      <c r="A84" s="265"/>
      <c r="B84" s="266"/>
      <c r="D84" s="211"/>
      <c r="E84" s="269"/>
      <c r="F84" s="6"/>
      <c r="G84" s="266"/>
      <c r="L84" s="6"/>
    </row>
    <row r="85" spans="1:12" s="9" customFormat="1" x14ac:dyDescent="0.45">
      <c r="A85" s="265"/>
      <c r="B85" s="266"/>
      <c r="D85" s="211"/>
      <c r="E85" s="269"/>
      <c r="F85" s="6"/>
      <c r="G85" s="266"/>
      <c r="L85" s="6"/>
    </row>
    <row r="86" spans="1:12" s="9" customFormat="1" x14ac:dyDescent="0.45">
      <c r="A86" s="265"/>
      <c r="B86" s="266"/>
      <c r="D86" s="211"/>
      <c r="E86" s="269"/>
      <c r="F86" s="6"/>
      <c r="G86" s="266"/>
      <c r="L86" s="6"/>
    </row>
    <row r="87" spans="1:12" s="9" customFormat="1" x14ac:dyDescent="0.45">
      <c r="A87" s="265"/>
      <c r="B87" s="266"/>
      <c r="D87" s="211"/>
      <c r="E87" s="269"/>
      <c r="F87" s="6"/>
      <c r="G87" s="266"/>
      <c r="L87" s="6"/>
    </row>
    <row r="88" spans="1:12" s="9" customFormat="1" x14ac:dyDescent="0.45">
      <c r="A88" s="265"/>
      <c r="B88" s="266"/>
      <c r="C88" s="6"/>
      <c r="D88" s="6"/>
      <c r="F88" s="270"/>
      <c r="G88" s="266"/>
      <c r="H88" s="266"/>
      <c r="I88" s="266"/>
      <c r="L88" s="6"/>
    </row>
    <row r="89" spans="1:12" s="9" customFormat="1" x14ac:dyDescent="0.45">
      <c r="A89" s="265"/>
      <c r="B89" s="266"/>
      <c r="C89" s="6"/>
      <c r="D89" s="6"/>
      <c r="F89" s="270"/>
      <c r="G89" s="266"/>
      <c r="H89" s="266"/>
      <c r="I89" s="266"/>
      <c r="L89" s="6"/>
    </row>
    <row r="90" spans="1:12" s="9" customFormat="1" ht="15.75" x14ac:dyDescent="0.5">
      <c r="A90" s="263"/>
      <c r="D90" s="6"/>
      <c r="L90" s="6"/>
    </row>
    <row r="91" spans="1:12" s="9" customFormat="1" x14ac:dyDescent="0.45">
      <c r="D91" s="6"/>
      <c r="E91" s="7"/>
      <c r="F91" s="7"/>
      <c r="G91" s="7"/>
      <c r="H91" s="7"/>
      <c r="L91" s="6"/>
    </row>
    <row r="92" spans="1:12" s="9" customFormat="1" x14ac:dyDescent="0.45">
      <c r="B92" s="7"/>
      <c r="C92" s="264"/>
      <c r="D92" s="278"/>
      <c r="E92" s="264"/>
      <c r="F92" s="264"/>
      <c r="G92" s="264"/>
      <c r="H92" s="264"/>
      <c r="I92" s="7"/>
      <c r="L92" s="6"/>
    </row>
    <row r="93" spans="1:12" s="9" customFormat="1" x14ac:dyDescent="0.45">
      <c r="A93" s="265"/>
      <c r="B93" s="266"/>
      <c r="C93" s="267"/>
      <c r="D93" s="211"/>
      <c r="E93" s="267"/>
      <c r="F93" s="267"/>
      <c r="G93" s="267"/>
      <c r="H93" s="267"/>
      <c r="I93" s="267"/>
      <c r="L93" s="6"/>
    </row>
    <row r="94" spans="1:12" s="9" customFormat="1" x14ac:dyDescent="0.45">
      <c r="A94" s="265"/>
      <c r="B94" s="266"/>
      <c r="C94" s="267"/>
      <c r="D94" s="211"/>
      <c r="E94" s="267"/>
      <c r="F94" s="267"/>
      <c r="G94" s="267"/>
      <c r="H94" s="267"/>
      <c r="I94" s="267"/>
      <c r="L94" s="6"/>
    </row>
    <row r="95" spans="1:12" s="9" customFormat="1" x14ac:dyDescent="0.45">
      <c r="A95" s="265"/>
      <c r="B95" s="266"/>
      <c r="C95" s="267"/>
      <c r="D95" s="211"/>
      <c r="E95" s="267"/>
      <c r="F95" s="267"/>
      <c r="G95" s="267"/>
      <c r="H95" s="267"/>
      <c r="I95" s="267"/>
      <c r="L95" s="6"/>
    </row>
    <row r="96" spans="1:12" s="9" customFormat="1" x14ac:dyDescent="0.45">
      <c r="A96" s="265"/>
      <c r="B96" s="266"/>
      <c r="C96" s="267"/>
      <c r="D96" s="211"/>
      <c r="E96" s="267"/>
      <c r="F96" s="267"/>
      <c r="G96" s="267"/>
      <c r="H96" s="267"/>
      <c r="I96" s="267"/>
      <c r="L96" s="6"/>
    </row>
    <row r="97" spans="1:12" s="9" customFormat="1" x14ac:dyDescent="0.45">
      <c r="A97" s="265"/>
      <c r="B97" s="266"/>
      <c r="C97" s="84"/>
      <c r="D97" s="6"/>
      <c r="E97" s="84"/>
      <c r="F97" s="84"/>
      <c r="G97" s="84"/>
      <c r="H97" s="84"/>
      <c r="I97" s="84"/>
      <c r="L97" s="6"/>
    </row>
    <row r="98" spans="1:12" s="9" customFormat="1" x14ac:dyDescent="0.45">
      <c r="A98" s="265"/>
      <c r="B98" s="266"/>
      <c r="D98" s="6"/>
      <c r="E98" s="266"/>
      <c r="F98" s="266"/>
      <c r="G98" s="266"/>
      <c r="H98" s="266"/>
      <c r="I98" s="266"/>
      <c r="L98" s="6"/>
    </row>
    <row r="99" spans="1:12" s="9" customFormat="1" x14ac:dyDescent="0.45">
      <c r="A99" s="268"/>
      <c r="B99" s="268"/>
      <c r="D99" s="6"/>
      <c r="E99" s="266"/>
      <c r="F99" s="266"/>
      <c r="G99" s="266"/>
      <c r="H99" s="266"/>
      <c r="I99" s="266"/>
      <c r="L99" s="6"/>
    </row>
    <row r="100" spans="1:12" s="9" customFormat="1" x14ac:dyDescent="0.45">
      <c r="A100" s="265"/>
      <c r="B100" s="7"/>
      <c r="C100" s="264"/>
      <c r="D100" s="278"/>
      <c r="E100" s="264"/>
      <c r="F100" s="264"/>
      <c r="G100" s="266"/>
      <c r="H100" s="266"/>
      <c r="I100" s="266"/>
      <c r="L100" s="6"/>
    </row>
    <row r="101" spans="1:12" s="9" customFormat="1" x14ac:dyDescent="0.45">
      <c r="A101" s="265"/>
      <c r="B101" s="266"/>
      <c r="C101" s="84"/>
      <c r="D101" s="211"/>
      <c r="E101" s="269"/>
      <c r="F101" s="270"/>
      <c r="G101" s="266"/>
      <c r="L101" s="6"/>
    </row>
    <row r="102" spans="1:12" s="9" customFormat="1" x14ac:dyDescent="0.45">
      <c r="A102" s="265"/>
      <c r="B102" s="266"/>
      <c r="C102" s="84"/>
      <c r="D102" s="211"/>
      <c r="E102" s="269"/>
      <c r="F102" s="270"/>
      <c r="G102" s="266"/>
      <c r="L102" s="6"/>
    </row>
    <row r="103" spans="1:12" s="9" customFormat="1" x14ac:dyDescent="0.45">
      <c r="A103" s="265"/>
      <c r="B103" s="266"/>
      <c r="C103" s="84"/>
      <c r="D103" s="211"/>
      <c r="E103" s="269"/>
      <c r="F103" s="270"/>
      <c r="G103" s="266"/>
      <c r="L103" s="6"/>
    </row>
    <row r="104" spans="1:12" s="9" customFormat="1" x14ac:dyDescent="0.45">
      <c r="A104" s="265"/>
      <c r="B104" s="266"/>
      <c r="D104" s="211"/>
      <c r="E104" s="269"/>
      <c r="F104" s="6"/>
      <c r="G104" s="266"/>
      <c r="L104" s="6"/>
    </row>
    <row r="105" spans="1:12" s="9" customFormat="1" x14ac:dyDescent="0.45">
      <c r="A105" s="265"/>
      <c r="B105" s="266"/>
      <c r="C105" s="6"/>
      <c r="D105" s="6"/>
      <c r="F105" s="270"/>
      <c r="G105" s="266"/>
      <c r="H105" s="266"/>
      <c r="I105" s="266"/>
      <c r="L105" s="6"/>
    </row>
    <row r="106" spans="1:12" s="9" customFormat="1" x14ac:dyDescent="0.45">
      <c r="A106" s="265"/>
      <c r="B106" s="266"/>
      <c r="C106" s="51"/>
      <c r="D106" s="6"/>
      <c r="F106" s="269"/>
      <c r="G106" s="266"/>
      <c r="H106" s="266"/>
      <c r="I106" s="266"/>
      <c r="L106" s="6"/>
    </row>
    <row r="107" spans="1:12" s="9" customFormat="1" ht="15.75" x14ac:dyDescent="0.5">
      <c r="A107" s="263"/>
      <c r="D107" s="6"/>
      <c r="L107" s="6"/>
    </row>
    <row r="108" spans="1:12" s="9" customFormat="1" x14ac:dyDescent="0.45">
      <c r="D108" s="6"/>
      <c r="E108" s="7"/>
      <c r="F108" s="7"/>
      <c r="L108" s="6"/>
    </row>
    <row r="109" spans="1:12" s="9" customFormat="1" x14ac:dyDescent="0.45">
      <c r="B109" s="7"/>
      <c r="C109" s="264"/>
      <c r="D109" s="278"/>
      <c r="E109" s="264"/>
      <c r="F109" s="264"/>
      <c r="G109" s="7"/>
      <c r="L109" s="6"/>
    </row>
    <row r="110" spans="1:12" s="9" customFormat="1" x14ac:dyDescent="0.45">
      <c r="A110" s="265"/>
      <c r="B110" s="266"/>
      <c r="C110" s="267"/>
      <c r="D110" s="211"/>
      <c r="E110" s="267"/>
      <c r="F110" s="267"/>
      <c r="G110" s="267"/>
      <c r="L110" s="6"/>
    </row>
    <row r="111" spans="1:12" s="9" customFormat="1" x14ac:dyDescent="0.45">
      <c r="A111" s="265"/>
      <c r="B111" s="266"/>
      <c r="C111" s="267"/>
      <c r="D111" s="211"/>
      <c r="E111" s="267"/>
      <c r="F111" s="267"/>
      <c r="G111" s="267"/>
      <c r="H111" s="6"/>
      <c r="I111" s="6"/>
      <c r="L111" s="6"/>
    </row>
    <row r="112" spans="1:12" s="9" customFormat="1" x14ac:dyDescent="0.45">
      <c r="A112" s="265"/>
      <c r="B112" s="266"/>
      <c r="C112" s="6"/>
      <c r="D112" s="6"/>
      <c r="E112" s="84"/>
      <c r="F112" s="84"/>
      <c r="G112" s="84"/>
      <c r="L112" s="6"/>
    </row>
    <row r="113" spans="1:12" s="9" customFormat="1" x14ac:dyDescent="0.45">
      <c r="A113" s="265"/>
      <c r="B113" s="266"/>
      <c r="D113" s="6"/>
      <c r="E113" s="266"/>
      <c r="F113" s="266"/>
      <c r="G113" s="266"/>
      <c r="H113" s="266"/>
      <c r="I113" s="266"/>
      <c r="L113" s="6"/>
    </row>
    <row r="114" spans="1:12" s="9" customFormat="1" x14ac:dyDescent="0.45">
      <c r="A114" s="268"/>
      <c r="B114" s="268"/>
      <c r="D114" s="6"/>
      <c r="E114" s="266"/>
      <c r="F114" s="266"/>
      <c r="G114" s="266"/>
      <c r="H114" s="266"/>
      <c r="I114" s="266"/>
      <c r="L114" s="6"/>
    </row>
    <row r="115" spans="1:12" s="9" customFormat="1" x14ac:dyDescent="0.45">
      <c r="A115" s="265"/>
      <c r="B115" s="7"/>
      <c r="C115" s="264"/>
      <c r="D115" s="278"/>
      <c r="E115" s="264"/>
      <c r="F115" s="264"/>
      <c r="G115" s="266"/>
      <c r="H115" s="266"/>
      <c r="I115" s="266"/>
      <c r="L115" s="6"/>
    </row>
    <row r="116" spans="1:12" s="9" customFormat="1" x14ac:dyDescent="0.45">
      <c r="A116" s="265"/>
      <c r="B116" s="266"/>
      <c r="C116" s="84"/>
      <c r="D116" s="211"/>
      <c r="E116" s="269"/>
      <c r="F116" s="270"/>
      <c r="G116" s="266"/>
      <c r="H116" s="266"/>
      <c r="I116" s="266"/>
      <c r="L116" s="6"/>
    </row>
    <row r="117" spans="1:12" s="9" customFormat="1" x14ac:dyDescent="0.45">
      <c r="A117" s="265"/>
      <c r="B117" s="266"/>
      <c r="C117" s="6"/>
      <c r="D117" s="211"/>
      <c r="E117" s="269"/>
      <c r="F117" s="6"/>
      <c r="G117" s="266"/>
      <c r="H117" s="266"/>
      <c r="I117" s="266"/>
      <c r="L117" s="6"/>
    </row>
    <row r="118" spans="1:12" s="9" customFormat="1" x14ac:dyDescent="0.45">
      <c r="A118" s="265"/>
      <c r="B118" s="266"/>
      <c r="C118" s="6"/>
      <c r="D118" s="6"/>
      <c r="F118" s="270"/>
      <c r="G118" s="266"/>
      <c r="H118" s="266"/>
      <c r="I118" s="266"/>
      <c r="L118" s="6"/>
    </row>
    <row r="119" spans="1:12" s="9" customFormat="1" x14ac:dyDescent="0.45">
      <c r="D119" s="6"/>
      <c r="L119" s="6"/>
    </row>
    <row r="120" spans="1:12" s="9" customFormat="1" x14ac:dyDescent="0.45">
      <c r="D120" s="6"/>
      <c r="L120" s="6"/>
    </row>
    <row r="121" spans="1:12" s="9" customFormat="1" x14ac:dyDescent="0.45">
      <c r="D121" s="6"/>
      <c r="L121" s="6"/>
    </row>
    <row r="122" spans="1:12" s="9" customFormat="1" x14ac:dyDescent="0.45">
      <c r="D122" s="6"/>
      <c r="L122" s="6"/>
    </row>
    <row r="123" spans="1:12" s="9" customFormat="1" x14ac:dyDescent="0.45">
      <c r="D123" s="6"/>
      <c r="L123" s="6"/>
    </row>
  </sheetData>
  <mergeCells count="1">
    <mergeCell ref="A2:I2"/>
  </mergeCells>
  <printOptions horizontalCentered="1"/>
  <pageMargins left="0.85" right="0.6" top="1" bottom="1" header="0.3" footer="0.3"/>
  <pageSetup scale="66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30"/>
  <sheetViews>
    <sheetView workbookViewId="0">
      <selection activeCell="A2" sqref="A2:G2"/>
    </sheetView>
  </sheetViews>
  <sheetFormatPr defaultRowHeight="15" x14ac:dyDescent="0.4"/>
  <cols>
    <col min="1" max="1" width="8.44140625" customWidth="1"/>
    <col min="2" max="2" width="8.6640625" customWidth="1"/>
    <col min="3" max="3" width="8" customWidth="1"/>
    <col min="4" max="4" width="11.5546875" customWidth="1"/>
    <col min="5" max="5" width="9.77734375" customWidth="1"/>
    <col min="6" max="6" width="10.33203125" customWidth="1"/>
    <col min="7" max="7" width="9.77734375" customWidth="1"/>
    <col min="8" max="8" width="10.109375" customWidth="1"/>
    <col min="9" max="9" width="11" customWidth="1"/>
  </cols>
  <sheetData>
    <row r="1" spans="1:16" ht="18" x14ac:dyDescent="0.55000000000000004">
      <c r="A1" s="412" t="s">
        <v>350</v>
      </c>
      <c r="B1" s="412"/>
      <c r="C1" s="412"/>
      <c r="D1" s="412"/>
      <c r="E1" s="412"/>
      <c r="F1" s="412"/>
      <c r="G1" s="412"/>
      <c r="H1" s="286"/>
      <c r="I1" s="234"/>
      <c r="J1" s="3"/>
      <c r="K1" s="3"/>
      <c r="L1" s="3"/>
      <c r="M1" s="3"/>
      <c r="N1" s="3"/>
      <c r="O1" s="3"/>
      <c r="P1" s="3"/>
    </row>
    <row r="2" spans="1:16" ht="18" x14ac:dyDescent="0.45">
      <c r="A2" s="400" t="s">
        <v>166</v>
      </c>
      <c r="B2" s="400"/>
      <c r="C2" s="400"/>
      <c r="D2" s="400"/>
      <c r="E2" s="400"/>
      <c r="F2" s="400"/>
      <c r="G2" s="400"/>
      <c r="H2" s="283"/>
      <c r="I2" s="284"/>
      <c r="J2" s="3"/>
      <c r="K2" s="3"/>
      <c r="L2" s="3"/>
      <c r="M2" s="3"/>
      <c r="N2" s="3"/>
      <c r="O2" s="3"/>
      <c r="P2" s="3"/>
    </row>
    <row r="3" spans="1:16" ht="15.4" x14ac:dyDescent="0.45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3"/>
      <c r="M3" s="3"/>
      <c r="N3" s="3"/>
      <c r="O3" s="3"/>
      <c r="P3" s="3"/>
    </row>
    <row r="4" spans="1:16" ht="15.4" x14ac:dyDescent="0.45">
      <c r="A4" s="1"/>
      <c r="B4" s="86" t="s">
        <v>86</v>
      </c>
      <c r="C4" s="1"/>
      <c r="D4" s="1"/>
      <c r="E4" s="1"/>
      <c r="F4" s="1"/>
      <c r="H4" s="1"/>
      <c r="I4" s="3"/>
      <c r="J4" s="3"/>
      <c r="K4" s="3"/>
      <c r="L4" s="3"/>
      <c r="M4" s="3"/>
      <c r="N4" s="3"/>
      <c r="O4" s="3"/>
      <c r="P4" s="3"/>
    </row>
    <row r="5" spans="1:16" ht="15.4" x14ac:dyDescent="0.45">
      <c r="A5" s="1"/>
      <c r="B5" s="150"/>
      <c r="C5" s="22"/>
      <c r="D5" s="285" t="s">
        <v>74</v>
      </c>
      <c r="E5" s="285" t="s">
        <v>50</v>
      </c>
      <c r="F5" s="285" t="s">
        <v>48</v>
      </c>
      <c r="H5" s="7"/>
      <c r="I5" s="3"/>
      <c r="J5" s="3"/>
      <c r="K5" s="3"/>
      <c r="L5" s="3"/>
      <c r="M5" s="3"/>
      <c r="N5" s="3"/>
      <c r="O5" s="3"/>
      <c r="P5" s="3"/>
    </row>
    <row r="6" spans="1:16" ht="15.4" x14ac:dyDescent="0.45">
      <c r="A6" s="1"/>
      <c r="B6" s="1" t="s">
        <v>141</v>
      </c>
      <c r="C6" s="1"/>
      <c r="D6" s="3">
        <f>C19</f>
        <v>11563</v>
      </c>
      <c r="E6" s="76">
        <f>D19</f>
        <v>75331215</v>
      </c>
      <c r="F6" s="281">
        <f>F25</f>
        <v>1361573.6527999998</v>
      </c>
      <c r="H6" s="78"/>
      <c r="I6" s="3"/>
      <c r="J6" s="3"/>
      <c r="K6" s="3"/>
      <c r="L6" s="3"/>
      <c r="M6" s="3"/>
      <c r="N6" s="3"/>
      <c r="O6" s="3"/>
      <c r="P6" s="3"/>
    </row>
    <row r="7" spans="1:16" ht="15.4" x14ac:dyDescent="0.45">
      <c r="A7" s="1"/>
      <c r="B7" s="1"/>
      <c r="C7" s="146"/>
      <c r="D7" s="146"/>
      <c r="E7" s="147" t="s">
        <v>88</v>
      </c>
      <c r="F7" s="148">
        <f>F6</f>
        <v>1361573.6527999998</v>
      </c>
      <c r="H7" s="148"/>
      <c r="I7" s="236"/>
      <c r="J7" s="3"/>
      <c r="K7" s="3"/>
      <c r="L7" s="3"/>
      <c r="M7" s="3"/>
      <c r="N7" s="3"/>
      <c r="O7" s="3"/>
      <c r="P7" s="3"/>
    </row>
    <row r="8" spans="1:16" ht="15.4" x14ac:dyDescent="0.45">
      <c r="A8" s="1"/>
      <c r="B8" s="1"/>
      <c r="C8" s="146"/>
      <c r="D8" s="146"/>
      <c r="E8" s="147" t="s">
        <v>169</v>
      </c>
      <c r="F8" s="280">
        <v>-62396.719999999987</v>
      </c>
      <c r="H8" s="148"/>
      <c r="I8" s="236"/>
      <c r="J8" s="3"/>
      <c r="K8" s="3"/>
      <c r="L8" s="3"/>
      <c r="M8" s="3"/>
      <c r="N8" s="3"/>
      <c r="O8" s="3"/>
      <c r="P8" s="3"/>
    </row>
    <row r="9" spans="1:16" ht="15.4" x14ac:dyDescent="0.45">
      <c r="A9" s="1"/>
      <c r="B9" s="1"/>
      <c r="C9" s="146"/>
      <c r="D9" s="146"/>
      <c r="E9" s="147" t="s">
        <v>170</v>
      </c>
      <c r="F9" s="148">
        <f>F7+F8</f>
        <v>1299176.9327999998</v>
      </c>
      <c r="H9" s="148"/>
      <c r="I9" s="236"/>
      <c r="J9" s="3"/>
      <c r="K9" s="3"/>
      <c r="L9" s="3"/>
      <c r="M9" s="3"/>
      <c r="N9" s="3"/>
      <c r="O9" s="3"/>
      <c r="P9" s="3"/>
    </row>
    <row r="10" spans="1:16" ht="15.4" x14ac:dyDescent="0.45">
      <c r="A10" s="1"/>
      <c r="B10" s="1"/>
      <c r="C10" s="146"/>
      <c r="D10" s="146"/>
      <c r="E10" s="147" t="s">
        <v>171</v>
      </c>
      <c r="F10" s="280">
        <f>-SAOs!G45</f>
        <v>-1311246.7582166572</v>
      </c>
      <c r="H10" s="148"/>
      <c r="I10" s="236"/>
      <c r="J10" s="3"/>
      <c r="K10" s="3"/>
      <c r="L10" s="3"/>
      <c r="M10" s="3"/>
      <c r="N10" s="3"/>
      <c r="O10" s="3"/>
      <c r="P10" s="3"/>
    </row>
    <row r="11" spans="1:16" ht="15.4" x14ac:dyDescent="0.45">
      <c r="A11" s="1"/>
      <c r="B11" s="1"/>
      <c r="C11" s="146"/>
      <c r="D11" s="146"/>
      <c r="E11" s="147" t="s">
        <v>172</v>
      </c>
      <c r="F11" s="148">
        <f>F9+F10</f>
        <v>-12069.825416657375</v>
      </c>
      <c r="G11" s="254">
        <f>F11/F10</f>
        <v>9.2048467163211699E-3</v>
      </c>
      <c r="H11" s="148"/>
      <c r="I11" s="236"/>
      <c r="J11" s="3"/>
      <c r="K11" s="3"/>
      <c r="L11" s="3"/>
      <c r="M11" s="3"/>
      <c r="N11" s="3"/>
      <c r="O11" s="3"/>
      <c r="P11" s="3"/>
    </row>
    <row r="12" spans="1:16" ht="15.4" x14ac:dyDescent="0.45">
      <c r="A12" s="1"/>
      <c r="B12" s="1"/>
      <c r="C12" s="146"/>
      <c r="D12" s="146"/>
      <c r="E12" s="216"/>
      <c r="F12" s="148"/>
      <c r="H12" s="148"/>
      <c r="I12" s="236"/>
      <c r="J12" s="3"/>
      <c r="K12" s="3"/>
      <c r="L12" s="3"/>
      <c r="M12" s="3"/>
      <c r="N12" s="3"/>
      <c r="O12" s="3"/>
      <c r="P12" s="3"/>
    </row>
    <row r="13" spans="1:16" ht="15.4" x14ac:dyDescent="0.45">
      <c r="A13" s="1"/>
      <c r="B13" s="1"/>
      <c r="C13" s="1"/>
      <c r="D13" s="1"/>
      <c r="E13" s="1"/>
      <c r="F13" s="81"/>
      <c r="G13" s="81"/>
      <c r="H13" s="1"/>
      <c r="I13" s="3"/>
      <c r="J13" s="3"/>
      <c r="K13" s="3"/>
      <c r="L13" s="3"/>
      <c r="M13" s="3"/>
      <c r="N13" s="3"/>
      <c r="O13" s="3"/>
      <c r="P13" s="3"/>
    </row>
    <row r="14" spans="1:16" ht="15.75" x14ac:dyDescent="0.5">
      <c r="A14" s="143" t="s">
        <v>140</v>
      </c>
      <c r="B14" s="1"/>
      <c r="C14" s="1"/>
      <c r="D14" s="1"/>
      <c r="E14" s="1"/>
      <c r="F14" s="1"/>
      <c r="G14" s="1"/>
      <c r="H14" s="1"/>
      <c r="I14" s="3"/>
      <c r="J14" s="3"/>
      <c r="K14" s="3"/>
      <c r="L14" s="3"/>
      <c r="M14" s="3"/>
      <c r="N14" s="3"/>
      <c r="O14" s="3"/>
      <c r="P14" s="3"/>
    </row>
    <row r="15" spans="1:16" ht="15.4" x14ac:dyDescent="0.45">
      <c r="A15" s="1"/>
      <c r="B15" s="1"/>
      <c r="C15" s="1"/>
      <c r="D15" s="1"/>
      <c r="E15" s="2" t="s">
        <v>51</v>
      </c>
      <c r="F15" s="2" t="s">
        <v>52</v>
      </c>
      <c r="G15" s="1"/>
      <c r="I15" s="3"/>
      <c r="J15" s="3"/>
      <c r="K15" s="3"/>
      <c r="L15" s="3"/>
      <c r="M15" s="3"/>
      <c r="N15" s="3"/>
      <c r="O15" s="3"/>
      <c r="P15" s="3"/>
    </row>
    <row r="16" spans="1:16" ht="15.4" x14ac:dyDescent="0.45">
      <c r="A16" s="1"/>
      <c r="B16" s="285" t="s">
        <v>53</v>
      </c>
      <c r="C16" s="14" t="s">
        <v>54</v>
      </c>
      <c r="D16" s="14" t="s">
        <v>55</v>
      </c>
      <c r="E16" s="14">
        <f>B17</f>
        <v>2000</v>
      </c>
      <c r="F16" s="14">
        <f>B18</f>
        <v>2000</v>
      </c>
      <c r="G16" s="285" t="s">
        <v>56</v>
      </c>
      <c r="I16" s="3"/>
      <c r="J16" s="3"/>
      <c r="K16" s="3"/>
      <c r="L16" s="3"/>
      <c r="M16" s="3"/>
      <c r="N16" s="3"/>
      <c r="O16" s="3"/>
      <c r="P16" s="3"/>
    </row>
    <row r="17" spans="1:16" ht="15.4" x14ac:dyDescent="0.45">
      <c r="A17" s="15" t="s">
        <v>51</v>
      </c>
      <c r="B17" s="16">
        <v>2000</v>
      </c>
      <c r="C17" s="82">
        <f>ExBAs!C17</f>
        <v>3618</v>
      </c>
      <c r="D17" s="82">
        <f>ExBAs!D17</f>
        <v>3168423</v>
      </c>
      <c r="E17" s="82">
        <f>D17</f>
        <v>3168423</v>
      </c>
      <c r="F17" s="82">
        <v>0</v>
      </c>
      <c r="G17" s="82">
        <f>SUM(E17:F17)</f>
        <v>3168423</v>
      </c>
      <c r="I17" s="3"/>
      <c r="J17" s="3"/>
      <c r="K17" s="3"/>
      <c r="L17" s="3"/>
      <c r="M17" s="3"/>
      <c r="N17" s="3"/>
      <c r="O17" s="3"/>
      <c r="P17" s="3"/>
    </row>
    <row r="18" spans="1:16" ht="15.4" x14ac:dyDescent="0.45">
      <c r="A18" s="15" t="s">
        <v>52</v>
      </c>
      <c r="B18" s="18">
        <v>2000</v>
      </c>
      <c r="C18" s="83">
        <f>ExBAs!C18</f>
        <v>7945</v>
      </c>
      <c r="D18" s="83">
        <f>ExBAs!D18</f>
        <v>72162792</v>
      </c>
      <c r="E18" s="83">
        <f>C18*E$16</f>
        <v>15890000</v>
      </c>
      <c r="F18" s="83">
        <f>D18-E18</f>
        <v>56272792</v>
      </c>
      <c r="G18" s="83">
        <f>SUM(E18:F18)</f>
        <v>72162792</v>
      </c>
      <c r="I18" s="3"/>
      <c r="J18" s="3"/>
      <c r="K18" s="3"/>
      <c r="L18" s="3"/>
      <c r="M18" s="3"/>
      <c r="N18" s="3"/>
      <c r="O18" s="3"/>
      <c r="P18" s="3"/>
    </row>
    <row r="19" spans="1:16" ht="15.4" x14ac:dyDescent="0.45">
      <c r="A19" s="15"/>
      <c r="B19" s="16"/>
      <c r="C19" s="84">
        <f>SUM(C17:C18)</f>
        <v>11563</v>
      </c>
      <c r="D19" s="84">
        <f>SUM(D17:D18)</f>
        <v>75331215</v>
      </c>
      <c r="E19" s="84">
        <f>SUM(E17:E18)</f>
        <v>19058423</v>
      </c>
      <c r="F19" s="84">
        <f>SUM(F17:F18)</f>
        <v>56272792</v>
      </c>
      <c r="G19" s="84">
        <f>SUM(G17:G18)</f>
        <v>75331215</v>
      </c>
      <c r="I19" s="3"/>
      <c r="J19" s="3"/>
      <c r="K19" s="3"/>
      <c r="L19" s="3"/>
      <c r="M19" s="3"/>
      <c r="N19" s="3"/>
      <c r="O19" s="3"/>
      <c r="P19" s="3"/>
    </row>
    <row r="20" spans="1:16" ht="15.4" x14ac:dyDescent="0.45">
      <c r="A20" s="15"/>
      <c r="B20" s="16"/>
      <c r="C20" s="1"/>
      <c r="D20" s="16"/>
      <c r="E20" s="16"/>
      <c r="F20" s="16"/>
      <c r="G20" s="16"/>
      <c r="H20" s="16"/>
      <c r="I20" s="3"/>
      <c r="J20" s="3"/>
      <c r="K20" s="3"/>
      <c r="L20" s="3"/>
      <c r="M20" s="3"/>
      <c r="N20" s="3"/>
      <c r="O20" s="3"/>
      <c r="P20" s="3"/>
    </row>
    <row r="21" spans="1:16" ht="15.4" x14ac:dyDescent="0.45">
      <c r="A21" s="20" t="s">
        <v>57</v>
      </c>
      <c r="B21" s="20"/>
      <c r="C21" s="1"/>
      <c r="D21" s="16"/>
      <c r="E21" s="16"/>
      <c r="F21" s="16"/>
      <c r="G21" s="16"/>
      <c r="H21" s="16"/>
      <c r="I21" s="3"/>
      <c r="J21" s="3"/>
      <c r="K21" s="3"/>
      <c r="L21" s="3"/>
      <c r="M21" s="3"/>
      <c r="N21" s="3"/>
      <c r="O21" s="3"/>
      <c r="P21" s="3"/>
    </row>
    <row r="22" spans="1:16" ht="15.4" x14ac:dyDescent="0.45">
      <c r="A22" s="15"/>
      <c r="B22" s="285"/>
      <c r="C22" s="14" t="s">
        <v>54</v>
      </c>
      <c r="D22" s="285" t="s">
        <v>55</v>
      </c>
      <c r="E22" s="14" t="s">
        <v>58</v>
      </c>
      <c r="F22" s="14" t="s">
        <v>59</v>
      </c>
      <c r="G22" s="16"/>
      <c r="H22" s="16"/>
      <c r="I22" s="3"/>
      <c r="J22" s="3"/>
      <c r="K22" s="3"/>
      <c r="L22" s="3"/>
      <c r="M22" s="3"/>
      <c r="N22" s="3"/>
      <c r="O22" s="3"/>
      <c r="P22" s="3"/>
    </row>
    <row r="23" spans="1:16" ht="15.4" x14ac:dyDescent="0.45">
      <c r="A23" s="15" t="s">
        <v>51</v>
      </c>
      <c r="B23" s="16">
        <f>B17</f>
        <v>2000</v>
      </c>
      <c r="C23" s="17">
        <f>C19</f>
        <v>11563</v>
      </c>
      <c r="D23" s="82">
        <f>E19</f>
        <v>19058423</v>
      </c>
      <c r="E23" s="206">
        <f>RatesS!L13</f>
        <v>34.29</v>
      </c>
      <c r="F23" s="205">
        <f>E23*C23</f>
        <v>396495.27</v>
      </c>
      <c r="G23" s="16"/>
      <c r="H23" s="1"/>
      <c r="I23" s="3"/>
      <c r="J23" s="3"/>
      <c r="K23" s="3"/>
      <c r="L23" s="3"/>
      <c r="M23" s="3"/>
      <c r="N23" s="3"/>
      <c r="O23" s="3"/>
      <c r="P23" s="3"/>
    </row>
    <row r="24" spans="1:16" ht="15.4" x14ac:dyDescent="0.45">
      <c r="A24" s="15" t="s">
        <v>52</v>
      </c>
      <c r="B24" s="18">
        <f>B18</f>
        <v>2000</v>
      </c>
      <c r="C24" s="22"/>
      <c r="D24" s="83">
        <f>F19</f>
        <v>56272792</v>
      </c>
      <c r="E24" s="279">
        <f>RatesS!L14</f>
        <v>1.7149999999999999E-2</v>
      </c>
      <c r="F24" s="89">
        <f>E24*D24</f>
        <v>965078.3827999999</v>
      </c>
      <c r="G24" s="16"/>
      <c r="H24" s="1"/>
      <c r="I24" s="3"/>
      <c r="J24" s="3"/>
      <c r="K24" s="3"/>
      <c r="L24" s="3"/>
      <c r="M24" s="3"/>
      <c r="N24" s="3"/>
      <c r="O24" s="3"/>
      <c r="P24" s="3"/>
    </row>
    <row r="25" spans="1:16" ht="15.4" x14ac:dyDescent="0.45">
      <c r="A25" s="15"/>
      <c r="B25" s="16" t="s">
        <v>56</v>
      </c>
      <c r="C25" s="3">
        <f>SUM(C23:C24)</f>
        <v>11563</v>
      </c>
      <c r="D25" s="84">
        <f>SUM(D23:D24)</f>
        <v>75331215</v>
      </c>
      <c r="E25" s="1"/>
      <c r="F25" s="205">
        <f>SUM(F23:F24)</f>
        <v>1361573.6527999998</v>
      </c>
      <c r="G25" s="16"/>
      <c r="H25" s="16"/>
      <c r="I25" s="3"/>
      <c r="J25" s="3"/>
      <c r="K25" s="3"/>
      <c r="L25" s="3"/>
      <c r="M25" s="3"/>
      <c r="N25" s="3"/>
      <c r="O25" s="3"/>
      <c r="P25" s="3"/>
    </row>
    <row r="26" spans="1:16" ht="15.4" x14ac:dyDescent="0.45">
      <c r="I26" s="3"/>
      <c r="J26" s="3"/>
      <c r="K26" s="3"/>
      <c r="L26" s="3"/>
      <c r="M26" s="3"/>
      <c r="N26" s="3"/>
      <c r="O26" s="3"/>
      <c r="P26" s="3"/>
    </row>
    <row r="27" spans="1:16" ht="15.4" x14ac:dyDescent="0.45">
      <c r="I27" s="3"/>
      <c r="J27" s="3"/>
      <c r="K27" s="3"/>
      <c r="L27" s="3"/>
      <c r="M27" s="3"/>
      <c r="N27" s="3"/>
      <c r="O27" s="3"/>
      <c r="P27" s="3"/>
    </row>
    <row r="28" spans="1:16" ht="15.4" x14ac:dyDescent="0.45">
      <c r="I28" s="3"/>
      <c r="J28" s="3"/>
      <c r="K28" s="3"/>
      <c r="L28" s="3"/>
      <c r="M28" s="3"/>
      <c r="N28" s="3"/>
      <c r="O28" s="3"/>
      <c r="P28" s="3"/>
    </row>
    <row r="29" spans="1:16" ht="15.4" x14ac:dyDescent="0.45">
      <c r="I29" s="3"/>
      <c r="J29" s="3"/>
      <c r="K29" s="3"/>
      <c r="L29" s="3"/>
      <c r="M29" s="3"/>
      <c r="N29" s="3"/>
      <c r="O29" s="3"/>
      <c r="P29" s="3"/>
    </row>
    <row r="30" spans="1:16" x14ac:dyDescent="0.4">
      <c r="I30" s="235"/>
      <c r="J30" s="235"/>
      <c r="K30" s="235"/>
      <c r="L30" s="235"/>
      <c r="M30" s="235"/>
      <c r="N30" s="235"/>
      <c r="O30" s="235"/>
      <c r="P30" s="235"/>
    </row>
  </sheetData>
  <mergeCells count="2">
    <mergeCell ref="A1:G1"/>
    <mergeCell ref="A2:G2"/>
  </mergeCells>
  <printOptions horizontalCentered="1"/>
  <pageMargins left="0.85" right="0.7" top="1.2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9"/>
  <sheetViews>
    <sheetView showGridLines="0" topLeftCell="A34" workbookViewId="0">
      <selection activeCell="G48" sqref="A1:G48"/>
    </sheetView>
  </sheetViews>
  <sheetFormatPr defaultColWidth="8.77734375" defaultRowHeight="14.25" x14ac:dyDescent="0.45"/>
  <cols>
    <col min="1" max="1" width="3.6640625" style="3" customWidth="1"/>
    <col min="2" max="2" width="2.6640625" style="3" customWidth="1"/>
    <col min="3" max="3" width="33.33203125" style="3" customWidth="1"/>
    <col min="4" max="4" width="9.77734375" style="3" customWidth="1"/>
    <col min="5" max="5" width="10.21875" style="3" customWidth="1"/>
    <col min="6" max="6" width="4.88671875" style="165" customWidth="1"/>
    <col min="7" max="7" width="9.77734375" style="3" customWidth="1"/>
    <col min="8" max="8" width="4" style="3" customWidth="1"/>
    <col min="9" max="12" width="8.77734375" style="3"/>
    <col min="13" max="13" width="5.44140625" style="3" customWidth="1"/>
    <col min="14" max="16384" width="8.77734375" style="3"/>
  </cols>
  <sheetData>
    <row r="1" spans="1:9" ht="18" x14ac:dyDescent="0.45">
      <c r="A1" s="402" t="s">
        <v>33</v>
      </c>
      <c r="B1" s="402"/>
      <c r="C1" s="402"/>
      <c r="D1" s="402"/>
      <c r="E1" s="402"/>
      <c r="F1" s="402"/>
      <c r="G1" s="402"/>
    </row>
    <row r="2" spans="1:9" ht="18" x14ac:dyDescent="0.45">
      <c r="A2" s="402" t="s">
        <v>150</v>
      </c>
      <c r="B2" s="402"/>
      <c r="C2" s="402"/>
      <c r="D2" s="402"/>
      <c r="E2" s="402"/>
      <c r="F2" s="402"/>
      <c r="G2" s="402"/>
    </row>
    <row r="3" spans="1:9" ht="18" x14ac:dyDescent="0.45">
      <c r="A3" s="402" t="s">
        <v>122</v>
      </c>
      <c r="B3" s="402"/>
      <c r="C3" s="402"/>
      <c r="D3" s="402"/>
      <c r="E3" s="402"/>
      <c r="F3" s="402"/>
      <c r="G3" s="402"/>
    </row>
    <row r="5" spans="1:9" x14ac:dyDescent="0.45">
      <c r="D5" s="178" t="s">
        <v>84</v>
      </c>
      <c r="E5" s="178" t="s">
        <v>31</v>
      </c>
      <c r="F5" s="365" t="s">
        <v>47</v>
      </c>
      <c r="G5" s="178" t="s">
        <v>83</v>
      </c>
    </row>
    <row r="6" spans="1:9" x14ac:dyDescent="0.45">
      <c r="A6" s="179" t="s">
        <v>11</v>
      </c>
      <c r="B6" s="33"/>
      <c r="C6" s="33"/>
    </row>
    <row r="7" spans="1:9" x14ac:dyDescent="0.45">
      <c r="A7" s="33"/>
      <c r="B7" s="33" t="s">
        <v>107</v>
      </c>
      <c r="C7" s="33"/>
      <c r="D7" s="3">
        <v>983137</v>
      </c>
      <c r="E7" s="3">
        <f>ExBAs!F11</f>
        <v>19998.068639999954</v>
      </c>
      <c r="F7" s="165" t="s">
        <v>322</v>
      </c>
      <c r="G7" s="3">
        <f>D7+E7</f>
        <v>1003135.06864</v>
      </c>
      <c r="H7" s="40"/>
      <c r="I7" s="379" t="s">
        <v>333</v>
      </c>
    </row>
    <row r="8" spans="1:9" x14ac:dyDescent="0.45">
      <c r="A8" s="33"/>
      <c r="B8" s="33" t="s">
        <v>108</v>
      </c>
      <c r="C8" s="33"/>
      <c r="D8" s="3">
        <v>15728</v>
      </c>
      <c r="E8" s="393">
        <v>-1987.88</v>
      </c>
      <c r="F8" s="165" t="s">
        <v>323</v>
      </c>
      <c r="H8" s="40"/>
      <c r="I8" s="375" t="s">
        <v>245</v>
      </c>
    </row>
    <row r="9" spans="1:9" x14ac:dyDescent="0.45">
      <c r="A9" s="33"/>
      <c r="C9" s="33"/>
      <c r="D9" s="6">
        <v>0</v>
      </c>
      <c r="E9" s="393">
        <f>-Penalties!C5</f>
        <v>-7398.59</v>
      </c>
      <c r="F9" s="278" t="s">
        <v>341</v>
      </c>
      <c r="G9" s="6">
        <f>D8+E8+E9</f>
        <v>6341.5299999999988</v>
      </c>
      <c r="H9" s="40"/>
      <c r="I9" s="375" t="s">
        <v>345</v>
      </c>
    </row>
    <row r="10" spans="1:9" ht="16.5" x14ac:dyDescent="0.75">
      <c r="A10" s="33"/>
      <c r="B10" s="3" t="s">
        <v>38</v>
      </c>
      <c r="C10" s="33"/>
      <c r="D10" s="394">
        <v>0</v>
      </c>
      <c r="E10" s="395">
        <f>Penalties!B5</f>
        <v>16749.37</v>
      </c>
      <c r="F10" s="278" t="s">
        <v>342</v>
      </c>
      <c r="G10" s="394">
        <f>D10+E10</f>
        <v>16749.37</v>
      </c>
      <c r="H10" s="40"/>
      <c r="I10" s="375" t="s">
        <v>343</v>
      </c>
    </row>
    <row r="11" spans="1:9" x14ac:dyDescent="0.45">
      <c r="A11" s="180" t="s">
        <v>12</v>
      </c>
      <c r="B11" s="33"/>
      <c r="C11" s="33"/>
      <c r="D11" s="3">
        <f>SUM(D7:D10)</f>
        <v>998865</v>
      </c>
      <c r="E11" s="3">
        <f>SUM(E7:E10)</f>
        <v>27360.968639999952</v>
      </c>
      <c r="G11" s="3">
        <f>SUM(G7:G10)</f>
        <v>1026225.96864</v>
      </c>
    </row>
    <row r="12" spans="1:9" x14ac:dyDescent="0.45">
      <c r="A12" s="33"/>
      <c r="B12" s="33"/>
      <c r="C12" s="33"/>
    </row>
    <row r="13" spans="1:9" x14ac:dyDescent="0.45">
      <c r="A13" s="179" t="s">
        <v>13</v>
      </c>
      <c r="B13" s="33"/>
      <c r="C13" s="33"/>
    </row>
    <row r="14" spans="1:9" x14ac:dyDescent="0.45">
      <c r="A14" s="33"/>
      <c r="B14" s="33" t="s">
        <v>109</v>
      </c>
      <c r="C14" s="33"/>
    </row>
    <row r="15" spans="1:9" x14ac:dyDescent="0.45">
      <c r="A15" s="33"/>
      <c r="B15" s="33"/>
      <c r="C15" s="3" t="s">
        <v>153</v>
      </c>
      <c r="D15" s="3">
        <v>29931</v>
      </c>
      <c r="G15" s="3">
        <f t="shared" ref="G15:G29" si="0">D15+E15</f>
        <v>29931</v>
      </c>
      <c r="H15" s="40"/>
    </row>
    <row r="16" spans="1:9" x14ac:dyDescent="0.45">
      <c r="A16" s="33"/>
      <c r="B16" s="33"/>
      <c r="C16" s="33" t="s">
        <v>110</v>
      </c>
      <c r="D16" s="3">
        <v>602511</v>
      </c>
      <c r="G16" s="3">
        <f t="shared" si="0"/>
        <v>602511</v>
      </c>
      <c r="H16" s="40"/>
    </row>
    <row r="17" spans="1:13" x14ac:dyDescent="0.45">
      <c r="A17" s="33"/>
      <c r="B17" s="33" t="s">
        <v>111</v>
      </c>
      <c r="C17" s="33"/>
    </row>
    <row r="18" spans="1:13" x14ac:dyDescent="0.45">
      <c r="A18" s="33"/>
      <c r="B18" s="33"/>
      <c r="C18" s="33" t="s">
        <v>112</v>
      </c>
      <c r="D18" s="3">
        <v>133514</v>
      </c>
      <c r="G18" s="3">
        <f t="shared" ref="G18" si="1">D18+E18</f>
        <v>133514</v>
      </c>
    </row>
    <row r="19" spans="1:13" x14ac:dyDescent="0.45">
      <c r="A19" s="33"/>
      <c r="B19" s="33" t="s">
        <v>154</v>
      </c>
      <c r="C19" s="33" t="s">
        <v>38</v>
      </c>
    </row>
    <row r="20" spans="1:13" x14ac:dyDescent="0.45">
      <c r="A20" s="33"/>
      <c r="B20" s="33"/>
      <c r="C20" s="33" t="s">
        <v>155</v>
      </c>
      <c r="D20" s="3">
        <v>5420</v>
      </c>
      <c r="G20" s="3">
        <f t="shared" si="0"/>
        <v>5420</v>
      </c>
    </row>
    <row r="21" spans="1:13" x14ac:dyDescent="0.45">
      <c r="A21" s="33"/>
      <c r="B21" s="33"/>
      <c r="C21" s="33" t="s">
        <v>156</v>
      </c>
      <c r="D21" s="3">
        <v>15809</v>
      </c>
      <c r="G21" s="3">
        <f t="shared" si="0"/>
        <v>15809</v>
      </c>
    </row>
    <row r="22" spans="1:13" x14ac:dyDescent="0.45">
      <c r="A22" s="33"/>
      <c r="B22" s="33" t="s">
        <v>113</v>
      </c>
      <c r="C22" s="33"/>
      <c r="M22" s="40"/>
    </row>
    <row r="23" spans="1:13" x14ac:dyDescent="0.45">
      <c r="A23" s="33"/>
      <c r="B23" s="33"/>
      <c r="C23" s="33" t="s">
        <v>157</v>
      </c>
      <c r="D23" s="3">
        <v>163161</v>
      </c>
      <c r="E23" s="3">
        <f>Wages!F19</f>
        <v>-12438.283758000001</v>
      </c>
      <c r="F23" s="165" t="s">
        <v>263</v>
      </c>
      <c r="G23" s="3">
        <f t="shared" si="0"/>
        <v>150722.71624199999</v>
      </c>
      <c r="I23" s="33" t="s">
        <v>286</v>
      </c>
      <c r="M23" s="40"/>
    </row>
    <row r="24" spans="1:13" x14ac:dyDescent="0.45">
      <c r="A24" s="33"/>
      <c r="B24" s="33"/>
      <c r="C24" s="33" t="s">
        <v>114</v>
      </c>
      <c r="D24" s="3">
        <v>9341</v>
      </c>
      <c r="G24" s="3">
        <f t="shared" si="0"/>
        <v>9341</v>
      </c>
      <c r="H24" s="40"/>
      <c r="M24" s="40"/>
    </row>
    <row r="25" spans="1:13" x14ac:dyDescent="0.45">
      <c r="A25" s="33"/>
      <c r="B25" s="33"/>
      <c r="C25" s="33" t="s">
        <v>115</v>
      </c>
      <c r="D25" s="3">
        <v>11783</v>
      </c>
      <c r="G25" s="3">
        <f t="shared" si="0"/>
        <v>11783</v>
      </c>
      <c r="M25" s="40"/>
    </row>
    <row r="26" spans="1:13" x14ac:dyDescent="0.45">
      <c r="A26" s="33"/>
      <c r="B26" s="33"/>
      <c r="C26" s="33" t="s">
        <v>158</v>
      </c>
      <c r="D26" s="3">
        <v>8618</v>
      </c>
      <c r="G26" s="3">
        <f t="shared" si="0"/>
        <v>8618</v>
      </c>
      <c r="M26" s="40"/>
    </row>
    <row r="27" spans="1:13" ht="16.5" x14ac:dyDescent="0.75">
      <c r="A27" s="33"/>
      <c r="B27" s="33"/>
      <c r="C27" s="33" t="s">
        <v>25</v>
      </c>
      <c r="D27" s="3">
        <v>20185</v>
      </c>
      <c r="E27" s="3">
        <f>Medical!K25</f>
        <v>-1257.3518788799997</v>
      </c>
      <c r="F27" s="165" t="s">
        <v>285</v>
      </c>
      <c r="H27" s="40"/>
      <c r="I27" s="33" t="s">
        <v>317</v>
      </c>
      <c r="L27" s="73"/>
      <c r="M27" s="40"/>
    </row>
    <row r="28" spans="1:13" ht="16.5" x14ac:dyDescent="0.75">
      <c r="A28" s="33"/>
      <c r="B28" s="33"/>
      <c r="C28" s="33"/>
      <c r="E28" s="3">
        <f>Wages!F39</f>
        <v>932.87881229999959</v>
      </c>
      <c r="F28" s="165" t="s">
        <v>324</v>
      </c>
      <c r="G28" s="3">
        <f>D27+E27+E28</f>
        <v>19860.526933420002</v>
      </c>
      <c r="H28" s="40"/>
      <c r="I28" s="33" t="s">
        <v>321</v>
      </c>
      <c r="L28" s="73"/>
      <c r="M28" s="40"/>
    </row>
    <row r="29" spans="1:13" x14ac:dyDescent="0.45">
      <c r="A29" s="33"/>
      <c r="B29" s="33"/>
      <c r="C29" s="33" t="s">
        <v>116</v>
      </c>
      <c r="D29" s="3">
        <v>1652</v>
      </c>
      <c r="G29" s="3">
        <f t="shared" si="0"/>
        <v>1652</v>
      </c>
    </row>
    <row r="30" spans="1:13" x14ac:dyDescent="0.45">
      <c r="A30" s="33"/>
      <c r="B30" s="33"/>
      <c r="C30" s="33" t="s">
        <v>117</v>
      </c>
      <c r="D30" s="3">
        <v>23833</v>
      </c>
      <c r="E30" s="3">
        <v>-16071.31</v>
      </c>
      <c r="F30" s="165" t="s">
        <v>337</v>
      </c>
      <c r="I30" s="375" t="s">
        <v>336</v>
      </c>
    </row>
    <row r="31" spans="1:13" ht="16.5" x14ac:dyDescent="0.75">
      <c r="A31" s="33"/>
      <c r="B31" s="33"/>
      <c r="C31" s="33"/>
      <c r="D31" s="73">
        <v>0</v>
      </c>
      <c r="E31" s="73">
        <v>-32989.120000000003</v>
      </c>
      <c r="F31" s="165" t="s">
        <v>346</v>
      </c>
      <c r="G31" s="73">
        <f>D30+E30+E31</f>
        <v>-25227.43</v>
      </c>
      <c r="I31" s="375" t="s">
        <v>347</v>
      </c>
    </row>
    <row r="32" spans="1:13" ht="16.5" x14ac:dyDescent="0.75">
      <c r="A32" s="33"/>
      <c r="B32" s="180" t="s">
        <v>118</v>
      </c>
      <c r="C32" s="33"/>
      <c r="D32" s="73">
        <f>SUM(D15:D31)</f>
        <v>1025758</v>
      </c>
      <c r="E32" s="73">
        <f>SUM(E15:E31)</f>
        <v>-61823.18682458</v>
      </c>
      <c r="G32" s="73">
        <f>SUM(G15:G31)</f>
        <v>963934.81317541993</v>
      </c>
    </row>
    <row r="33" spans="1:18" x14ac:dyDescent="0.45">
      <c r="A33" s="33"/>
      <c r="B33" s="33" t="s">
        <v>21</v>
      </c>
      <c r="C33" s="33"/>
      <c r="D33" s="3">
        <v>282732</v>
      </c>
      <c r="E33" s="3">
        <f>Depreciation!K66</f>
        <v>3078.6247619047845</v>
      </c>
      <c r="F33" s="165" t="s">
        <v>328</v>
      </c>
      <c r="G33" s="3">
        <f t="shared" ref="G33" si="2">D33+E33</f>
        <v>285810.62476190476</v>
      </c>
      <c r="H33" s="40"/>
      <c r="I33" s="33" t="s">
        <v>329</v>
      </c>
    </row>
    <row r="34" spans="1:18" ht="16.5" x14ac:dyDescent="0.75">
      <c r="A34" s="33"/>
      <c r="B34" s="33" t="s">
        <v>22</v>
      </c>
      <c r="C34" s="33"/>
      <c r="D34" s="73">
        <v>0</v>
      </c>
      <c r="E34" s="3">
        <f>Wages!F29</f>
        <v>-714.78132066750072</v>
      </c>
      <c r="F34" s="165" t="s">
        <v>325</v>
      </c>
      <c r="G34" s="73">
        <f>D34+E34</f>
        <v>-714.78132066750072</v>
      </c>
      <c r="H34" s="40"/>
      <c r="I34" s="33" t="s">
        <v>330</v>
      </c>
    </row>
    <row r="35" spans="1:18" ht="16.5" x14ac:dyDescent="0.75">
      <c r="A35" s="180" t="s">
        <v>14</v>
      </c>
      <c r="B35" s="33"/>
      <c r="C35" s="33"/>
      <c r="D35" s="73">
        <f>SUM(D32:D34)</f>
        <v>1308490</v>
      </c>
      <c r="E35" s="73">
        <f>SUM(E32:E34)</f>
        <v>-59459.343383342712</v>
      </c>
      <c r="G35" s="73">
        <f>SUM(G32:G34)</f>
        <v>1249030.656616657</v>
      </c>
    </row>
    <row r="36" spans="1:18" x14ac:dyDescent="0.45">
      <c r="A36" s="180" t="s">
        <v>35</v>
      </c>
      <c r="B36" s="33"/>
      <c r="C36" s="33"/>
      <c r="D36" s="3">
        <f>D11-D35</f>
        <v>-309625</v>
      </c>
      <c r="E36" s="3">
        <f>E11-E35</f>
        <v>86820.31202334266</v>
      </c>
      <c r="G36" s="3">
        <f>G11-G35</f>
        <v>-222804.68797665706</v>
      </c>
      <c r="I36" s="236"/>
      <c r="J36" s="236"/>
      <c r="K36" s="236"/>
      <c r="L36" s="236"/>
      <c r="M36" s="236"/>
      <c r="N36" s="236"/>
      <c r="O36" s="236"/>
    </row>
    <row r="37" spans="1:18" x14ac:dyDescent="0.45">
      <c r="A37" s="33"/>
      <c r="B37" s="33"/>
      <c r="C37" s="33"/>
      <c r="I37" s="236"/>
      <c r="J37" s="236"/>
      <c r="K37" s="236"/>
      <c r="L37" s="236"/>
      <c r="M37" s="236"/>
      <c r="N37" s="236"/>
      <c r="O37" s="236"/>
      <c r="R37" s="3" t="e">
        <f>PropBAs!#REF!</f>
        <v>#REF!</v>
      </c>
    </row>
    <row r="38" spans="1:18" x14ac:dyDescent="0.45">
      <c r="A38" s="403" t="s">
        <v>45</v>
      </c>
      <c r="B38" s="403"/>
      <c r="C38" s="403"/>
      <c r="D38" s="403"/>
      <c r="E38" s="403"/>
      <c r="F38" s="403"/>
      <c r="G38" s="403"/>
      <c r="I38" s="236"/>
      <c r="J38" s="236"/>
      <c r="K38" s="236"/>
      <c r="L38" s="236"/>
      <c r="M38" s="236"/>
      <c r="N38" s="236"/>
      <c r="O38" s="236"/>
    </row>
    <row r="39" spans="1:18" x14ac:dyDescent="0.45">
      <c r="A39" s="180" t="s">
        <v>15</v>
      </c>
      <c r="B39" s="33"/>
      <c r="C39" s="33"/>
      <c r="G39" s="78">
        <f>G35</f>
        <v>1249030.656616657</v>
      </c>
      <c r="I39" s="236"/>
      <c r="J39" s="236"/>
      <c r="K39" s="236"/>
      <c r="L39" s="236"/>
      <c r="M39" s="236"/>
      <c r="N39" s="236"/>
      <c r="O39" s="236"/>
      <c r="Q39" s="3">
        <f>G39</f>
        <v>1249030.656616657</v>
      </c>
    </row>
    <row r="40" spans="1:18" ht="16.5" x14ac:dyDescent="0.75">
      <c r="A40" s="33" t="s">
        <v>89</v>
      </c>
      <c r="B40" s="33"/>
      <c r="C40" s="33" t="s">
        <v>119</v>
      </c>
      <c r="F40" s="165" t="s">
        <v>326</v>
      </c>
      <c r="G40" s="3">
        <f>'Debt Service'!M33</f>
        <v>71306.667999999991</v>
      </c>
      <c r="I40" s="149"/>
      <c r="J40" s="236"/>
      <c r="K40" s="236"/>
      <c r="L40" s="236"/>
      <c r="M40" s="236"/>
      <c r="N40" s="236"/>
      <c r="O40" s="236"/>
      <c r="Q40" s="3">
        <f t="shared" ref="Q40" si="3">G40</f>
        <v>71306.667999999991</v>
      </c>
    </row>
    <row r="41" spans="1:18" ht="16.5" x14ac:dyDescent="0.75">
      <c r="A41" s="33"/>
      <c r="B41" s="33"/>
      <c r="C41" s="33" t="s">
        <v>30</v>
      </c>
      <c r="F41" s="165" t="s">
        <v>327</v>
      </c>
      <c r="G41" s="73">
        <f>'Debt Service'!M34</f>
        <v>14261.333599999998</v>
      </c>
      <c r="I41" s="236"/>
      <c r="J41" s="236"/>
      <c r="K41" s="236"/>
      <c r="L41" s="236"/>
      <c r="M41" s="236"/>
      <c r="N41" s="236"/>
      <c r="O41" s="236"/>
      <c r="Q41" s="73">
        <v>0</v>
      </c>
    </row>
    <row r="42" spans="1:18" x14ac:dyDescent="0.45">
      <c r="A42" s="180" t="s">
        <v>36</v>
      </c>
      <c r="B42" s="33"/>
      <c r="C42" s="33"/>
      <c r="G42" s="78">
        <f>SUM(G39:G41)</f>
        <v>1334598.6582166571</v>
      </c>
      <c r="I42" s="236"/>
      <c r="J42" s="236"/>
      <c r="K42" s="236"/>
      <c r="L42" s="236"/>
      <c r="M42" s="236"/>
      <c r="N42" s="236"/>
      <c r="O42" s="236"/>
      <c r="Q42" s="3">
        <f>SUM(Q39:Q41)</f>
        <v>1320337.3246166571</v>
      </c>
    </row>
    <row r="43" spans="1:18" x14ac:dyDescent="0.45">
      <c r="A43" s="33" t="s">
        <v>90</v>
      </c>
      <c r="B43" s="33"/>
      <c r="C43" s="33" t="s">
        <v>18</v>
      </c>
      <c r="G43" s="3">
        <f>-SUM(G8:G10)</f>
        <v>-23090.899999999998</v>
      </c>
      <c r="I43" s="236"/>
      <c r="J43" s="236"/>
      <c r="K43" s="236"/>
      <c r="L43" s="236"/>
      <c r="M43" s="236"/>
      <c r="N43" s="236"/>
      <c r="O43" s="236"/>
      <c r="Q43" s="3">
        <f>G43</f>
        <v>-23090.899999999998</v>
      </c>
    </row>
    <row r="44" spans="1:18" ht="16.5" x14ac:dyDescent="0.75">
      <c r="A44" s="33"/>
      <c r="B44" s="33"/>
      <c r="C44" s="33" t="s">
        <v>120</v>
      </c>
      <c r="G44" s="73">
        <v>-261</v>
      </c>
      <c r="I44" s="236"/>
      <c r="J44" s="236"/>
      <c r="K44" s="236"/>
      <c r="L44" s="236"/>
      <c r="M44" s="236"/>
      <c r="N44" s="236"/>
      <c r="O44" s="236"/>
      <c r="Q44" s="73">
        <f>-G33</f>
        <v>-285810.62476190476</v>
      </c>
    </row>
    <row r="45" spans="1:18" ht="16.5" x14ac:dyDescent="0.75">
      <c r="A45" s="180" t="s">
        <v>149</v>
      </c>
      <c r="B45" s="33"/>
      <c r="C45" s="33"/>
      <c r="G45" s="78">
        <f>G42+G43+G44</f>
        <v>1311246.7582166572</v>
      </c>
      <c r="I45" s="148"/>
      <c r="J45" s="236"/>
      <c r="K45" s="236"/>
      <c r="L45" s="236"/>
      <c r="M45" s="236"/>
      <c r="N45" s="236"/>
      <c r="O45" s="236"/>
      <c r="R45" s="73">
        <f>SUM(Q42:Q44)</f>
        <v>1011435.7998547524</v>
      </c>
    </row>
    <row r="46" spans="1:18" ht="16.5" x14ac:dyDescent="0.75">
      <c r="A46" s="33" t="s">
        <v>90</v>
      </c>
      <c r="B46" s="33"/>
      <c r="C46" s="33" t="s">
        <v>37</v>
      </c>
      <c r="G46" s="73">
        <f>-G11</f>
        <v>-1026225.96864</v>
      </c>
      <c r="I46" s="236"/>
      <c r="J46" s="236"/>
      <c r="K46" s="236"/>
      <c r="L46" s="236"/>
      <c r="M46" s="249"/>
      <c r="N46" s="236"/>
      <c r="O46" s="236"/>
      <c r="R46" s="3" t="e">
        <f>R37-R45</f>
        <v>#REF!</v>
      </c>
    </row>
    <row r="47" spans="1:18" x14ac:dyDescent="0.45">
      <c r="A47" s="180" t="s">
        <v>16</v>
      </c>
      <c r="B47" s="33"/>
      <c r="C47" s="33"/>
      <c r="G47" s="78">
        <f>+G45+G46</f>
        <v>285020.78957665723</v>
      </c>
      <c r="I47" s="236"/>
      <c r="J47" s="236"/>
      <c r="K47" s="236"/>
      <c r="L47" s="236"/>
      <c r="M47" s="236"/>
      <c r="N47" s="236"/>
      <c r="O47" s="236"/>
    </row>
    <row r="48" spans="1:18" ht="15.4" x14ac:dyDescent="0.45">
      <c r="A48" s="180" t="s">
        <v>17</v>
      </c>
      <c r="B48" s="33"/>
      <c r="C48" s="33"/>
      <c r="G48" s="287">
        <f>ROUND(G47/-G46,4)</f>
        <v>0.2777</v>
      </c>
      <c r="H48"/>
      <c r="I48" s="250"/>
      <c r="J48" s="250"/>
      <c r="K48" s="236"/>
      <c r="L48" s="236"/>
      <c r="M48" s="236"/>
      <c r="N48" s="236"/>
      <c r="O48" s="236"/>
    </row>
    <row r="49" spans="1:3" x14ac:dyDescent="0.45">
      <c r="A49" s="180"/>
      <c r="B49" s="33"/>
      <c r="C49" s="33"/>
    </row>
  </sheetData>
  <mergeCells count="4">
    <mergeCell ref="A2:G2"/>
    <mergeCell ref="A3:G3"/>
    <mergeCell ref="A38:G38"/>
    <mergeCell ref="A1:G1"/>
  </mergeCells>
  <printOptions horizontalCentered="1"/>
  <pageMargins left="0.7" right="0.7" top="0.75" bottom="0.75" header="0.3" footer="0.3"/>
  <pageSetup scale="9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CFF69-8A7A-4C4F-84DD-B476A95EF8D4}">
  <dimension ref="A1:K39"/>
  <sheetViews>
    <sheetView topLeftCell="A10" workbookViewId="0">
      <selection activeCell="K31" sqref="K31"/>
    </sheetView>
  </sheetViews>
  <sheetFormatPr defaultRowHeight="14.25" x14ac:dyDescent="0.45"/>
  <cols>
    <col min="1" max="1" width="8.88671875" style="1"/>
    <col min="2" max="2" width="8.88671875" style="359"/>
    <col min="3" max="3" width="26.33203125" style="1" bestFit="1" customWidth="1"/>
    <col min="4" max="4" width="8.88671875" style="1"/>
    <col min="5" max="5" width="9.88671875" style="1" bestFit="1" customWidth="1"/>
    <col min="6" max="6" width="9.94140625" style="1" bestFit="1" customWidth="1"/>
    <col min="7" max="7" width="9.0546875" style="1" bestFit="1" customWidth="1"/>
    <col min="8" max="9" width="8.88671875" style="1"/>
    <col min="10" max="10" width="9.88671875" style="1" bestFit="1" customWidth="1"/>
    <col min="11" max="11" width="10.38671875" style="1" bestFit="1" customWidth="1"/>
    <col min="12" max="16384" width="8.88671875" style="1"/>
  </cols>
  <sheetData>
    <row r="1" spans="1:11" x14ac:dyDescent="0.45">
      <c r="A1" s="354" t="s">
        <v>246</v>
      </c>
      <c r="B1" s="359" t="s">
        <v>247</v>
      </c>
      <c r="C1" s="1" t="s">
        <v>248</v>
      </c>
      <c r="D1" s="355" t="s">
        <v>249</v>
      </c>
      <c r="E1" s="77" t="s">
        <v>250</v>
      </c>
      <c r="F1" s="77" t="s">
        <v>251</v>
      </c>
      <c r="G1" s="355" t="s">
        <v>252</v>
      </c>
      <c r="H1" s="355" t="s">
        <v>253</v>
      </c>
      <c r="I1" s="355" t="s">
        <v>254</v>
      </c>
      <c r="J1" s="77" t="s">
        <v>255</v>
      </c>
    </row>
    <row r="2" spans="1:11" x14ac:dyDescent="0.45">
      <c r="A2" s="357" t="s">
        <v>269</v>
      </c>
      <c r="B2" s="359">
        <v>15.45</v>
      </c>
      <c r="C2" s="1" t="s">
        <v>256</v>
      </c>
      <c r="D2" s="355">
        <v>1680</v>
      </c>
      <c r="E2" s="77">
        <f t="shared" ref="E2:E9" si="0">B2*D2</f>
        <v>25956</v>
      </c>
      <c r="F2" s="77">
        <v>915.93</v>
      </c>
      <c r="G2" s="355">
        <v>0</v>
      </c>
      <c r="H2" s="355">
        <v>0</v>
      </c>
      <c r="I2" s="355">
        <f t="shared" ref="I2:I9" si="1">B2*1.5*H2</f>
        <v>0</v>
      </c>
      <c r="J2" s="77">
        <f>E2+F2+G2+I2</f>
        <v>26871.93</v>
      </c>
    </row>
    <row r="3" spans="1:11" x14ac:dyDescent="0.45">
      <c r="A3" s="357" t="s">
        <v>270</v>
      </c>
      <c r="B3" s="359">
        <v>44.7</v>
      </c>
      <c r="C3" s="1" t="s">
        <v>258</v>
      </c>
      <c r="D3" s="355">
        <v>1680</v>
      </c>
      <c r="E3" s="77">
        <f t="shared" si="0"/>
        <v>75096</v>
      </c>
      <c r="F3" s="77">
        <v>922.79</v>
      </c>
      <c r="G3" s="355">
        <v>11604.960000000001</v>
      </c>
      <c r="H3" s="355">
        <v>0</v>
      </c>
      <c r="I3" s="355">
        <f t="shared" si="1"/>
        <v>0</v>
      </c>
      <c r="J3" s="77">
        <f t="shared" ref="J3:J9" si="2">E3+F3+G3+I3</f>
        <v>87623.75</v>
      </c>
    </row>
    <row r="4" spans="1:11" x14ac:dyDescent="0.45">
      <c r="A4" s="357" t="s">
        <v>271</v>
      </c>
      <c r="B4" s="359">
        <v>32.619999999999997</v>
      </c>
      <c r="C4" s="1" t="s">
        <v>259</v>
      </c>
      <c r="D4" s="355">
        <v>1680</v>
      </c>
      <c r="E4" s="77">
        <f t="shared" si="0"/>
        <v>54801.599999999999</v>
      </c>
      <c r="F4" s="77">
        <v>897.43</v>
      </c>
      <c r="G4" s="355">
        <v>2854.02</v>
      </c>
      <c r="H4" s="355">
        <v>0</v>
      </c>
      <c r="I4" s="355">
        <f t="shared" si="1"/>
        <v>0</v>
      </c>
      <c r="J4" s="77">
        <f t="shared" si="2"/>
        <v>58553.049999999996</v>
      </c>
    </row>
    <row r="5" spans="1:11" x14ac:dyDescent="0.45">
      <c r="A5" s="357" t="s">
        <v>272</v>
      </c>
      <c r="B5" s="359">
        <v>18.420000000000002</v>
      </c>
      <c r="C5" s="1" t="s">
        <v>256</v>
      </c>
      <c r="D5" s="355">
        <v>1680</v>
      </c>
      <c r="E5" s="77">
        <f t="shared" si="0"/>
        <v>30945.600000000002</v>
      </c>
      <c r="F5" s="77">
        <v>1361.5900000000001</v>
      </c>
      <c r="G5" s="355">
        <v>1250</v>
      </c>
      <c r="H5" s="355">
        <v>0</v>
      </c>
      <c r="I5" s="355">
        <f t="shared" si="1"/>
        <v>0</v>
      </c>
      <c r="J5" s="77">
        <f t="shared" si="2"/>
        <v>33557.19</v>
      </c>
    </row>
    <row r="6" spans="1:11" x14ac:dyDescent="0.45">
      <c r="A6" s="357" t="s">
        <v>272</v>
      </c>
      <c r="B6" s="359">
        <v>10.4</v>
      </c>
      <c r="C6" s="1" t="s">
        <v>257</v>
      </c>
      <c r="D6" s="355">
        <v>534.5</v>
      </c>
      <c r="E6" s="77">
        <f t="shared" si="0"/>
        <v>5558.8</v>
      </c>
      <c r="F6" s="77">
        <v>370.29</v>
      </c>
      <c r="G6" s="355">
        <v>0</v>
      </c>
      <c r="H6" s="355">
        <v>0</v>
      </c>
      <c r="I6" s="355">
        <f t="shared" si="1"/>
        <v>0</v>
      </c>
      <c r="J6" s="77">
        <f t="shared" si="2"/>
        <v>5929.09</v>
      </c>
    </row>
    <row r="7" spans="1:11" x14ac:dyDescent="0.45">
      <c r="A7" s="357" t="s">
        <v>273</v>
      </c>
      <c r="B7" s="359">
        <v>34.29</v>
      </c>
      <c r="C7" s="1" t="s">
        <v>260</v>
      </c>
      <c r="D7" s="355">
        <v>1680</v>
      </c>
      <c r="E7" s="77">
        <f t="shared" si="0"/>
        <v>57607.199999999997</v>
      </c>
      <c r="F7" s="77">
        <v>863.69</v>
      </c>
      <c r="G7" s="355">
        <v>7153.8700000000008</v>
      </c>
      <c r="H7" s="355">
        <v>0</v>
      </c>
      <c r="I7" s="355">
        <f t="shared" si="1"/>
        <v>0</v>
      </c>
      <c r="J7" s="77">
        <f t="shared" si="2"/>
        <v>65624.759999999995</v>
      </c>
    </row>
    <row r="8" spans="1:11" x14ac:dyDescent="0.45">
      <c r="A8" s="357" t="s">
        <v>274</v>
      </c>
      <c r="B8" s="359">
        <v>12.9</v>
      </c>
      <c r="C8" s="1" t="s">
        <v>257</v>
      </c>
      <c r="D8" s="355">
        <v>1590</v>
      </c>
      <c r="E8" s="77">
        <f t="shared" si="0"/>
        <v>20511</v>
      </c>
      <c r="F8" s="77">
        <v>383.34</v>
      </c>
      <c r="G8" s="355">
        <v>0</v>
      </c>
      <c r="H8" s="355">
        <v>0</v>
      </c>
      <c r="I8" s="355">
        <f t="shared" si="1"/>
        <v>0</v>
      </c>
      <c r="J8" s="77">
        <f t="shared" si="2"/>
        <v>20894.34</v>
      </c>
    </row>
    <row r="9" spans="1:11" x14ac:dyDescent="0.45">
      <c r="A9" s="357" t="s">
        <v>275</v>
      </c>
      <c r="B9" s="359">
        <v>12.9</v>
      </c>
      <c r="C9" s="1" t="s">
        <v>257</v>
      </c>
      <c r="D9" s="358">
        <v>1590</v>
      </c>
      <c r="E9" s="360">
        <f t="shared" si="0"/>
        <v>20511</v>
      </c>
      <c r="F9" s="360">
        <v>383.34</v>
      </c>
      <c r="G9" s="358">
        <v>0</v>
      </c>
      <c r="H9" s="358">
        <v>0</v>
      </c>
      <c r="I9" s="358">
        <f t="shared" si="1"/>
        <v>0</v>
      </c>
      <c r="J9" s="360">
        <f t="shared" si="2"/>
        <v>20894.34</v>
      </c>
    </row>
    <row r="10" spans="1:11" x14ac:dyDescent="0.45">
      <c r="A10" s="354"/>
      <c r="C10" s="1" t="s">
        <v>88</v>
      </c>
      <c r="D10" s="355">
        <f t="shared" ref="D10:J10" si="3">SUM(D2:D9)</f>
        <v>12114.5</v>
      </c>
      <c r="E10" s="359">
        <f t="shared" si="3"/>
        <v>290987.2</v>
      </c>
      <c r="F10" s="359">
        <f t="shared" si="3"/>
        <v>6098.4</v>
      </c>
      <c r="G10" s="359">
        <f t="shared" si="3"/>
        <v>22862.850000000002</v>
      </c>
      <c r="H10" s="181">
        <f t="shared" si="3"/>
        <v>0</v>
      </c>
      <c r="I10" s="359">
        <f t="shared" si="3"/>
        <v>0</v>
      </c>
      <c r="J10" s="359">
        <f t="shared" si="3"/>
        <v>319948.45</v>
      </c>
      <c r="K10" s="77"/>
    </row>
    <row r="12" spans="1:11" x14ac:dyDescent="0.45">
      <c r="A12" s="354"/>
      <c r="E12" s="355"/>
      <c r="F12" s="77" t="s">
        <v>31</v>
      </c>
      <c r="G12" s="77"/>
      <c r="H12" s="355"/>
      <c r="I12" s="355"/>
      <c r="J12" s="355"/>
      <c r="K12" s="77"/>
    </row>
    <row r="13" spans="1:11" x14ac:dyDescent="0.45">
      <c r="A13" s="354"/>
      <c r="C13" s="1" t="s">
        <v>261</v>
      </c>
      <c r="E13" s="355"/>
      <c r="F13" s="359">
        <f>J10</f>
        <v>319948.45</v>
      </c>
      <c r="G13" s="77"/>
      <c r="H13" s="355"/>
      <c r="I13" s="355"/>
      <c r="J13" s="355"/>
      <c r="K13" s="77"/>
    </row>
    <row r="14" spans="1:11" x14ac:dyDescent="0.45">
      <c r="A14" s="354"/>
      <c r="C14" s="1" t="s">
        <v>262</v>
      </c>
      <c r="E14" s="355"/>
      <c r="F14" s="361">
        <v>370326.27</v>
      </c>
      <c r="G14" s="77" t="s">
        <v>281</v>
      </c>
      <c r="H14" s="355"/>
      <c r="I14" s="355"/>
      <c r="J14" s="355"/>
      <c r="K14" s="77"/>
    </row>
    <row r="15" spans="1:11" x14ac:dyDescent="0.45">
      <c r="A15" s="354"/>
      <c r="C15" s="1" t="s">
        <v>276</v>
      </c>
      <c r="E15" s="355"/>
      <c r="F15" s="359">
        <f>F13-F14</f>
        <v>-50377.820000000007</v>
      </c>
      <c r="G15" s="77"/>
      <c r="H15" s="355"/>
      <c r="I15" s="355"/>
      <c r="J15" s="355"/>
      <c r="K15" s="77"/>
    </row>
    <row r="16" spans="1:11" x14ac:dyDescent="0.45">
      <c r="A16" s="354"/>
      <c r="C16" s="1" t="s">
        <v>277</v>
      </c>
      <c r="E16" s="355"/>
      <c r="F16" s="287">
        <v>0.75309999999999999</v>
      </c>
      <c r="G16" s="77" t="s">
        <v>282</v>
      </c>
      <c r="H16" s="355"/>
      <c r="I16" s="355"/>
      <c r="J16" s="355"/>
      <c r="K16" s="77"/>
    </row>
    <row r="17" spans="1:11" x14ac:dyDescent="0.45">
      <c r="A17" s="354"/>
      <c r="C17" s="1" t="s">
        <v>280</v>
      </c>
      <c r="E17" s="355"/>
      <c r="F17" s="287">
        <v>0.24690000000000001</v>
      </c>
      <c r="G17" s="77" t="s">
        <v>283</v>
      </c>
      <c r="H17" s="355"/>
      <c r="I17" s="355"/>
      <c r="J17" s="355"/>
      <c r="K17" s="77"/>
    </row>
    <row r="18" spans="1:11" x14ac:dyDescent="0.45">
      <c r="A18" s="354"/>
      <c r="C18" s="1" t="s">
        <v>278</v>
      </c>
      <c r="E18" s="355"/>
      <c r="F18" s="359">
        <f>F16*F15</f>
        <v>-37939.536242000002</v>
      </c>
      <c r="G18" s="363" t="s">
        <v>263</v>
      </c>
      <c r="H18" s="355"/>
      <c r="I18" s="355"/>
      <c r="J18" s="355"/>
      <c r="K18" s="77"/>
    </row>
    <row r="19" spans="1:11" x14ac:dyDescent="0.45">
      <c r="A19" s="354"/>
      <c r="C19" s="1" t="s">
        <v>279</v>
      </c>
      <c r="E19" s="355"/>
      <c r="F19" s="359">
        <f>F17*F15</f>
        <v>-12438.283758000001</v>
      </c>
      <c r="G19" s="363" t="s">
        <v>263</v>
      </c>
      <c r="H19" s="355"/>
      <c r="I19" s="355"/>
      <c r="J19" s="355"/>
      <c r="K19" s="77"/>
    </row>
    <row r="21" spans="1:11" x14ac:dyDescent="0.45">
      <c r="A21" s="354"/>
      <c r="C21" s="1" t="s">
        <v>264</v>
      </c>
      <c r="E21" s="355"/>
      <c r="F21" s="209">
        <f>F13</f>
        <v>319948.45</v>
      </c>
      <c r="G21" s="77"/>
      <c r="H21" s="355"/>
      <c r="I21" s="355"/>
      <c r="J21" s="355"/>
      <c r="K21" s="77"/>
    </row>
    <row r="22" spans="1:11" x14ac:dyDescent="0.45">
      <c r="A22" s="354"/>
      <c r="C22" s="1" t="s">
        <v>265</v>
      </c>
      <c r="E22" s="355"/>
      <c r="F22" s="356">
        <v>7.6499999999999999E-2</v>
      </c>
      <c r="G22" s="77"/>
      <c r="H22" s="355"/>
      <c r="I22" s="355"/>
      <c r="J22" s="355"/>
      <c r="K22" s="77"/>
    </row>
    <row r="23" spans="1:11" x14ac:dyDescent="0.45">
      <c r="A23" s="354"/>
      <c r="C23" s="1" t="s">
        <v>266</v>
      </c>
      <c r="E23" s="355"/>
      <c r="F23" s="359">
        <f>F21*F22</f>
        <v>24476.056424999999</v>
      </c>
      <c r="G23" s="77"/>
      <c r="H23" s="355"/>
      <c r="I23" s="355"/>
      <c r="J23" s="355"/>
      <c r="K23" s="77"/>
    </row>
    <row r="24" spans="1:11" x14ac:dyDescent="0.45">
      <c r="A24" s="354"/>
      <c r="C24" s="1" t="s">
        <v>267</v>
      </c>
      <c r="E24" s="355"/>
      <c r="F24" s="361">
        <v>27371.08</v>
      </c>
      <c r="G24" s="77" t="s">
        <v>284</v>
      </c>
      <c r="H24" s="355"/>
      <c r="I24" s="355"/>
      <c r="J24" s="355"/>
      <c r="K24" s="77"/>
    </row>
    <row r="25" spans="1:11" x14ac:dyDescent="0.45">
      <c r="A25" s="354"/>
      <c r="C25" s="1" t="s">
        <v>268</v>
      </c>
      <c r="E25" s="355"/>
      <c r="F25" s="359">
        <f>F23-F24</f>
        <v>-2895.0235750000029</v>
      </c>
      <c r="G25" s="77"/>
      <c r="H25" s="355"/>
      <c r="I25" s="355"/>
      <c r="J25" s="355"/>
      <c r="K25" s="77"/>
    </row>
    <row r="26" spans="1:11" x14ac:dyDescent="0.45">
      <c r="A26" s="354"/>
      <c r="C26" s="1" t="s">
        <v>277</v>
      </c>
      <c r="E26" s="355"/>
      <c r="F26" s="362">
        <f>F16</f>
        <v>0.75309999999999999</v>
      </c>
      <c r="G26" s="77" t="s">
        <v>282</v>
      </c>
      <c r="H26" s="355"/>
      <c r="I26" s="355"/>
      <c r="J26" s="355"/>
      <c r="K26" s="77"/>
    </row>
    <row r="27" spans="1:11" x14ac:dyDescent="0.45">
      <c r="A27" s="354"/>
      <c r="C27" s="1" t="s">
        <v>280</v>
      </c>
      <c r="E27" s="355"/>
      <c r="F27" s="356">
        <f>F17</f>
        <v>0.24690000000000001</v>
      </c>
      <c r="G27" s="77" t="s">
        <v>283</v>
      </c>
      <c r="H27" s="355"/>
      <c r="I27" s="355"/>
      <c r="J27" s="355"/>
      <c r="K27" s="77"/>
    </row>
    <row r="28" spans="1:11" x14ac:dyDescent="0.45">
      <c r="A28" s="354"/>
      <c r="C28" s="1" t="s">
        <v>278</v>
      </c>
      <c r="E28" s="355"/>
      <c r="F28" s="359">
        <f>F25*F26</f>
        <v>-2180.2422543325019</v>
      </c>
      <c r="G28" s="363" t="s">
        <v>285</v>
      </c>
      <c r="H28" s="355"/>
      <c r="I28" s="355"/>
      <c r="J28" s="355"/>
      <c r="K28" s="77"/>
    </row>
    <row r="29" spans="1:11" x14ac:dyDescent="0.45">
      <c r="A29" s="354"/>
      <c r="C29" s="1" t="s">
        <v>279</v>
      </c>
      <c r="E29" s="355"/>
      <c r="F29" s="359">
        <f>F27*F25</f>
        <v>-714.78132066750072</v>
      </c>
      <c r="G29" s="363" t="s">
        <v>285</v>
      </c>
      <c r="H29" s="355"/>
      <c r="I29" s="355"/>
      <c r="J29" s="355"/>
      <c r="K29" s="77"/>
    </row>
    <row r="31" spans="1:11" x14ac:dyDescent="0.45">
      <c r="A31" s="354"/>
      <c r="C31" s="1" t="s">
        <v>264</v>
      </c>
      <c r="E31" s="355"/>
      <c r="F31" s="209">
        <f>J10</f>
        <v>319948.45</v>
      </c>
      <c r="G31" s="77"/>
      <c r="H31" s="355"/>
      <c r="I31" s="355"/>
      <c r="J31" s="355"/>
      <c r="K31" s="77"/>
    </row>
    <row r="32" spans="1:11" x14ac:dyDescent="0.45">
      <c r="A32" s="354"/>
      <c r="C32" s="1" t="s">
        <v>318</v>
      </c>
      <c r="E32" s="355"/>
      <c r="F32" s="356">
        <v>0.06</v>
      </c>
      <c r="G32" s="77"/>
      <c r="H32" s="355"/>
      <c r="I32" s="355"/>
      <c r="J32" s="355"/>
      <c r="K32" s="77"/>
    </row>
    <row r="33" spans="1:11" x14ac:dyDescent="0.45">
      <c r="A33" s="354"/>
      <c r="C33" s="1" t="s">
        <v>319</v>
      </c>
      <c r="E33" s="355"/>
      <c r="F33" s="359">
        <f>F31*F32</f>
        <v>19196.906999999999</v>
      </c>
      <c r="G33" s="77"/>
      <c r="H33" s="355"/>
      <c r="I33" s="355"/>
      <c r="J33" s="355"/>
      <c r="K33" s="77"/>
    </row>
    <row r="34" spans="1:11" x14ac:dyDescent="0.45">
      <c r="C34" s="1" t="s">
        <v>267</v>
      </c>
      <c r="E34" s="355"/>
      <c r="F34" s="361">
        <v>15418.54</v>
      </c>
      <c r="G34" s="77" t="s">
        <v>320</v>
      </c>
      <c r="H34" s="355"/>
      <c r="I34" s="355"/>
      <c r="J34" s="355"/>
      <c r="K34" s="77"/>
    </row>
    <row r="35" spans="1:11" x14ac:dyDescent="0.45">
      <c r="C35" s="1" t="s">
        <v>268</v>
      </c>
      <c r="E35" s="355"/>
      <c r="F35" s="359">
        <f>F33-F34</f>
        <v>3778.3669999999984</v>
      </c>
      <c r="G35" s="77"/>
      <c r="H35" s="355"/>
      <c r="I35" s="355"/>
      <c r="J35" s="355"/>
      <c r="K35" s="77"/>
    </row>
    <row r="36" spans="1:11" x14ac:dyDescent="0.45">
      <c r="C36" s="1" t="s">
        <v>277</v>
      </c>
      <c r="E36" s="355"/>
      <c r="F36" s="362">
        <f>F26</f>
        <v>0.75309999999999999</v>
      </c>
      <c r="G36" s="77" t="s">
        <v>282</v>
      </c>
      <c r="H36" s="355"/>
      <c r="I36" s="355"/>
      <c r="J36" s="355"/>
      <c r="K36" s="77"/>
    </row>
    <row r="37" spans="1:11" x14ac:dyDescent="0.45">
      <c r="C37" s="1" t="s">
        <v>280</v>
      </c>
      <c r="E37" s="355"/>
      <c r="F37" s="356">
        <f>F27</f>
        <v>0.24690000000000001</v>
      </c>
      <c r="G37" s="77" t="s">
        <v>283</v>
      </c>
      <c r="H37" s="355"/>
      <c r="I37" s="355"/>
      <c r="J37" s="355"/>
      <c r="K37" s="77"/>
    </row>
    <row r="38" spans="1:11" x14ac:dyDescent="0.45">
      <c r="C38" s="1" t="s">
        <v>278</v>
      </c>
      <c r="E38" s="355"/>
      <c r="F38" s="359">
        <f>F35*F36</f>
        <v>2845.4881876999989</v>
      </c>
      <c r="G38" s="363" t="s">
        <v>285</v>
      </c>
      <c r="H38" s="355"/>
      <c r="I38" s="355"/>
      <c r="J38" s="355"/>
      <c r="K38" s="77"/>
    </row>
    <row r="39" spans="1:11" x14ac:dyDescent="0.45">
      <c r="C39" s="1" t="s">
        <v>279</v>
      </c>
      <c r="E39" s="355"/>
      <c r="F39" s="359">
        <f>F37*F35</f>
        <v>932.87881229999959</v>
      </c>
      <c r="G39" s="363" t="s">
        <v>285</v>
      </c>
      <c r="H39" s="355"/>
      <c r="I39" s="355"/>
      <c r="J39" s="355"/>
      <c r="K39" s="7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0E80F-8CAC-4B50-B816-DA0D148E8505}">
  <dimension ref="A1:L25"/>
  <sheetViews>
    <sheetView workbookViewId="0">
      <selection activeCell="K9" sqref="K9"/>
    </sheetView>
  </sheetViews>
  <sheetFormatPr defaultRowHeight="14.25" x14ac:dyDescent="0.45"/>
  <cols>
    <col min="1" max="1" width="20.77734375" style="1" customWidth="1"/>
    <col min="2" max="3" width="8.88671875" style="359"/>
    <col min="4" max="6" width="8.88671875" style="1"/>
    <col min="7" max="7" width="9.0546875" style="359" bestFit="1" customWidth="1"/>
    <col min="8" max="8" width="9.5546875" style="359" bestFit="1" customWidth="1"/>
    <col min="9" max="9" width="8.88671875" style="1"/>
    <col min="10" max="10" width="9.0546875" style="359" bestFit="1" customWidth="1"/>
    <col min="11" max="11" width="9.5546875" style="1" bestFit="1" customWidth="1"/>
    <col min="12" max="16384" width="8.88671875" style="1"/>
  </cols>
  <sheetData>
    <row r="1" spans="1:11" x14ac:dyDescent="0.45">
      <c r="A1" s="1" t="s">
        <v>287</v>
      </c>
    </row>
    <row r="3" spans="1:11" x14ac:dyDescent="0.45">
      <c r="B3" s="367" t="s">
        <v>288</v>
      </c>
      <c r="C3" s="367" t="s">
        <v>288</v>
      </c>
      <c r="D3" s="15"/>
      <c r="E3" s="15"/>
      <c r="G3" s="367" t="s">
        <v>289</v>
      </c>
      <c r="H3" s="367" t="s">
        <v>290</v>
      </c>
      <c r="I3" s="15" t="s">
        <v>291</v>
      </c>
      <c r="J3" s="367" t="s">
        <v>291</v>
      </c>
      <c r="K3" s="15" t="s">
        <v>292</v>
      </c>
    </row>
    <row r="4" spans="1:11" x14ac:dyDescent="0.45">
      <c r="B4" s="367" t="s">
        <v>293</v>
      </c>
      <c r="C4" s="367" t="s">
        <v>294</v>
      </c>
      <c r="D4" s="15" t="s">
        <v>295</v>
      </c>
      <c r="E4" s="15" t="s">
        <v>296</v>
      </c>
      <c r="F4" s="15" t="s">
        <v>297</v>
      </c>
      <c r="G4" s="367" t="s">
        <v>298</v>
      </c>
      <c r="H4" s="367" t="s">
        <v>298</v>
      </c>
      <c r="I4" s="15" t="s">
        <v>299</v>
      </c>
      <c r="J4" s="367" t="s">
        <v>299</v>
      </c>
      <c r="K4" s="15" t="s">
        <v>300</v>
      </c>
    </row>
    <row r="5" spans="1:11" x14ac:dyDescent="0.45">
      <c r="A5" s="1" t="s">
        <v>301</v>
      </c>
      <c r="B5" s="367" t="s">
        <v>302</v>
      </c>
      <c r="C5" s="367" t="s">
        <v>303</v>
      </c>
      <c r="D5" s="15" t="s">
        <v>304</v>
      </c>
      <c r="E5" s="15" t="s">
        <v>304</v>
      </c>
      <c r="F5" s="15" t="s">
        <v>305</v>
      </c>
      <c r="G5" s="367" t="s">
        <v>306</v>
      </c>
      <c r="H5" s="367" t="s">
        <v>306</v>
      </c>
      <c r="I5" s="15" t="s">
        <v>307</v>
      </c>
      <c r="J5" s="367" t="s">
        <v>306</v>
      </c>
      <c r="K5" s="15" t="s">
        <v>308</v>
      </c>
    </row>
    <row r="6" spans="1:11" x14ac:dyDescent="0.45">
      <c r="A6" s="1" t="s">
        <v>311</v>
      </c>
      <c r="B6" s="359">
        <v>848.62</v>
      </c>
      <c r="C6" s="351">
        <v>0</v>
      </c>
      <c r="D6" s="356">
        <f>C6/B6</f>
        <v>0</v>
      </c>
      <c r="E6" s="356">
        <f>1-D6</f>
        <v>1</v>
      </c>
      <c r="F6" s="1">
        <v>1</v>
      </c>
      <c r="G6" s="359">
        <f>B6*12</f>
        <v>10183.44</v>
      </c>
      <c r="H6" s="359">
        <f>E6*G6</f>
        <v>10183.44</v>
      </c>
      <c r="I6" s="366">
        <v>0.79</v>
      </c>
      <c r="J6" s="359">
        <f>G6*I6</f>
        <v>8044.9176000000007</v>
      </c>
      <c r="K6" s="209">
        <f>J6-H6</f>
        <v>-2138.5223999999998</v>
      </c>
    </row>
    <row r="7" spans="1:11" x14ac:dyDescent="0.45">
      <c r="A7" s="1" t="s">
        <v>312</v>
      </c>
      <c r="B7" s="359">
        <v>770.41</v>
      </c>
      <c r="C7" s="351">
        <v>318.24</v>
      </c>
      <c r="D7" s="356">
        <f t="shared" ref="D7:D9" si="0">C7/B7</f>
        <v>0.41307875027582719</v>
      </c>
      <c r="E7" s="356">
        <f t="shared" ref="E7:E9" si="1">1-D7</f>
        <v>0.58692124972417281</v>
      </c>
      <c r="F7" s="1">
        <v>1</v>
      </c>
      <c r="G7" s="359">
        <f t="shared" ref="G7:G9" si="2">B7*12</f>
        <v>9244.92</v>
      </c>
      <c r="H7" s="359">
        <f t="shared" ref="H7:H9" si="3">E7*G7</f>
        <v>5426.04</v>
      </c>
      <c r="I7" s="366">
        <v>0.66</v>
      </c>
      <c r="J7" s="359">
        <f t="shared" ref="J7:J9" si="4">G7*I7</f>
        <v>6101.6472000000003</v>
      </c>
      <c r="K7" s="209">
        <v>0</v>
      </c>
    </row>
    <row r="8" spans="1:11" x14ac:dyDescent="0.45">
      <c r="A8" s="1" t="s">
        <v>312</v>
      </c>
      <c r="B8" s="359">
        <v>1420.19</v>
      </c>
      <c r="C8" s="351">
        <v>636.46</v>
      </c>
      <c r="D8" s="356">
        <f t="shared" si="0"/>
        <v>0.44815130369880085</v>
      </c>
      <c r="E8" s="356">
        <f t="shared" si="1"/>
        <v>0.55184869630119915</v>
      </c>
      <c r="F8" s="1">
        <v>1</v>
      </c>
      <c r="G8" s="359">
        <f t="shared" si="2"/>
        <v>17042.28</v>
      </c>
      <c r="H8" s="359">
        <f t="shared" si="3"/>
        <v>9404.76</v>
      </c>
      <c r="I8" s="366">
        <v>0.66</v>
      </c>
      <c r="J8" s="359">
        <f t="shared" si="4"/>
        <v>11247.9048</v>
      </c>
      <c r="K8" s="209">
        <v>0</v>
      </c>
    </row>
    <row r="9" spans="1:11" x14ac:dyDescent="0.45">
      <c r="A9" s="1" t="s">
        <v>313</v>
      </c>
      <c r="B9" s="361">
        <v>888.14</v>
      </c>
      <c r="C9" s="372">
        <v>0</v>
      </c>
      <c r="D9" s="356">
        <f t="shared" si="0"/>
        <v>0</v>
      </c>
      <c r="E9" s="356">
        <f t="shared" si="1"/>
        <v>1</v>
      </c>
      <c r="F9" s="1">
        <v>1</v>
      </c>
      <c r="G9" s="361">
        <f t="shared" si="2"/>
        <v>10657.68</v>
      </c>
      <c r="H9" s="361">
        <f t="shared" si="3"/>
        <v>10657.68</v>
      </c>
      <c r="I9" s="366">
        <v>0.79</v>
      </c>
      <c r="J9" s="361">
        <f t="shared" si="4"/>
        <v>8419.5672000000013</v>
      </c>
      <c r="K9" s="368">
        <f t="shared" ref="K9" si="5">J9-H9</f>
        <v>-2238.112799999999</v>
      </c>
    </row>
    <row r="10" spans="1:11" x14ac:dyDescent="0.45">
      <c r="A10" s="1" t="s">
        <v>56</v>
      </c>
      <c r="B10" s="359">
        <f>SUM(B6:B9)</f>
        <v>3927.36</v>
      </c>
      <c r="C10" s="359">
        <f>SUM(C5:C9)</f>
        <v>954.7</v>
      </c>
      <c r="G10" s="359">
        <f>SUM(G6:G9)</f>
        <v>47128.32</v>
      </c>
      <c r="H10" s="359">
        <f>SUM(H6:H9)</f>
        <v>35671.919999999998</v>
      </c>
      <c r="J10" s="359">
        <f>SUM(J6:J9)</f>
        <v>33814.036800000002</v>
      </c>
      <c r="K10" s="209">
        <f>SUM(K6:K9)</f>
        <v>-4376.6351999999988</v>
      </c>
    </row>
    <row r="12" spans="1:11" x14ac:dyDescent="0.45">
      <c r="A12" s="1" t="s">
        <v>309</v>
      </c>
    </row>
    <row r="13" spans="1:11" x14ac:dyDescent="0.45">
      <c r="A13" s="1" t="s">
        <v>311</v>
      </c>
      <c r="B13" s="359">
        <v>29.83</v>
      </c>
      <c r="C13" s="359">
        <v>0</v>
      </c>
      <c r="D13" s="356">
        <f>C13/B13</f>
        <v>0</v>
      </c>
      <c r="E13" s="356">
        <f>1-D13</f>
        <v>1</v>
      </c>
      <c r="F13" s="1">
        <v>1</v>
      </c>
      <c r="G13" s="359">
        <f t="shared" ref="G13:G16" si="6">B13*12</f>
        <v>357.96</v>
      </c>
      <c r="H13" s="359">
        <f t="shared" ref="H13:H16" si="7">E13*G13</f>
        <v>357.96</v>
      </c>
      <c r="I13" s="366">
        <v>0.6</v>
      </c>
      <c r="J13" s="359">
        <f t="shared" ref="J13:J16" si="8">G13*I13</f>
        <v>214.77599999999998</v>
      </c>
      <c r="K13" s="209">
        <f t="shared" ref="K13:K16" si="9">J13-H13</f>
        <v>-143.184</v>
      </c>
    </row>
    <row r="14" spans="1:11" x14ac:dyDescent="0.45">
      <c r="A14" s="1" t="s">
        <v>312</v>
      </c>
      <c r="B14" s="359">
        <v>29.83</v>
      </c>
      <c r="C14" s="359">
        <v>0</v>
      </c>
      <c r="D14" s="356">
        <f t="shared" ref="D14:D16" si="10">C14/B14</f>
        <v>0</v>
      </c>
      <c r="E14" s="356">
        <f t="shared" ref="E14:E16" si="11">1-D14</f>
        <v>1</v>
      </c>
      <c r="F14" s="1">
        <v>1</v>
      </c>
      <c r="G14" s="359">
        <f t="shared" si="6"/>
        <v>357.96</v>
      </c>
      <c r="H14" s="359">
        <f t="shared" si="7"/>
        <v>357.96</v>
      </c>
      <c r="I14" s="366">
        <v>0.6</v>
      </c>
      <c r="J14" s="359">
        <f t="shared" si="8"/>
        <v>214.77599999999998</v>
      </c>
      <c r="K14" s="209">
        <f t="shared" si="9"/>
        <v>-143.184</v>
      </c>
    </row>
    <row r="15" spans="1:11" x14ac:dyDescent="0.45">
      <c r="A15" s="1" t="s">
        <v>312</v>
      </c>
      <c r="B15" s="359">
        <v>29.83</v>
      </c>
      <c r="C15" s="359">
        <v>0</v>
      </c>
      <c r="D15" s="356">
        <f t="shared" si="10"/>
        <v>0</v>
      </c>
      <c r="E15" s="356">
        <f t="shared" si="11"/>
        <v>1</v>
      </c>
      <c r="F15" s="1">
        <v>1</v>
      </c>
      <c r="G15" s="359">
        <f t="shared" si="6"/>
        <v>357.96</v>
      </c>
      <c r="H15" s="359">
        <f t="shared" si="7"/>
        <v>357.96</v>
      </c>
      <c r="I15" s="366">
        <v>0.6</v>
      </c>
      <c r="J15" s="359">
        <f t="shared" si="8"/>
        <v>214.77599999999998</v>
      </c>
      <c r="K15" s="209">
        <f t="shared" si="9"/>
        <v>-143.184</v>
      </c>
    </row>
    <row r="16" spans="1:11" x14ac:dyDescent="0.45">
      <c r="A16" s="1" t="s">
        <v>313</v>
      </c>
      <c r="B16" s="359">
        <v>59.66</v>
      </c>
      <c r="C16" s="359">
        <v>0</v>
      </c>
      <c r="D16" s="356">
        <f t="shared" si="10"/>
        <v>0</v>
      </c>
      <c r="E16" s="356">
        <f t="shared" si="11"/>
        <v>1</v>
      </c>
      <c r="F16" s="1">
        <v>1</v>
      </c>
      <c r="G16" s="361">
        <f t="shared" si="6"/>
        <v>715.92</v>
      </c>
      <c r="H16" s="361">
        <f t="shared" si="7"/>
        <v>715.92</v>
      </c>
      <c r="I16" s="366">
        <v>0.6</v>
      </c>
      <c r="J16" s="361">
        <f t="shared" si="8"/>
        <v>429.55199999999996</v>
      </c>
      <c r="K16" s="368">
        <f t="shared" si="9"/>
        <v>-286.36799999999999</v>
      </c>
    </row>
    <row r="17" spans="1:12" x14ac:dyDescent="0.45">
      <c r="A17" s="1" t="s">
        <v>310</v>
      </c>
      <c r="G17" s="359">
        <f>SUM(G13:G16)</f>
        <v>1789.7999999999997</v>
      </c>
      <c r="H17" s="359">
        <f>SUM(H13:H16)</f>
        <v>1789.7999999999997</v>
      </c>
      <c r="J17" s="359">
        <f>SUM(J13:J16)</f>
        <v>1073.8799999999999</v>
      </c>
      <c r="K17" s="209">
        <f>SUM(K13:K16)</f>
        <v>-715.92000000000007</v>
      </c>
    </row>
    <row r="19" spans="1:12" x14ac:dyDescent="0.45">
      <c r="A19" s="1" t="s">
        <v>314</v>
      </c>
      <c r="K19" s="209">
        <f>K10+K17</f>
        <v>-5092.5551999999989</v>
      </c>
    </row>
    <row r="20" spans="1:12" x14ac:dyDescent="0.45">
      <c r="K20" s="209"/>
    </row>
    <row r="21" spans="1:12" x14ac:dyDescent="0.45">
      <c r="A21" s="1" t="s">
        <v>277</v>
      </c>
      <c r="K21" s="369">
        <v>0.75309999999999999</v>
      </c>
      <c r="L21" s="77" t="s">
        <v>282</v>
      </c>
    </row>
    <row r="22" spans="1:12" x14ac:dyDescent="0.45">
      <c r="A22" s="1" t="s">
        <v>315</v>
      </c>
      <c r="K22" s="209">
        <f>K19*K21</f>
        <v>-3835.2033211199991</v>
      </c>
    </row>
    <row r="23" spans="1:12" x14ac:dyDescent="0.45">
      <c r="K23" s="209"/>
    </row>
    <row r="24" spans="1:12" x14ac:dyDescent="0.45">
      <c r="A24" s="1" t="s">
        <v>280</v>
      </c>
      <c r="K24" s="369">
        <v>0.24690000000000001</v>
      </c>
      <c r="L24" s="77" t="s">
        <v>283</v>
      </c>
    </row>
    <row r="25" spans="1:12" x14ac:dyDescent="0.45">
      <c r="A25" s="1" t="s">
        <v>316</v>
      </c>
      <c r="K25" s="209">
        <f>K19*K24</f>
        <v>-1257.3518788799997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7014-9138-4EA8-BD4C-4A4A86D801AE}">
  <dimension ref="A1:F37"/>
  <sheetViews>
    <sheetView topLeftCell="A15" workbookViewId="0">
      <selection activeCell="B28" sqref="B28"/>
    </sheetView>
  </sheetViews>
  <sheetFormatPr defaultRowHeight="15" x14ac:dyDescent="0.4"/>
  <cols>
    <col min="1" max="1" width="18.77734375" style="250" customWidth="1"/>
    <col min="2" max="2" width="9.88671875" style="250" bestFit="1" customWidth="1"/>
    <col min="3" max="3" width="8.94140625" style="250" bestFit="1" customWidth="1"/>
    <col min="4" max="4" width="9.71875" style="250" bestFit="1" customWidth="1"/>
    <col min="5" max="16384" width="8.88671875" style="250"/>
  </cols>
  <sheetData>
    <row r="1" spans="1:6" ht="15.4" x14ac:dyDescent="0.45">
      <c r="A1" s="146" t="s">
        <v>223</v>
      </c>
      <c r="B1" s="146"/>
      <c r="C1" s="146"/>
      <c r="D1" s="146"/>
      <c r="E1" s="146"/>
      <c r="F1" s="146"/>
    </row>
    <row r="2" spans="1:6" ht="15.4" x14ac:dyDescent="0.45">
      <c r="A2" s="146" t="s">
        <v>224</v>
      </c>
      <c r="B2" s="146"/>
      <c r="C2" s="146">
        <v>0</v>
      </c>
      <c r="D2" s="146"/>
      <c r="E2" s="146"/>
      <c r="F2" s="146"/>
    </row>
    <row r="3" spans="1:6" ht="15.4" x14ac:dyDescent="0.45">
      <c r="A3" s="146" t="s">
        <v>225</v>
      </c>
      <c r="B3" s="146"/>
      <c r="C3" s="350">
        <v>280419</v>
      </c>
      <c r="D3" s="146"/>
      <c r="E3" s="146"/>
      <c r="F3" s="146"/>
    </row>
    <row r="4" spans="1:6" ht="15.4" x14ac:dyDescent="0.45">
      <c r="A4" s="146" t="s">
        <v>226</v>
      </c>
      <c r="B4" s="146"/>
      <c r="C4" s="348">
        <f>C2+C3</f>
        <v>280419</v>
      </c>
      <c r="D4" s="146"/>
      <c r="E4" s="146"/>
      <c r="F4" s="146"/>
    </row>
    <row r="5" spans="1:6" ht="15.4" x14ac:dyDescent="0.45">
      <c r="A5" s="146"/>
      <c r="B5" s="146"/>
      <c r="C5" s="146"/>
      <c r="D5" s="146"/>
      <c r="E5" s="146"/>
      <c r="F5" s="146"/>
    </row>
    <row r="6" spans="1:6" ht="15.4" x14ac:dyDescent="0.45">
      <c r="A6" s="146" t="s">
        <v>64</v>
      </c>
      <c r="B6" s="146"/>
      <c r="C6" s="348">
        <v>253123</v>
      </c>
      <c r="D6" s="146"/>
      <c r="E6" s="146"/>
      <c r="F6" s="146"/>
    </row>
    <row r="7" spans="1:6" ht="15.4" x14ac:dyDescent="0.45">
      <c r="A7" s="146"/>
      <c r="B7" s="146"/>
      <c r="C7" s="146"/>
      <c r="D7" s="146"/>
      <c r="E7" s="146"/>
      <c r="F7" s="146"/>
    </row>
    <row r="8" spans="1:6" ht="15.4" x14ac:dyDescent="0.45">
      <c r="A8" s="146" t="s">
        <v>65</v>
      </c>
      <c r="B8" s="146"/>
      <c r="C8" s="146"/>
      <c r="D8" s="146"/>
      <c r="E8" s="146"/>
      <c r="F8" s="146"/>
    </row>
    <row r="9" spans="1:6" ht="15.4" x14ac:dyDescent="0.45">
      <c r="A9" s="146" t="s">
        <v>227</v>
      </c>
      <c r="B9" s="146">
        <v>0</v>
      </c>
      <c r="C9" s="146"/>
      <c r="D9" s="146"/>
      <c r="E9" s="146"/>
      <c r="F9" s="146"/>
    </row>
    <row r="10" spans="1:6" ht="15.4" x14ac:dyDescent="0.45">
      <c r="A10" s="146" t="s">
        <v>228</v>
      </c>
      <c r="B10" s="348">
        <v>1291</v>
      </c>
      <c r="C10" s="146"/>
      <c r="D10" s="146"/>
      <c r="E10" s="146"/>
      <c r="F10" s="146"/>
    </row>
    <row r="11" spans="1:6" ht="15.4" x14ac:dyDescent="0.45">
      <c r="A11" s="146" t="s">
        <v>229</v>
      </c>
      <c r="B11" s="348">
        <v>1933</v>
      </c>
      <c r="C11" s="146"/>
      <c r="D11" s="146"/>
      <c r="E11" s="146"/>
      <c r="F11" s="146"/>
    </row>
    <row r="12" spans="1:6" ht="15.4" x14ac:dyDescent="0.45">
      <c r="A12" s="146" t="s">
        <v>230</v>
      </c>
      <c r="B12" s="146">
        <v>0</v>
      </c>
      <c r="C12" s="146"/>
      <c r="D12" s="146"/>
      <c r="E12" s="146"/>
      <c r="F12" s="146"/>
    </row>
    <row r="13" spans="1:6" ht="15.4" x14ac:dyDescent="0.45">
      <c r="A13" s="146" t="s">
        <v>231</v>
      </c>
      <c r="B13" s="146"/>
      <c r="C13" s="348">
        <f>SUM(B9:B12)</f>
        <v>3224</v>
      </c>
      <c r="D13" s="146"/>
      <c r="E13" s="146"/>
      <c r="F13" s="146"/>
    </row>
    <row r="14" spans="1:6" ht="15.4" x14ac:dyDescent="0.45">
      <c r="A14" s="146"/>
      <c r="B14" s="146"/>
      <c r="C14" s="146"/>
      <c r="D14" s="146"/>
      <c r="E14" s="146"/>
      <c r="F14" s="146"/>
    </row>
    <row r="15" spans="1:6" ht="15.4" x14ac:dyDescent="0.45">
      <c r="A15" s="146" t="s">
        <v>232</v>
      </c>
      <c r="B15" s="146"/>
      <c r="C15" s="146"/>
      <c r="D15" s="146"/>
      <c r="E15" s="146"/>
      <c r="F15" s="146"/>
    </row>
    <row r="16" spans="1:6" ht="15.4" x14ac:dyDescent="0.45">
      <c r="A16" s="146" t="s">
        <v>233</v>
      </c>
      <c r="B16" s="348">
        <v>0</v>
      </c>
      <c r="C16" s="146"/>
      <c r="D16" s="146"/>
      <c r="E16" s="146"/>
      <c r="F16" s="146"/>
    </row>
    <row r="17" spans="1:6" ht="15.4" x14ac:dyDescent="0.45">
      <c r="A17" s="146" t="s">
        <v>234</v>
      </c>
      <c r="B17" s="146">
        <v>3501</v>
      </c>
      <c r="C17" s="146"/>
      <c r="D17" s="146"/>
      <c r="E17" s="146"/>
      <c r="F17" s="146"/>
    </row>
    <row r="18" spans="1:6" ht="15.4" x14ac:dyDescent="0.45">
      <c r="A18" s="146" t="s">
        <v>235</v>
      </c>
      <c r="B18" s="146">
        <v>0</v>
      </c>
      <c r="C18" s="146"/>
      <c r="D18" s="146"/>
      <c r="E18" s="146"/>
      <c r="F18" s="146"/>
    </row>
    <row r="19" spans="1:6" ht="15.4" x14ac:dyDescent="0.45">
      <c r="A19" s="146" t="s">
        <v>236</v>
      </c>
      <c r="B19" s="348">
        <v>19765</v>
      </c>
      <c r="C19" s="146"/>
      <c r="D19" s="146"/>
      <c r="E19" s="146"/>
      <c r="F19" s="146"/>
    </row>
    <row r="20" spans="1:6" ht="15.4" x14ac:dyDescent="0.45">
      <c r="A20" s="146" t="s">
        <v>237</v>
      </c>
      <c r="B20" s="146"/>
      <c r="C20" s="350">
        <f>SUM(B16:B19)</f>
        <v>23266</v>
      </c>
      <c r="D20" s="146"/>
      <c r="E20" s="146"/>
      <c r="F20" s="146"/>
    </row>
    <row r="21" spans="1:6" ht="15.4" x14ac:dyDescent="0.45">
      <c r="A21" s="146" t="s">
        <v>238</v>
      </c>
      <c r="B21" s="146"/>
      <c r="C21" s="348">
        <f>C6+C13+C20</f>
        <v>279613</v>
      </c>
      <c r="D21" s="146"/>
      <c r="E21" s="146"/>
      <c r="F21" s="146"/>
    </row>
    <row r="22" spans="1:6" ht="15.4" x14ac:dyDescent="0.45">
      <c r="A22" s="146"/>
      <c r="B22" s="146"/>
      <c r="C22" s="146"/>
      <c r="D22" s="146"/>
      <c r="E22" s="146"/>
      <c r="F22" s="146"/>
    </row>
    <row r="23" spans="1:6" ht="15.4" x14ac:dyDescent="0.45">
      <c r="A23" s="146"/>
      <c r="B23" s="146"/>
      <c r="C23" s="146"/>
      <c r="D23" s="146"/>
      <c r="E23" s="146"/>
      <c r="F23" s="146"/>
    </row>
    <row r="24" spans="1:6" ht="15.4" x14ac:dyDescent="0.45">
      <c r="A24" s="146"/>
      <c r="B24" s="146"/>
      <c r="C24" s="146"/>
      <c r="D24" s="349">
        <f>C20/C4</f>
        <v>8.2968700409030774E-2</v>
      </c>
      <c r="E24" s="146" t="s">
        <v>66</v>
      </c>
      <c r="F24" s="146"/>
    </row>
    <row r="25" spans="1:6" ht="15.4" x14ac:dyDescent="0.45">
      <c r="A25" s="146"/>
      <c r="B25" s="146"/>
      <c r="C25" s="146"/>
      <c r="D25" s="349">
        <v>0.15</v>
      </c>
      <c r="E25" s="146" t="s">
        <v>67</v>
      </c>
      <c r="F25" s="146"/>
    </row>
    <row r="26" spans="1:6" ht="15.4" x14ac:dyDescent="0.45">
      <c r="A26" s="146"/>
      <c r="B26" s="146"/>
      <c r="C26" s="146"/>
      <c r="D26" s="349">
        <v>0</v>
      </c>
      <c r="E26" s="146" t="s">
        <v>68</v>
      </c>
      <c r="F26" s="146"/>
    </row>
    <row r="27" spans="1:6" ht="15.4" x14ac:dyDescent="0.45">
      <c r="A27" s="146"/>
      <c r="B27" s="146"/>
      <c r="C27" s="146"/>
      <c r="D27" s="146"/>
      <c r="E27" s="146"/>
      <c r="F27" s="146"/>
    </row>
    <row r="28" spans="1:6" ht="15.4" x14ac:dyDescent="0.45">
      <c r="A28" s="146" t="s">
        <v>239</v>
      </c>
      <c r="B28" s="146"/>
      <c r="C28" s="146"/>
      <c r="D28" s="146" t="s">
        <v>10</v>
      </c>
      <c r="E28" s="146"/>
      <c r="F28" s="146"/>
    </row>
    <row r="29" spans="1:6" ht="15.4" x14ac:dyDescent="0.45">
      <c r="A29" s="146" t="s">
        <v>26</v>
      </c>
      <c r="B29" s="352">
        <f>SAOw!D24</f>
        <v>842097</v>
      </c>
      <c r="C29" s="146"/>
      <c r="D29" s="352">
        <f>B29*$D$26</f>
        <v>0</v>
      </c>
      <c r="E29" s="146"/>
      <c r="F29" s="146"/>
    </row>
    <row r="30" spans="1:6" ht="15.4" x14ac:dyDescent="0.45">
      <c r="A30" s="146" t="s">
        <v>27</v>
      </c>
      <c r="B30" s="352">
        <f>SAOw!D25</f>
        <v>0</v>
      </c>
      <c r="C30" s="146"/>
      <c r="D30" s="352">
        <f t="shared" ref="D30:D31" si="0">B30*$D$26</f>
        <v>0</v>
      </c>
      <c r="E30" s="146"/>
      <c r="F30" s="146"/>
    </row>
    <row r="31" spans="1:6" ht="15.4" x14ac:dyDescent="0.45">
      <c r="A31" s="146" t="s">
        <v>106</v>
      </c>
      <c r="B31" s="353">
        <f>SAOw!D26</f>
        <v>0</v>
      </c>
      <c r="C31" s="146"/>
      <c r="D31" s="353">
        <f t="shared" si="0"/>
        <v>0</v>
      </c>
      <c r="E31" s="146"/>
      <c r="F31" s="146"/>
    </row>
    <row r="32" spans="1:6" ht="15.4" x14ac:dyDescent="0.45">
      <c r="A32" s="146" t="s">
        <v>88</v>
      </c>
      <c r="B32" s="352">
        <f>SUM(B29:B31)</f>
        <v>842097</v>
      </c>
      <c r="C32" s="146"/>
      <c r="D32" s="352">
        <f>SUM(D29:D31)</f>
        <v>0</v>
      </c>
      <c r="E32" s="146"/>
      <c r="F32" s="146"/>
    </row>
    <row r="33" spans="1:6" ht="15.4" x14ac:dyDescent="0.45">
      <c r="A33" s="146"/>
      <c r="B33" s="146"/>
      <c r="C33" s="146"/>
      <c r="D33" s="146"/>
      <c r="E33" s="146"/>
      <c r="F33" s="146"/>
    </row>
    <row r="34" spans="1:6" ht="15.4" x14ac:dyDescent="0.45">
      <c r="A34" s="146" t="s">
        <v>240</v>
      </c>
      <c r="B34" s="146"/>
      <c r="C34" s="146"/>
      <c r="D34" s="146"/>
      <c r="E34" s="146"/>
      <c r="F34" s="146"/>
    </row>
    <row r="35" spans="1:6" ht="15.4" x14ac:dyDescent="0.45">
      <c r="A35" s="146" t="s">
        <v>241</v>
      </c>
      <c r="B35" s="146"/>
      <c r="C35" s="146"/>
      <c r="D35" s="148">
        <f>D32</f>
        <v>0</v>
      </c>
      <c r="E35" s="146"/>
      <c r="F35" s="146"/>
    </row>
    <row r="36" spans="1:6" ht="15.4" x14ac:dyDescent="0.45">
      <c r="A36" s="146" t="s">
        <v>242</v>
      </c>
      <c r="B36" s="146"/>
      <c r="C36" s="146"/>
      <c r="D36" s="350">
        <f>ExBAw!E9</f>
        <v>37898</v>
      </c>
      <c r="E36" s="146"/>
      <c r="F36" s="146"/>
    </row>
    <row r="37" spans="1:6" ht="15.4" x14ac:dyDescent="0.45">
      <c r="A37" s="146" t="s">
        <v>243</v>
      </c>
      <c r="B37" s="146"/>
      <c r="C37" s="146"/>
      <c r="D37" s="351">
        <f>D35/D36</f>
        <v>0</v>
      </c>
      <c r="E37" s="146"/>
      <c r="F37" s="146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C69"/>
  <sheetViews>
    <sheetView showGridLines="0" topLeftCell="A11" workbookViewId="0">
      <selection activeCell="A11" sqref="A11:XFD49"/>
    </sheetView>
  </sheetViews>
  <sheetFormatPr defaultColWidth="8.88671875" defaultRowHeight="14.25" x14ac:dyDescent="0.45"/>
  <cols>
    <col min="1" max="1" width="1.88671875" style="1" customWidth="1"/>
    <col min="2" max="2" width="1.77734375" style="1" customWidth="1"/>
    <col min="3" max="3" width="1.6640625" style="36" customWidth="1"/>
    <col min="4" max="4" width="29.33203125" style="36" customWidth="1"/>
    <col min="5" max="5" width="7.77734375" style="317" customWidth="1"/>
    <col min="6" max="6" width="10.109375" style="323" customWidth="1"/>
    <col min="7" max="7" width="7.38671875" style="165" bestFit="1" customWidth="1"/>
    <col min="8" max="8" width="8.77734375" style="335" customWidth="1"/>
    <col min="9" max="9" width="5.77734375" style="64" customWidth="1"/>
    <col min="10" max="10" width="8.77734375" style="36" customWidth="1"/>
    <col min="11" max="11" width="10" style="36" customWidth="1"/>
    <col min="12" max="12" width="1.77734375" style="36" customWidth="1"/>
    <col min="13" max="13" width="2.33203125" style="36" customWidth="1"/>
    <col min="14" max="256" width="9.6640625" style="36" customWidth="1"/>
    <col min="257" max="16384" width="8.88671875" style="1"/>
  </cols>
  <sheetData>
    <row r="1" spans="2:25" x14ac:dyDescent="0.45">
      <c r="N1" s="47"/>
    </row>
    <row r="2" spans="2:25" x14ac:dyDescent="0.45">
      <c r="B2" s="48"/>
      <c r="C2" s="49"/>
      <c r="D2" s="49"/>
      <c r="E2" s="318"/>
      <c r="F2" s="324"/>
      <c r="G2" s="321"/>
      <c r="H2" s="336"/>
      <c r="I2" s="65"/>
      <c r="J2" s="49"/>
      <c r="K2" s="49"/>
      <c r="L2" s="50"/>
      <c r="M2" s="51"/>
    </row>
    <row r="3" spans="2:25" ht="18" x14ac:dyDescent="0.55000000000000004">
      <c r="B3" s="52"/>
      <c r="C3" s="406" t="s">
        <v>46</v>
      </c>
      <c r="D3" s="406"/>
      <c r="E3" s="406"/>
      <c r="F3" s="406"/>
      <c r="G3" s="406"/>
      <c r="H3" s="406"/>
      <c r="I3" s="406"/>
      <c r="J3" s="406"/>
      <c r="K3" s="406"/>
      <c r="L3" s="54"/>
      <c r="M3" s="51"/>
    </row>
    <row r="4" spans="2:25" ht="18" x14ac:dyDescent="0.55000000000000004">
      <c r="B4" s="52"/>
      <c r="C4" s="405" t="s">
        <v>1</v>
      </c>
      <c r="D4" s="405"/>
      <c r="E4" s="405"/>
      <c r="F4" s="405"/>
      <c r="G4" s="405"/>
      <c r="H4" s="405"/>
      <c r="I4" s="405"/>
      <c r="J4" s="405"/>
      <c r="K4" s="405"/>
      <c r="L4" s="54"/>
      <c r="M4" s="51"/>
    </row>
    <row r="5" spans="2:25" ht="15" customHeight="1" x14ac:dyDescent="0.45">
      <c r="B5" s="52"/>
      <c r="C5" s="400" t="s">
        <v>150</v>
      </c>
      <c r="D5" s="400"/>
      <c r="E5" s="400"/>
      <c r="F5" s="400"/>
      <c r="G5" s="400"/>
      <c r="H5" s="400"/>
      <c r="I5" s="400"/>
      <c r="J5" s="400"/>
      <c r="K5" s="400"/>
      <c r="L5" s="54"/>
      <c r="M5" s="51"/>
      <c r="Q5" s="71"/>
      <c r="R5" s="71"/>
      <c r="S5" s="71"/>
      <c r="T5" s="71"/>
      <c r="U5" s="71"/>
      <c r="V5" s="71"/>
      <c r="W5" s="71"/>
      <c r="X5" s="71"/>
      <c r="Y5" s="71"/>
    </row>
    <row r="6" spans="2:25" ht="15" customHeight="1" x14ac:dyDescent="0.45">
      <c r="B6" s="52"/>
      <c r="C6" s="182"/>
      <c r="D6" s="182"/>
      <c r="E6" s="312"/>
      <c r="F6" s="325"/>
      <c r="G6" s="310"/>
      <c r="H6" s="337"/>
      <c r="I6" s="182"/>
      <c r="J6" s="182"/>
      <c r="K6" s="182"/>
      <c r="L6" s="54"/>
      <c r="M6" s="51"/>
      <c r="Q6" s="71"/>
      <c r="R6" s="71"/>
      <c r="S6" s="71"/>
      <c r="T6" s="71"/>
      <c r="U6" s="71"/>
      <c r="V6" s="71"/>
      <c r="W6" s="71"/>
      <c r="X6" s="71"/>
      <c r="Y6" s="71"/>
    </row>
    <row r="7" spans="2:25" ht="15" customHeight="1" x14ac:dyDescent="0.45">
      <c r="B7" s="52"/>
      <c r="C7" s="42"/>
      <c r="D7" s="42"/>
      <c r="E7" s="314"/>
      <c r="F7" s="326"/>
      <c r="G7" s="278"/>
      <c r="H7" s="338"/>
      <c r="I7" s="66"/>
      <c r="J7" s="42"/>
      <c r="K7" s="55" t="s">
        <v>40</v>
      </c>
      <c r="L7" s="54"/>
      <c r="M7" s="51"/>
    </row>
    <row r="8" spans="2:25" ht="15" customHeight="1" x14ac:dyDescent="0.45">
      <c r="B8" s="52"/>
      <c r="C8" s="56"/>
      <c r="D8" s="56"/>
      <c r="E8" s="56" t="s">
        <v>4</v>
      </c>
      <c r="F8" s="327" t="s">
        <v>7</v>
      </c>
      <c r="G8" s="164" t="s">
        <v>61</v>
      </c>
      <c r="H8" s="339"/>
      <c r="I8" s="67" t="s">
        <v>32</v>
      </c>
      <c r="J8" s="53"/>
      <c r="K8" s="55" t="s">
        <v>41</v>
      </c>
      <c r="L8" s="54"/>
      <c r="M8" s="51"/>
      <c r="N8" s="57"/>
    </row>
    <row r="9" spans="2:25" ht="15" customHeight="1" x14ac:dyDescent="0.45">
      <c r="B9" s="52"/>
      <c r="C9" s="55"/>
      <c r="D9" s="55" t="s">
        <v>2</v>
      </c>
      <c r="E9" s="55" t="s">
        <v>5</v>
      </c>
      <c r="F9" s="328" t="s">
        <v>87</v>
      </c>
      <c r="G9" s="164" t="s">
        <v>8</v>
      </c>
      <c r="H9" s="340" t="s">
        <v>9</v>
      </c>
      <c r="I9" s="68" t="s">
        <v>8</v>
      </c>
      <c r="J9" s="55" t="s">
        <v>9</v>
      </c>
      <c r="K9" s="55" t="s">
        <v>10</v>
      </c>
      <c r="L9" s="54"/>
      <c r="M9" s="51"/>
      <c r="N9" s="57"/>
    </row>
    <row r="10" spans="2:25" ht="15" customHeight="1" x14ac:dyDescent="0.45">
      <c r="B10" s="52"/>
      <c r="C10" s="55"/>
      <c r="D10" s="55"/>
      <c r="E10" s="55"/>
      <c r="F10" s="328"/>
      <c r="G10" s="164"/>
      <c r="H10" s="340"/>
      <c r="I10" s="68"/>
      <c r="J10" s="55"/>
      <c r="K10" s="55"/>
      <c r="L10" s="54"/>
      <c r="M10" s="51"/>
      <c r="N10" s="57"/>
    </row>
    <row r="11" spans="2:25" ht="24.95" customHeight="1" x14ac:dyDescent="0.5">
      <c r="B11" s="48"/>
      <c r="C11" s="404" t="s">
        <v>146</v>
      </c>
      <c r="D11" s="404"/>
      <c r="E11" s="203"/>
      <c r="F11" s="329"/>
      <c r="G11" s="311"/>
      <c r="H11" s="341"/>
      <c r="I11" s="204"/>
      <c r="J11" s="203"/>
      <c r="K11" s="203"/>
      <c r="L11" s="202"/>
      <c r="M11" s="51"/>
      <c r="N11" s="57"/>
    </row>
    <row r="12" spans="2:25" ht="15" customHeight="1" x14ac:dyDescent="0.45">
      <c r="B12" s="52"/>
      <c r="C12" s="45"/>
      <c r="D12" s="42"/>
      <c r="E12" s="43"/>
      <c r="F12" s="330"/>
      <c r="G12" s="278"/>
      <c r="H12" s="342"/>
      <c r="I12" s="66"/>
      <c r="J12" s="44"/>
      <c r="K12" s="44"/>
      <c r="L12" s="54"/>
      <c r="M12" s="51"/>
      <c r="N12" s="57"/>
    </row>
    <row r="13" spans="2:25" ht="15" customHeight="1" x14ac:dyDescent="0.45">
      <c r="B13" s="52"/>
      <c r="C13" s="41" t="s">
        <v>186</v>
      </c>
      <c r="D13" s="42"/>
      <c r="E13" s="43"/>
      <c r="F13" s="330"/>
      <c r="G13" s="278"/>
      <c r="H13" s="342"/>
      <c r="I13" s="66"/>
      <c r="J13" s="5"/>
      <c r="K13" s="5"/>
      <c r="L13" s="54"/>
      <c r="M13" s="51"/>
      <c r="N13" s="57"/>
    </row>
    <row r="14" spans="2:25" ht="15" customHeight="1" x14ac:dyDescent="0.45">
      <c r="B14" s="52"/>
      <c r="C14" s="55"/>
      <c r="D14" s="36" t="s">
        <v>187</v>
      </c>
      <c r="E14" s="314" t="s">
        <v>6</v>
      </c>
      <c r="F14" s="331">
        <v>457697</v>
      </c>
      <c r="G14" s="278" t="s">
        <v>188</v>
      </c>
      <c r="H14" s="343">
        <v>15257</v>
      </c>
      <c r="I14" s="315">
        <v>37.5</v>
      </c>
      <c r="J14" s="314">
        <f>F14/I14</f>
        <v>12205.253333333334</v>
      </c>
      <c r="K14" s="314">
        <f>J14-H14</f>
        <v>-3051.746666666666</v>
      </c>
      <c r="L14" s="54"/>
      <c r="M14" s="51"/>
      <c r="N14" s="57"/>
    </row>
    <row r="15" spans="2:25" ht="15" customHeight="1" x14ac:dyDescent="0.45">
      <c r="B15" s="52"/>
      <c r="C15" s="45"/>
      <c r="D15" s="42" t="s">
        <v>189</v>
      </c>
      <c r="E15" s="43"/>
      <c r="F15" s="330"/>
      <c r="G15" s="278"/>
      <c r="H15" s="342"/>
      <c r="I15" s="66">
        <v>10</v>
      </c>
      <c r="J15" s="44"/>
      <c r="K15" s="44"/>
      <c r="L15" s="54"/>
      <c r="M15" s="51"/>
      <c r="N15" s="57"/>
    </row>
    <row r="16" spans="2:25" ht="15" customHeight="1" x14ac:dyDescent="0.45">
      <c r="B16" s="52"/>
      <c r="C16" s="41"/>
      <c r="D16" s="42" t="s">
        <v>190</v>
      </c>
      <c r="E16" s="43" t="s">
        <v>6</v>
      </c>
      <c r="F16" s="330">
        <v>10268</v>
      </c>
      <c r="G16" s="278" t="s">
        <v>188</v>
      </c>
      <c r="H16" s="342">
        <v>1682</v>
      </c>
      <c r="I16" s="66">
        <v>22.5</v>
      </c>
      <c r="J16" s="314">
        <f>F16/I16</f>
        <v>456.35555555555555</v>
      </c>
      <c r="K16" s="314">
        <f>J16-H16</f>
        <v>-1225.6444444444444</v>
      </c>
      <c r="L16" s="54"/>
      <c r="M16" s="51"/>
      <c r="N16" s="57"/>
    </row>
    <row r="17" spans="2:263" ht="15" customHeight="1" x14ac:dyDescent="0.45">
      <c r="B17" s="52"/>
      <c r="C17" s="41"/>
      <c r="D17" s="42" t="s">
        <v>191</v>
      </c>
      <c r="E17" s="43"/>
      <c r="F17" s="330"/>
      <c r="G17" s="278"/>
      <c r="H17" s="342"/>
      <c r="I17" s="66">
        <v>12.5</v>
      </c>
      <c r="J17" s="6"/>
      <c r="K17" s="6"/>
      <c r="L17" s="54"/>
      <c r="M17" s="51"/>
      <c r="N17" s="57"/>
    </row>
    <row r="18" spans="2:263" ht="15" customHeight="1" x14ac:dyDescent="0.45">
      <c r="B18" s="52"/>
      <c r="C18" s="41"/>
      <c r="D18" s="42" t="s">
        <v>192</v>
      </c>
      <c r="E18" s="43"/>
      <c r="F18" s="330"/>
      <c r="G18" s="278"/>
      <c r="H18" s="342"/>
      <c r="I18" s="66">
        <v>17.5</v>
      </c>
      <c r="J18" s="6"/>
      <c r="K18" s="6"/>
      <c r="L18" s="54"/>
      <c r="M18" s="51"/>
      <c r="N18" s="57"/>
    </row>
    <row r="19" spans="2:263" ht="15" customHeight="1" x14ac:dyDescent="0.45">
      <c r="B19" s="52"/>
      <c r="C19" s="41"/>
      <c r="D19" s="42" t="s">
        <v>193</v>
      </c>
      <c r="E19" s="43"/>
      <c r="F19" s="330"/>
      <c r="G19" s="278"/>
      <c r="H19" s="342"/>
      <c r="I19" s="66">
        <v>15</v>
      </c>
      <c r="J19" s="6"/>
      <c r="K19" s="6"/>
      <c r="L19" s="54"/>
      <c r="M19" s="51"/>
      <c r="N19" s="57"/>
    </row>
    <row r="20" spans="2:263" ht="15" customHeight="1" x14ac:dyDescent="0.45">
      <c r="B20" s="52"/>
      <c r="C20" s="41"/>
      <c r="D20" s="42"/>
      <c r="E20" s="43"/>
      <c r="F20" s="330"/>
      <c r="G20" s="278"/>
      <c r="H20" s="342"/>
      <c r="I20" s="66"/>
      <c r="J20" s="6"/>
      <c r="K20" s="6"/>
      <c r="L20" s="54"/>
      <c r="M20" s="51"/>
      <c r="N20" s="57"/>
    </row>
    <row r="21" spans="2:263" ht="15" customHeight="1" x14ac:dyDescent="0.45">
      <c r="B21" s="52"/>
      <c r="C21" s="41" t="s">
        <v>194</v>
      </c>
      <c r="D21" s="42"/>
      <c r="E21" s="43"/>
      <c r="F21" s="330"/>
      <c r="G21" s="278"/>
      <c r="H21" s="342"/>
      <c r="I21" s="66"/>
      <c r="J21" s="6"/>
      <c r="K21" s="6"/>
      <c r="L21" s="54"/>
      <c r="M21" s="51"/>
      <c r="N21" s="57"/>
    </row>
    <row r="22" spans="2:263" ht="15" customHeight="1" x14ac:dyDescent="0.45">
      <c r="B22" s="52"/>
      <c r="C22" s="41"/>
      <c r="D22" s="42" t="s">
        <v>195</v>
      </c>
      <c r="E22" s="43"/>
      <c r="F22" s="330"/>
      <c r="G22" s="278"/>
      <c r="H22" s="342"/>
      <c r="I22" s="66">
        <v>62.5</v>
      </c>
      <c r="J22" s="6"/>
      <c r="K22" s="6"/>
      <c r="L22" s="54"/>
      <c r="M22" s="51"/>
      <c r="N22" s="57"/>
    </row>
    <row r="23" spans="2:263" ht="15" customHeight="1" x14ac:dyDescent="0.45">
      <c r="B23" s="52"/>
      <c r="C23" s="41"/>
      <c r="D23" s="42" t="s">
        <v>196</v>
      </c>
      <c r="E23" s="43"/>
      <c r="F23" s="330"/>
      <c r="G23" s="278"/>
      <c r="H23" s="342"/>
      <c r="I23" s="66">
        <v>62.5</v>
      </c>
      <c r="J23" s="6"/>
      <c r="K23" s="6"/>
      <c r="L23" s="54"/>
      <c r="M23" s="51"/>
      <c r="N23" s="57"/>
    </row>
    <row r="24" spans="2:263" ht="15" customHeight="1" x14ac:dyDescent="0.45">
      <c r="B24" s="52"/>
      <c r="C24" s="1"/>
      <c r="D24" s="1"/>
      <c r="E24" s="2"/>
      <c r="F24" s="332"/>
      <c r="G24" s="55"/>
      <c r="H24" s="342"/>
      <c r="I24" s="9"/>
      <c r="J24" s="41"/>
      <c r="K24" s="42"/>
      <c r="L24" s="380"/>
      <c r="M24" s="6"/>
      <c r="N24" s="278"/>
      <c r="O24" s="6"/>
      <c r="P24" s="66"/>
      <c r="Q24" s="6"/>
      <c r="R24" s="6"/>
      <c r="S24" s="54"/>
      <c r="T24" s="51"/>
      <c r="U24" s="57"/>
      <c r="IW24" s="36"/>
      <c r="IX24" s="36"/>
      <c r="IY24" s="36"/>
      <c r="IZ24" s="36"/>
      <c r="JA24" s="36"/>
      <c r="JB24" s="36"/>
      <c r="JC24" s="36"/>
    </row>
    <row r="25" spans="2:263" ht="15" customHeight="1" x14ac:dyDescent="0.45">
      <c r="B25" s="52"/>
      <c r="C25" s="41" t="s">
        <v>197</v>
      </c>
      <c r="D25" s="42"/>
      <c r="E25" s="43"/>
      <c r="F25" s="330"/>
      <c r="G25" s="278"/>
      <c r="H25" s="342"/>
      <c r="I25" s="66"/>
      <c r="J25" s="6"/>
      <c r="K25" s="6"/>
      <c r="L25" s="54"/>
      <c r="M25" s="51"/>
      <c r="N25" s="57"/>
    </row>
    <row r="26" spans="2:263" ht="15" customHeight="1" x14ac:dyDescent="0.45">
      <c r="B26" s="52"/>
      <c r="C26" s="41"/>
      <c r="D26" s="42" t="s">
        <v>187</v>
      </c>
      <c r="E26" s="43"/>
      <c r="F26" s="330"/>
      <c r="G26" s="278"/>
      <c r="H26" s="342"/>
      <c r="I26" s="66">
        <v>37.5</v>
      </c>
      <c r="J26" s="6"/>
      <c r="K26" s="6"/>
      <c r="L26" s="54"/>
      <c r="M26" s="51"/>
      <c r="N26" s="57"/>
    </row>
    <row r="27" spans="2:263" ht="15" customHeight="1" x14ac:dyDescent="0.45">
      <c r="B27" s="52"/>
      <c r="C27" s="45"/>
      <c r="D27" s="42" t="s">
        <v>198</v>
      </c>
      <c r="E27" s="43"/>
      <c r="F27" s="330"/>
      <c r="G27" s="278"/>
      <c r="H27" s="342"/>
      <c r="I27" s="66">
        <v>10</v>
      </c>
      <c r="J27" s="6"/>
      <c r="K27" s="6"/>
      <c r="L27" s="54"/>
      <c r="M27" s="51"/>
      <c r="N27" s="57"/>
    </row>
    <row r="28" spans="2:263" ht="15" customHeight="1" x14ac:dyDescent="0.45">
      <c r="B28" s="52"/>
      <c r="C28" s="41"/>
      <c r="D28" s="42" t="s">
        <v>199</v>
      </c>
      <c r="E28" s="43"/>
      <c r="F28" s="330"/>
      <c r="G28" s="278"/>
      <c r="H28" s="342"/>
      <c r="I28" s="66">
        <v>20</v>
      </c>
      <c r="J28" s="6"/>
      <c r="K28" s="6"/>
      <c r="L28" s="54"/>
      <c r="M28" s="51"/>
      <c r="N28" s="57"/>
    </row>
    <row r="29" spans="2:263" ht="15" customHeight="1" x14ac:dyDescent="0.45">
      <c r="B29" s="52"/>
      <c r="C29" s="41"/>
      <c r="D29" s="42"/>
      <c r="E29" s="163"/>
      <c r="F29" s="330"/>
      <c r="G29" s="278"/>
      <c r="H29" s="342"/>
      <c r="I29" s="66"/>
      <c r="J29" s="6"/>
      <c r="K29" s="6"/>
      <c r="L29" s="54"/>
      <c r="M29" s="51"/>
      <c r="N29" s="57"/>
    </row>
    <row r="30" spans="2:263" ht="15" customHeight="1" x14ac:dyDescent="0.45">
      <c r="B30" s="52"/>
      <c r="C30" s="45" t="s">
        <v>200</v>
      </c>
      <c r="D30" s="42"/>
      <c r="E30" s="163"/>
      <c r="F30" s="330"/>
      <c r="G30" s="278"/>
      <c r="H30" s="342"/>
      <c r="I30" s="66"/>
      <c r="J30" s="6"/>
      <c r="K30" s="6"/>
      <c r="L30" s="54"/>
      <c r="M30" s="51"/>
      <c r="N30" s="57"/>
    </row>
    <row r="31" spans="2:263" ht="15" customHeight="1" x14ac:dyDescent="0.45">
      <c r="B31" s="52"/>
      <c r="C31" s="41"/>
      <c r="D31" s="42" t="s">
        <v>201</v>
      </c>
      <c r="E31" s="43" t="s">
        <v>6</v>
      </c>
      <c r="F31" s="330">
        <v>581772</v>
      </c>
      <c r="G31" s="278" t="s">
        <v>188</v>
      </c>
      <c r="H31" s="342">
        <v>14544</v>
      </c>
      <c r="I31" s="66">
        <v>50</v>
      </c>
      <c r="J31" s="314">
        <f t="shared" ref="J31:J33" si="0">F31/I31</f>
        <v>11635.44</v>
      </c>
      <c r="K31" s="314">
        <f t="shared" ref="K31:K33" si="1">J31-H31</f>
        <v>-2908.5599999999995</v>
      </c>
      <c r="L31" s="54"/>
      <c r="M31" s="51"/>
      <c r="N31" s="57"/>
    </row>
    <row r="32" spans="2:263" ht="15" customHeight="1" x14ac:dyDescent="0.45">
      <c r="B32" s="52"/>
      <c r="C32" s="41"/>
      <c r="D32" s="42" t="s">
        <v>202</v>
      </c>
      <c r="E32" s="43" t="s">
        <v>6</v>
      </c>
      <c r="F32" s="330">
        <v>19369779</v>
      </c>
      <c r="G32" s="278" t="s">
        <v>188</v>
      </c>
      <c r="H32" s="342">
        <v>480944</v>
      </c>
      <c r="I32" s="66">
        <v>62.5</v>
      </c>
      <c r="J32" s="314">
        <f t="shared" si="0"/>
        <v>309916.46399999998</v>
      </c>
      <c r="K32" s="314">
        <f t="shared" si="1"/>
        <v>-171027.53600000002</v>
      </c>
      <c r="L32" s="54"/>
      <c r="M32" s="51"/>
      <c r="N32" s="57"/>
    </row>
    <row r="33" spans="2:14" ht="15" customHeight="1" x14ac:dyDescent="0.45">
      <c r="B33" s="52"/>
      <c r="C33" s="41"/>
      <c r="D33" s="42" t="s">
        <v>203</v>
      </c>
      <c r="E33" s="43" t="s">
        <v>6</v>
      </c>
      <c r="F33" s="330">
        <v>944437</v>
      </c>
      <c r="G33" s="278" t="s">
        <v>188</v>
      </c>
      <c r="H33" s="342">
        <v>12589</v>
      </c>
      <c r="I33" s="66">
        <v>45</v>
      </c>
      <c r="J33" s="314">
        <f t="shared" si="0"/>
        <v>20987.488888888889</v>
      </c>
      <c r="K33" s="314">
        <f t="shared" si="1"/>
        <v>8398.4888888888891</v>
      </c>
      <c r="L33" s="54"/>
      <c r="M33" s="51"/>
      <c r="N33" s="57"/>
    </row>
    <row r="34" spans="2:14" ht="15" customHeight="1" x14ac:dyDescent="0.45">
      <c r="B34" s="52"/>
      <c r="C34" s="45"/>
      <c r="D34" s="42" t="s">
        <v>204</v>
      </c>
      <c r="E34" s="43"/>
      <c r="F34" s="330"/>
      <c r="G34" s="278"/>
      <c r="H34" s="342"/>
      <c r="I34" s="66">
        <v>15</v>
      </c>
      <c r="J34" s="6"/>
      <c r="K34" s="6"/>
      <c r="L34" s="54"/>
      <c r="M34" s="51"/>
      <c r="N34" s="57"/>
    </row>
    <row r="35" spans="2:14" ht="15" customHeight="1" x14ac:dyDescent="0.45">
      <c r="B35" s="52"/>
      <c r="C35" s="41"/>
      <c r="D35" s="42" t="s">
        <v>205</v>
      </c>
      <c r="E35" s="43"/>
      <c r="F35" s="330"/>
      <c r="G35" s="278"/>
      <c r="H35" s="342"/>
      <c r="I35" s="66">
        <v>20</v>
      </c>
      <c r="J35" s="6"/>
      <c r="K35" s="6"/>
      <c r="L35" s="54"/>
      <c r="M35" s="51"/>
      <c r="N35" s="57"/>
    </row>
    <row r="36" spans="2:14" ht="15" customHeight="1" x14ac:dyDescent="0.45">
      <c r="B36" s="52"/>
      <c r="C36" s="41"/>
      <c r="D36" s="42" t="s">
        <v>206</v>
      </c>
      <c r="E36" s="43"/>
      <c r="F36" s="330"/>
      <c r="G36" s="278"/>
      <c r="H36" s="342"/>
      <c r="I36" s="66">
        <v>37.5</v>
      </c>
      <c r="J36" s="5"/>
      <c r="K36" s="5"/>
      <c r="L36" s="54"/>
      <c r="M36" s="51"/>
      <c r="N36" s="57"/>
    </row>
    <row r="37" spans="2:14" ht="15" customHeight="1" x14ac:dyDescent="0.45">
      <c r="B37" s="52"/>
      <c r="C37" s="45"/>
      <c r="D37" s="42" t="s">
        <v>207</v>
      </c>
      <c r="E37" s="43" t="s">
        <v>6</v>
      </c>
      <c r="F37" s="330">
        <v>942321</v>
      </c>
      <c r="G37" s="278" t="s">
        <v>188</v>
      </c>
      <c r="H37" s="342">
        <v>23304</v>
      </c>
      <c r="I37" s="66">
        <v>40</v>
      </c>
      <c r="J37" s="314">
        <f>F37/I37</f>
        <v>23558.025000000001</v>
      </c>
      <c r="K37" s="314">
        <f>J37-H37</f>
        <v>254.02500000000146</v>
      </c>
      <c r="L37" s="54"/>
      <c r="M37" s="51"/>
      <c r="N37" s="57"/>
    </row>
    <row r="38" spans="2:14" ht="15" customHeight="1" x14ac:dyDescent="0.45">
      <c r="B38" s="52"/>
      <c r="C38" s="41"/>
      <c r="D38" s="42" t="s">
        <v>208</v>
      </c>
      <c r="E38" s="43"/>
      <c r="F38" s="330"/>
      <c r="G38" s="278"/>
      <c r="H38" s="342"/>
      <c r="I38" s="66">
        <v>45</v>
      </c>
      <c r="J38" s="6"/>
      <c r="K38" s="6"/>
      <c r="L38" s="54"/>
      <c r="M38" s="51"/>
      <c r="N38" s="57"/>
    </row>
    <row r="39" spans="2:14" ht="15" customHeight="1" x14ac:dyDescent="0.45">
      <c r="B39" s="52"/>
      <c r="C39" s="41"/>
      <c r="D39" s="42" t="s">
        <v>209</v>
      </c>
      <c r="E39" s="43"/>
      <c r="F39" s="330"/>
      <c r="G39" s="278"/>
      <c r="H39" s="342"/>
      <c r="I39" s="66">
        <v>15</v>
      </c>
      <c r="J39" s="6"/>
      <c r="K39" s="6"/>
      <c r="L39" s="54"/>
      <c r="M39" s="51"/>
      <c r="N39" s="57"/>
    </row>
    <row r="40" spans="2:14" ht="15" customHeight="1" x14ac:dyDescent="0.45">
      <c r="B40" s="52"/>
      <c r="C40" s="41"/>
      <c r="D40" s="42"/>
      <c r="E40" s="163"/>
      <c r="F40" s="330"/>
      <c r="G40" s="278"/>
      <c r="H40" s="342"/>
      <c r="I40" s="66"/>
      <c r="J40" s="5"/>
      <c r="K40" s="5"/>
      <c r="L40" s="54"/>
      <c r="M40" s="51"/>
      <c r="N40" s="57"/>
    </row>
    <row r="41" spans="2:14" ht="15" customHeight="1" x14ac:dyDescent="0.45">
      <c r="B41" s="52"/>
      <c r="C41" s="45" t="s">
        <v>210</v>
      </c>
      <c r="D41" s="45"/>
      <c r="E41" s="314"/>
      <c r="F41" s="326"/>
      <c r="G41" s="278"/>
      <c r="H41" s="344"/>
      <c r="I41" s="70"/>
      <c r="J41" s="46"/>
      <c r="K41" s="46"/>
      <c r="L41" s="54"/>
      <c r="M41" s="51"/>
    </row>
    <row r="42" spans="2:14" ht="15" customHeight="1" x14ac:dyDescent="0.45">
      <c r="B42" s="52"/>
      <c r="C42" s="42"/>
      <c r="D42" s="42" t="s">
        <v>211</v>
      </c>
      <c r="E42" s="314" t="s">
        <v>6</v>
      </c>
      <c r="F42" s="326">
        <v>64321</v>
      </c>
      <c r="G42" s="278" t="s">
        <v>188</v>
      </c>
      <c r="H42" s="342">
        <v>11767</v>
      </c>
      <c r="I42" s="66">
        <v>7</v>
      </c>
      <c r="J42" s="314">
        <f>F42/I42</f>
        <v>9188.7142857142862</v>
      </c>
      <c r="K42" s="314">
        <f>J42-H42</f>
        <v>-2578.2857142857138</v>
      </c>
      <c r="L42" s="54"/>
      <c r="M42" s="51"/>
    </row>
    <row r="43" spans="2:14" ht="15" customHeight="1" x14ac:dyDescent="0.5">
      <c r="B43" s="52"/>
      <c r="C43" s="320"/>
      <c r="D43" s="320"/>
      <c r="E43" s="314"/>
      <c r="F43" s="326"/>
      <c r="G43" s="278"/>
      <c r="H43" s="344"/>
      <c r="I43" s="70"/>
      <c r="J43" s="46"/>
      <c r="K43" s="46"/>
      <c r="L43" s="54"/>
      <c r="M43" s="51"/>
    </row>
    <row r="44" spans="2:14" ht="15" customHeight="1" x14ac:dyDescent="0.45">
      <c r="B44" s="52"/>
      <c r="C44" s="45" t="s">
        <v>212</v>
      </c>
      <c r="D44" s="42"/>
      <c r="E44" s="43"/>
      <c r="F44" s="330"/>
      <c r="G44" s="278"/>
      <c r="H44" s="342"/>
      <c r="I44" s="66"/>
      <c r="J44" s="44"/>
      <c r="K44" s="44"/>
      <c r="L44" s="54"/>
      <c r="M44" s="51"/>
    </row>
    <row r="45" spans="2:14" ht="15" customHeight="1" x14ac:dyDescent="0.45">
      <c r="B45" s="52"/>
      <c r="C45" s="42"/>
      <c r="D45" s="42" t="s">
        <v>213</v>
      </c>
      <c r="E45" s="43"/>
      <c r="F45" s="330"/>
      <c r="G45" s="278"/>
      <c r="H45" s="342"/>
      <c r="I45" s="66">
        <v>62.5</v>
      </c>
      <c r="J45" s="6"/>
      <c r="K45" s="6"/>
      <c r="L45" s="54"/>
      <c r="M45" s="51"/>
    </row>
    <row r="46" spans="2:14" ht="15" customHeight="1" x14ac:dyDescent="0.45">
      <c r="B46" s="52"/>
      <c r="C46" s="42"/>
      <c r="D46" s="42" t="s">
        <v>214</v>
      </c>
      <c r="E46" s="314"/>
      <c r="F46" s="326"/>
      <c r="G46" s="278"/>
      <c r="H46" s="344"/>
      <c r="I46" s="66">
        <v>27.5</v>
      </c>
      <c r="J46" s="46"/>
      <c r="K46" s="46"/>
      <c r="L46" s="54"/>
      <c r="M46" s="51"/>
    </row>
    <row r="47" spans="2:14" ht="15" customHeight="1" x14ac:dyDescent="0.45">
      <c r="B47" s="52"/>
      <c r="C47" s="45"/>
      <c r="D47" s="45"/>
      <c r="E47" s="314"/>
      <c r="F47" s="326"/>
      <c r="G47" s="278"/>
      <c r="H47" s="344"/>
      <c r="I47" s="70"/>
      <c r="J47" s="46"/>
      <c r="K47" s="46"/>
      <c r="L47" s="54"/>
      <c r="M47" s="51"/>
    </row>
    <row r="48" spans="2:14" ht="15" customHeight="1" x14ac:dyDescent="0.45">
      <c r="B48" s="52"/>
      <c r="C48" s="45" t="s">
        <v>215</v>
      </c>
      <c r="D48" s="45"/>
      <c r="E48" s="316"/>
      <c r="F48" s="322">
        <f>SUM(F14:F46)</f>
        <v>22370595</v>
      </c>
      <c r="G48" s="313"/>
      <c r="H48" s="322">
        <f>SUM(H14:H46)</f>
        <v>560087</v>
      </c>
      <c r="I48" s="70"/>
      <c r="J48" s="322">
        <f>SUM(J14:J46)</f>
        <v>387947.74106349208</v>
      </c>
      <c r="K48" s="322">
        <f>SUM(K14:K46)</f>
        <v>-172139.25893650798</v>
      </c>
      <c r="L48" s="54"/>
      <c r="M48" s="51"/>
    </row>
    <row r="49" spans="2:17" ht="15" customHeight="1" x14ac:dyDescent="0.45">
      <c r="B49" s="58"/>
      <c r="C49" s="59"/>
      <c r="D49" s="59"/>
      <c r="E49" s="319"/>
      <c r="F49" s="333"/>
      <c r="G49" s="276"/>
      <c r="H49" s="345"/>
      <c r="I49" s="69"/>
      <c r="J49" s="59"/>
      <c r="K49" s="60"/>
      <c r="L49" s="61"/>
      <c r="M49" s="62"/>
      <c r="Q49" s="238"/>
    </row>
    <row r="50" spans="2:17" ht="15" customHeight="1" x14ac:dyDescent="0.45">
      <c r="C50" s="51"/>
      <c r="D50" s="51"/>
      <c r="E50" s="314"/>
      <c r="F50" s="330"/>
      <c r="G50" s="278"/>
      <c r="H50" s="342"/>
      <c r="I50" s="63"/>
      <c r="J50" s="51"/>
      <c r="K50" s="51"/>
      <c r="L50" s="51"/>
    </row>
    <row r="51" spans="2:17" ht="15.75" x14ac:dyDescent="0.5">
      <c r="B51" s="48"/>
      <c r="C51" s="404" t="s">
        <v>147</v>
      </c>
      <c r="D51" s="404"/>
      <c r="E51" s="318"/>
      <c r="F51" s="334"/>
      <c r="G51" s="321"/>
      <c r="H51" s="346"/>
      <c r="I51" s="201"/>
      <c r="J51" s="200"/>
      <c r="K51" s="200"/>
      <c r="L51" s="202"/>
    </row>
    <row r="52" spans="2:17" x14ac:dyDescent="0.45">
      <c r="B52" s="52"/>
      <c r="C52" s="42"/>
      <c r="D52" s="45"/>
      <c r="E52" s="314"/>
      <c r="F52" s="326"/>
      <c r="G52" s="278"/>
      <c r="H52" s="344"/>
      <c r="I52" s="70"/>
      <c r="J52" s="314"/>
      <c r="K52" s="314"/>
      <c r="L52" s="54"/>
    </row>
    <row r="53" spans="2:17" x14ac:dyDescent="0.45">
      <c r="B53" s="52"/>
      <c r="C53" s="45" t="s">
        <v>134</v>
      </c>
      <c r="D53" s="45"/>
      <c r="E53" s="314"/>
      <c r="F53" s="326"/>
      <c r="G53" s="278"/>
      <c r="H53" s="344"/>
      <c r="I53" s="70"/>
      <c r="J53" s="314"/>
      <c r="K53" s="314"/>
      <c r="L53" s="54"/>
    </row>
    <row r="54" spans="2:17" x14ac:dyDescent="0.45">
      <c r="B54" s="52"/>
      <c r="C54" s="42"/>
      <c r="D54" s="42" t="s">
        <v>216</v>
      </c>
      <c r="E54" s="43" t="s">
        <v>6</v>
      </c>
      <c r="F54" s="330">
        <v>7475664</v>
      </c>
      <c r="G54" s="278" t="s">
        <v>133</v>
      </c>
      <c r="H54" s="342">
        <v>249132.83</v>
      </c>
      <c r="I54" s="66">
        <v>52.5</v>
      </c>
      <c r="J54" s="314">
        <f t="shared" ref="J54" si="2">F54/I54</f>
        <v>142393.60000000001</v>
      </c>
      <c r="K54" s="314">
        <f t="shared" ref="K54" si="3">J54-H54</f>
        <v>-106739.22999999998</v>
      </c>
      <c r="L54" s="54"/>
    </row>
    <row r="55" spans="2:17" x14ac:dyDescent="0.45">
      <c r="B55" s="52"/>
      <c r="C55" s="42"/>
      <c r="D55" s="42" t="s">
        <v>217</v>
      </c>
      <c r="E55" s="43" t="s">
        <v>6</v>
      </c>
      <c r="F55" s="330">
        <v>1061590</v>
      </c>
      <c r="G55" s="278" t="s">
        <v>133</v>
      </c>
      <c r="H55" s="342">
        <v>21749.75</v>
      </c>
      <c r="I55" s="66">
        <v>52.5</v>
      </c>
      <c r="J55" s="314">
        <f t="shared" ref="J55" si="4">F55/I55</f>
        <v>20220.761904761905</v>
      </c>
      <c r="K55" s="314">
        <f t="shared" ref="K55" si="5">J55-H55</f>
        <v>-1528.9880952380954</v>
      </c>
      <c r="L55" s="54"/>
    </row>
    <row r="56" spans="2:17" x14ac:dyDescent="0.45">
      <c r="B56" s="52"/>
      <c r="C56" s="42"/>
      <c r="D56" s="42" t="s">
        <v>218</v>
      </c>
      <c r="E56" s="43" t="s">
        <v>6</v>
      </c>
      <c r="F56" s="330">
        <v>2093157</v>
      </c>
      <c r="G56" s="278" t="s">
        <v>133</v>
      </c>
      <c r="H56" s="342">
        <v>510.29</v>
      </c>
      <c r="I56" s="66">
        <v>35</v>
      </c>
      <c r="J56" s="314">
        <f t="shared" ref="J56" si="6">F56/I56</f>
        <v>59804.485714285714</v>
      </c>
      <c r="K56" s="314">
        <f t="shared" ref="K56" si="7">J56-H56</f>
        <v>59294.195714285714</v>
      </c>
      <c r="L56" s="54"/>
    </row>
    <row r="57" spans="2:17" x14ac:dyDescent="0.45">
      <c r="B57" s="52"/>
      <c r="C57" s="42"/>
      <c r="D57" s="42"/>
      <c r="E57" s="43"/>
      <c r="F57" s="330"/>
      <c r="G57" s="278"/>
      <c r="H57" s="342"/>
      <c r="I57" s="66"/>
      <c r="J57" s="314"/>
      <c r="K57" s="314"/>
      <c r="L57" s="54"/>
    </row>
    <row r="58" spans="2:17" x14ac:dyDescent="0.45">
      <c r="B58" s="52"/>
      <c r="C58" s="45" t="s">
        <v>219</v>
      </c>
      <c r="D58" s="1"/>
      <c r="E58" s="43" t="s">
        <v>6</v>
      </c>
      <c r="F58" s="330">
        <v>374958</v>
      </c>
      <c r="G58" s="278" t="s">
        <v>133</v>
      </c>
      <c r="H58" s="342">
        <v>0</v>
      </c>
      <c r="I58" s="66">
        <v>7</v>
      </c>
      <c r="J58" s="314">
        <f t="shared" ref="J58" si="8">F58/I58</f>
        <v>53565.428571428572</v>
      </c>
      <c r="K58" s="314">
        <f t="shared" ref="K58" si="9">J58-H58</f>
        <v>53565.428571428572</v>
      </c>
      <c r="L58" s="54"/>
    </row>
    <row r="59" spans="2:17" x14ac:dyDescent="0.45">
      <c r="B59" s="52"/>
      <c r="C59" s="42"/>
      <c r="D59" s="42"/>
      <c r="E59" s="43"/>
      <c r="F59" s="330"/>
      <c r="G59" s="278"/>
      <c r="H59" s="342"/>
      <c r="I59" s="66"/>
      <c r="J59" s="314"/>
      <c r="K59" s="314"/>
      <c r="L59" s="54"/>
    </row>
    <row r="60" spans="2:17" x14ac:dyDescent="0.45">
      <c r="B60" s="52"/>
      <c r="C60" s="347" t="s">
        <v>210</v>
      </c>
      <c r="D60" s="42"/>
      <c r="E60" s="43" t="s">
        <v>6</v>
      </c>
      <c r="F60" s="330">
        <v>24410</v>
      </c>
      <c r="G60" s="278" t="s">
        <v>133</v>
      </c>
      <c r="H60" s="342">
        <v>4882</v>
      </c>
      <c r="I60" s="66">
        <v>4</v>
      </c>
      <c r="J60" s="314">
        <f t="shared" ref="J60" si="10">F60/I60</f>
        <v>6102.5</v>
      </c>
      <c r="K60" s="314">
        <f t="shared" ref="K60" si="11">J60-H60</f>
        <v>1220.5</v>
      </c>
      <c r="L60" s="54"/>
    </row>
    <row r="61" spans="2:17" x14ac:dyDescent="0.45">
      <c r="B61" s="52"/>
      <c r="C61" s="347"/>
      <c r="D61" s="42"/>
      <c r="E61" s="43"/>
      <c r="F61" s="330"/>
      <c r="G61" s="278"/>
      <c r="H61" s="342"/>
      <c r="I61" s="66"/>
      <c r="J61" s="314"/>
      <c r="K61" s="314"/>
      <c r="L61" s="54"/>
    </row>
    <row r="62" spans="2:17" x14ac:dyDescent="0.45">
      <c r="B62" s="52"/>
      <c r="C62" s="347" t="s">
        <v>220</v>
      </c>
      <c r="D62" s="42"/>
      <c r="E62" s="43" t="s">
        <v>6</v>
      </c>
      <c r="F62" s="330">
        <v>65174</v>
      </c>
      <c r="G62" s="278" t="s">
        <v>133</v>
      </c>
      <c r="H62" s="342">
        <v>6517.41</v>
      </c>
      <c r="I62" s="66">
        <v>17.5</v>
      </c>
      <c r="J62" s="314">
        <f t="shared" ref="J62" si="12">F62/I62</f>
        <v>3724.2285714285713</v>
      </c>
      <c r="K62" s="314">
        <f t="shared" ref="K62" si="13">J62-H62</f>
        <v>-2793.1814285714286</v>
      </c>
      <c r="L62" s="54"/>
    </row>
    <row r="63" spans="2:17" x14ac:dyDescent="0.45">
      <c r="B63" s="52"/>
      <c r="C63" s="347"/>
      <c r="D63" s="42"/>
      <c r="E63" s="43"/>
      <c r="F63" s="330"/>
      <c r="G63" s="278"/>
      <c r="H63" s="342"/>
      <c r="I63" s="66"/>
      <c r="J63" s="314"/>
      <c r="K63" s="314"/>
      <c r="L63" s="54"/>
    </row>
    <row r="64" spans="2:17" x14ac:dyDescent="0.45">
      <c r="B64" s="52"/>
      <c r="C64" s="45" t="s">
        <v>221</v>
      </c>
      <c r="D64" s="42"/>
      <c r="E64" s="43" t="s">
        <v>6</v>
      </c>
      <c r="F64" s="330">
        <v>0</v>
      </c>
      <c r="G64" s="278" t="s">
        <v>133</v>
      </c>
      <c r="H64" s="342">
        <v>-59.9</v>
      </c>
      <c r="I64" s="66">
        <v>12.5</v>
      </c>
      <c r="J64" s="314">
        <f t="shared" ref="J64" si="14">F64/I64</f>
        <v>0</v>
      </c>
      <c r="K64" s="314">
        <f t="shared" ref="K64" si="15">J64-H64</f>
        <v>59.9</v>
      </c>
      <c r="L64" s="54"/>
    </row>
    <row r="65" spans="2:12" x14ac:dyDescent="0.45">
      <c r="B65" s="52"/>
      <c r="C65" s="42"/>
      <c r="D65" s="45"/>
      <c r="E65" s="314"/>
      <c r="F65" s="326"/>
      <c r="G65" s="278"/>
      <c r="H65" s="344"/>
      <c r="I65" s="70"/>
      <c r="J65" s="46"/>
      <c r="K65" s="46"/>
      <c r="L65" s="54"/>
    </row>
    <row r="66" spans="2:12" x14ac:dyDescent="0.45">
      <c r="B66" s="52"/>
      <c r="C66" s="42"/>
      <c r="D66" s="45" t="s">
        <v>135</v>
      </c>
      <c r="E66" s="314"/>
      <c r="F66" s="344">
        <f>SUM(F52:F64)</f>
        <v>11094953</v>
      </c>
      <c r="G66" s="278"/>
      <c r="H66" s="344">
        <f>SUM(H52:H64)</f>
        <v>282732.37999999989</v>
      </c>
      <c r="I66" s="70"/>
      <c r="J66" s="344">
        <f>SUM(J52:J64)</f>
        <v>285811.00476190477</v>
      </c>
      <c r="K66" s="344">
        <f>SUM(K52:K64)</f>
        <v>3078.6247619047845</v>
      </c>
      <c r="L66" s="54"/>
    </row>
    <row r="67" spans="2:12" x14ac:dyDescent="0.45">
      <c r="B67" s="58"/>
      <c r="C67" s="59"/>
      <c r="D67" s="59"/>
      <c r="E67" s="319"/>
      <c r="F67" s="333"/>
      <c r="G67" s="276"/>
      <c r="H67" s="345"/>
      <c r="I67" s="69"/>
      <c r="J67" s="59"/>
      <c r="K67" s="60"/>
      <c r="L67" s="61"/>
    </row>
    <row r="69" spans="2:12" x14ac:dyDescent="0.45">
      <c r="D69" s="36" t="s">
        <v>136</v>
      </c>
    </row>
  </sheetData>
  <mergeCells count="5">
    <mergeCell ref="C51:D51"/>
    <mergeCell ref="C5:K5"/>
    <mergeCell ref="C4:K4"/>
    <mergeCell ref="C3:K3"/>
    <mergeCell ref="C11:D11"/>
  </mergeCells>
  <printOptions horizontalCentered="1"/>
  <pageMargins left="0.75" right="0.55000000000000004" top="0.75" bottom="0.25" header="0" footer="0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5"/>
  <sheetViews>
    <sheetView showGridLines="0" tabSelected="1" topLeftCell="A4" workbookViewId="0">
      <selection activeCell="A31" sqref="A1:XFD31"/>
    </sheetView>
  </sheetViews>
  <sheetFormatPr defaultColWidth="8.88671875" defaultRowHeight="14.25" x14ac:dyDescent="0.45"/>
  <cols>
    <col min="1" max="1" width="1.6640625" style="17" customWidth="1"/>
    <col min="2" max="2" width="16.38671875" style="291" bestFit="1" customWidth="1"/>
    <col min="3" max="7" width="7.83203125" style="17" bestFit="1" customWidth="1"/>
    <col min="8" max="8" width="7.83203125" style="17" customWidth="1"/>
    <col min="9" max="12" width="7.83203125" style="17" bestFit="1" customWidth="1"/>
    <col min="13" max="13" width="10" style="17" customWidth="1"/>
    <col min="14" max="14" width="0.77734375" style="17" customWidth="1"/>
    <col min="15" max="15" width="2.21875" style="17" customWidth="1"/>
    <col min="16" max="16384" width="8.88671875" style="17"/>
  </cols>
  <sheetData>
    <row r="1" spans="1:19" ht="15.4" x14ac:dyDescent="0.45">
      <c r="A1"/>
    </row>
    <row r="2" spans="1:19" ht="15.4" x14ac:dyDescent="0.45">
      <c r="A2"/>
      <c r="B2" s="134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</row>
    <row r="3" spans="1:19" ht="18" x14ac:dyDescent="0.55000000000000004">
      <c r="A3"/>
      <c r="B3" s="407" t="s">
        <v>0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94"/>
    </row>
    <row r="4" spans="1:19" ht="18" x14ac:dyDescent="0.55000000000000004">
      <c r="A4"/>
      <c r="B4" s="409" t="s">
        <v>124</v>
      </c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94"/>
    </row>
    <row r="5" spans="1:19" ht="15.75" x14ac:dyDescent="0.45">
      <c r="A5"/>
      <c r="B5" s="410" t="s">
        <v>150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94"/>
    </row>
    <row r="6" spans="1:19" ht="15.75" x14ac:dyDescent="0.5">
      <c r="A6"/>
      <c r="B6" s="411" t="s">
        <v>123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94"/>
    </row>
    <row r="7" spans="1:19" ht="15.4" x14ac:dyDescent="0.45">
      <c r="A7"/>
      <c r="B7" s="292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94"/>
    </row>
    <row r="8" spans="1:19" ht="15.4" x14ac:dyDescent="0.45">
      <c r="A8"/>
      <c r="B8" s="183"/>
      <c r="C8" s="134"/>
      <c r="D8" s="151"/>
      <c r="E8" s="134"/>
      <c r="F8" s="152"/>
      <c r="G8" s="134"/>
      <c r="H8" s="152"/>
      <c r="I8" s="134"/>
      <c r="J8" s="152"/>
      <c r="K8" s="134"/>
      <c r="L8" s="152"/>
      <c r="M8" s="151"/>
      <c r="N8" s="92"/>
    </row>
    <row r="9" spans="1:19" ht="15.75" customHeight="1" x14ac:dyDescent="0.45">
      <c r="A9"/>
      <c r="B9" s="187"/>
      <c r="C9" s="153" t="s">
        <v>125</v>
      </c>
      <c r="D9" s="132"/>
      <c r="E9" s="153" t="s">
        <v>126</v>
      </c>
      <c r="F9" s="184"/>
      <c r="G9" s="153" t="s">
        <v>127</v>
      </c>
      <c r="H9" s="184"/>
      <c r="I9" s="153" t="s">
        <v>128</v>
      </c>
      <c r="J9" s="184"/>
      <c r="K9" s="153" t="s">
        <v>129</v>
      </c>
      <c r="L9" s="184"/>
      <c r="N9" s="94"/>
    </row>
    <row r="10" spans="1:19" ht="16.5" x14ac:dyDescent="0.45">
      <c r="A10"/>
      <c r="B10" s="187"/>
      <c r="C10" s="135" t="s">
        <v>42</v>
      </c>
      <c r="D10" s="185" t="s">
        <v>43</v>
      </c>
      <c r="E10" s="135" t="s">
        <v>42</v>
      </c>
      <c r="F10" s="186" t="s">
        <v>43</v>
      </c>
      <c r="G10" s="135" t="s">
        <v>42</v>
      </c>
      <c r="H10" s="186" t="s">
        <v>43</v>
      </c>
      <c r="I10" s="135" t="s">
        <v>42</v>
      </c>
      <c r="J10" s="186" t="s">
        <v>43</v>
      </c>
      <c r="K10" s="135" t="s">
        <v>42</v>
      </c>
      <c r="L10" s="186" t="s">
        <v>43</v>
      </c>
      <c r="M10" s="154" t="s">
        <v>3</v>
      </c>
      <c r="N10" s="94"/>
    </row>
    <row r="11" spans="1:19" ht="17.649999999999999" x14ac:dyDescent="0.75">
      <c r="A11"/>
      <c r="B11" s="293" t="s">
        <v>121</v>
      </c>
      <c r="C11" s="135"/>
      <c r="D11" s="185"/>
      <c r="E11" s="135"/>
      <c r="F11" s="186"/>
      <c r="G11" s="135"/>
      <c r="H11" s="186"/>
      <c r="I11" s="135"/>
      <c r="J11" s="186"/>
      <c r="K11" s="135"/>
      <c r="L11" s="186"/>
      <c r="M11" s="154"/>
      <c r="N11" s="94"/>
    </row>
    <row r="12" spans="1:19" ht="15.4" x14ac:dyDescent="0.45">
      <c r="A12"/>
      <c r="B12" s="187" t="s">
        <v>178</v>
      </c>
      <c r="C12" s="136">
        <v>10000</v>
      </c>
      <c r="D12" s="188">
        <v>13837.5</v>
      </c>
      <c r="E12" s="136">
        <v>11000</v>
      </c>
      <c r="F12" s="189">
        <v>13325</v>
      </c>
      <c r="G12" s="136">
        <v>11000</v>
      </c>
      <c r="H12" s="189">
        <v>12761.25</v>
      </c>
      <c r="I12" s="136">
        <v>12000</v>
      </c>
      <c r="J12" s="189">
        <v>12197.5</v>
      </c>
      <c r="K12" s="136">
        <v>12500</v>
      </c>
      <c r="L12" s="189">
        <v>11582.5</v>
      </c>
      <c r="M12" s="155">
        <f t="shared" ref="M12:M18" si="0">SUM(C12:L12)</f>
        <v>120203.75</v>
      </c>
      <c r="N12" s="94"/>
      <c r="S12" s="242"/>
    </row>
    <row r="13" spans="1:19" ht="15.4" x14ac:dyDescent="0.45">
      <c r="A13"/>
      <c r="B13" s="187" t="s">
        <v>179</v>
      </c>
      <c r="C13" s="137">
        <v>30000</v>
      </c>
      <c r="D13" s="138">
        <f>7595+6980</f>
        <v>14575</v>
      </c>
      <c r="E13" s="137">
        <f>30000</f>
        <v>30000</v>
      </c>
      <c r="F13" s="190">
        <f>6980+6215</f>
        <v>13195</v>
      </c>
      <c r="G13" s="137">
        <v>35000</v>
      </c>
      <c r="H13" s="190">
        <f>6215+5497.5</f>
        <v>11712.5</v>
      </c>
      <c r="I13" s="137">
        <f>35000</f>
        <v>35000</v>
      </c>
      <c r="J13" s="190">
        <f>5497.5+4780</f>
        <v>10277.5</v>
      </c>
      <c r="K13" s="137">
        <v>35000</v>
      </c>
      <c r="L13" s="190">
        <f>4780+3887.5</f>
        <v>8667.5</v>
      </c>
      <c r="M13" s="191">
        <f t="shared" si="0"/>
        <v>223427.5</v>
      </c>
      <c r="N13" s="94"/>
      <c r="S13" s="242"/>
    </row>
    <row r="14" spans="1:19" ht="15.4" x14ac:dyDescent="0.45">
      <c r="A14"/>
      <c r="B14" s="187" t="s">
        <v>176</v>
      </c>
      <c r="C14" s="137">
        <f>41441.42+42063.04</f>
        <v>83504.459999999992</v>
      </c>
      <c r="D14" s="138">
        <f>16923.73+16302.11+1410.31+1358.51</f>
        <v>35994.659999999996</v>
      </c>
      <c r="E14" s="137">
        <f>42693.99+43334.4</f>
        <v>86028.39</v>
      </c>
      <c r="F14" s="190">
        <f>15671.16+15030.75+1305.93+1252.56</f>
        <v>33260.400000000001</v>
      </c>
      <c r="G14" s="137">
        <f>43984.41+44644.18</f>
        <v>88628.59</v>
      </c>
      <c r="H14" s="190">
        <f>14380.74+13720.97+1198.39+1143.41</f>
        <v>30443.51</v>
      </c>
      <c r="I14" s="137">
        <f>45313.84+45993.55</f>
        <v>91307.39</v>
      </c>
      <c r="J14" s="190">
        <f>13051.31+12371.6+1087.61+1030.97</f>
        <v>27541.49</v>
      </c>
      <c r="K14" s="137">
        <f>46683.45+47383.7</f>
        <v>94067.15</v>
      </c>
      <c r="L14" s="190">
        <f>11681.7+10981.45+973.47+915.12</f>
        <v>24551.74</v>
      </c>
      <c r="M14" s="191">
        <f t="shared" si="0"/>
        <v>595327.78</v>
      </c>
      <c r="N14" s="94"/>
      <c r="S14" s="242"/>
    </row>
    <row r="15" spans="1:19" ht="15.4" x14ac:dyDescent="0.45">
      <c r="A15"/>
      <c r="B15" s="187" t="s">
        <v>177</v>
      </c>
      <c r="C15" s="137">
        <f>66235.69+67229.23</f>
        <v>133464.91999999998</v>
      </c>
      <c r="D15" s="138">
        <f>35765.99+34772.45+2980.49+2897.7</f>
        <v>76416.63</v>
      </c>
      <c r="E15" s="137">
        <f>68237.67+69261.23</f>
        <v>137498.9</v>
      </c>
      <c r="F15" s="190">
        <f>33764.01+32740.45+2813.67+2728.37</f>
        <v>72046.5</v>
      </c>
      <c r="G15" s="137">
        <f>70300.16+71354.66</f>
        <v>141654.82</v>
      </c>
      <c r="H15" s="190">
        <f>31701.52+30647.02+2641.8+2553.91</f>
        <v>67544.25</v>
      </c>
      <c r="I15" s="137">
        <f>72424.97+73511.34</f>
        <v>145936.31</v>
      </c>
      <c r="J15" s="190">
        <f>29576.71+28490.34+2464.72+2374.19</f>
        <v>62905.960000000006</v>
      </c>
      <c r="K15" s="137">
        <f>74614.01+75733.22</f>
        <v>150347.22999999998</v>
      </c>
      <c r="L15" s="190">
        <f>27387.67+26268.46+2282.3+2189.04</f>
        <v>58127.47</v>
      </c>
      <c r="M15" s="191">
        <f t="shared" si="0"/>
        <v>1045942.99</v>
      </c>
      <c r="N15" s="94"/>
      <c r="S15" s="242"/>
    </row>
    <row r="16" spans="1:19" ht="15.4" x14ac:dyDescent="0.45">
      <c r="A16"/>
      <c r="B16" s="187" t="s">
        <v>174</v>
      </c>
      <c r="C16" s="137">
        <f>4823.62+4834.11+4883.54+4951.24</f>
        <v>19492.510000000002</v>
      </c>
      <c r="D16" s="138">
        <f>1746.32+1735.83+1686.4+1618.7</f>
        <v>6787.2499999999991</v>
      </c>
      <c r="E16" s="137">
        <f>5018.54+5035.36+5086.85+5154.4</f>
        <v>20295.150000000001</v>
      </c>
      <c r="F16" s="138">
        <f>1551.4+1534.58+1483.1+1415.54</f>
        <v>5984.62</v>
      </c>
      <c r="G16" s="137">
        <f>5206.51+5244.75+124393.49</f>
        <v>134844.75</v>
      </c>
      <c r="H16" s="138">
        <f>1363.43+1325.109+1271.58</f>
        <v>3960.1189999999997</v>
      </c>
      <c r="I16" s="137">
        <v>0</v>
      </c>
      <c r="J16" s="138">
        <v>0</v>
      </c>
      <c r="K16" s="137">
        <v>0</v>
      </c>
      <c r="L16" s="190">
        <v>0</v>
      </c>
      <c r="M16" s="191">
        <f t="shared" si="0"/>
        <v>191364.399</v>
      </c>
      <c r="N16" s="94"/>
      <c r="S16" s="242"/>
    </row>
    <row r="17" spans="1:19" ht="15.4" x14ac:dyDescent="0.45">
      <c r="A17"/>
      <c r="B17" s="294" t="s">
        <v>175</v>
      </c>
      <c r="C17" s="139">
        <f>1445.36+1450.34+1552.73+1460.69+1497.85+1470.88+1507.74+1481.14+1486.24+1522.66+1496.6+1532.72</f>
        <v>17904.95</v>
      </c>
      <c r="D17" s="192">
        <f>1016.33+1011.35+908.96+1001+963.84+990.81+953.95+980.55+975.45+939.03+965.09+928.97</f>
        <v>11635.330000000002</v>
      </c>
      <c r="E17" s="139">
        <f>1507.04+1512.23+1608.82+1522.98+1558.34+1533.59+1568.64+1544.25+1549.6+1584.18+1560.39+1594.67</f>
        <v>18644.730000000003</v>
      </c>
      <c r="F17" s="192">
        <f>954.65+949.46+852.87+938.71+903.35+928.1+893.05+917.41+912.09+877.51+901.3+867.02</f>
        <v>10895.52</v>
      </c>
      <c r="G17" s="139">
        <f>1571.26+1576.67+1638.85+1587.75+1621.23+1598.8+1631.96+1609.93+1615.47+244060.58</f>
        <v>258512.5</v>
      </c>
      <c r="H17" s="192">
        <f>890.43+885.02+822.84+873.94+840.46+862.89+829.73+851.76+846.22+813.54</f>
        <v>8516.8300000000017</v>
      </c>
      <c r="I17" s="139">
        <v>0</v>
      </c>
      <c r="J17" s="192">
        <v>0</v>
      </c>
      <c r="K17" s="139">
        <v>0</v>
      </c>
      <c r="L17" s="193">
        <v>0</v>
      </c>
      <c r="M17" s="191">
        <f t="shared" si="0"/>
        <v>326109.86000000004</v>
      </c>
      <c r="N17" s="94"/>
      <c r="P17" s="290"/>
      <c r="S17" s="242"/>
    </row>
    <row r="18" spans="1:19" ht="15.4" x14ac:dyDescent="0.45">
      <c r="A18"/>
      <c r="B18" s="139" t="s">
        <v>180</v>
      </c>
      <c r="C18" s="196">
        <f>0.605*75000</f>
        <v>45375</v>
      </c>
      <c r="D18" s="197">
        <f>0.605*78489</f>
        <v>47485.845000000001</v>
      </c>
      <c r="E18" s="196">
        <f>0.601*75000</f>
        <v>45075</v>
      </c>
      <c r="F18" s="197">
        <f>0.601*77963</f>
        <v>46855.762999999999</v>
      </c>
      <c r="G18" s="196">
        <f>0.596*75000</f>
        <v>44700</v>
      </c>
      <c r="H18" s="197">
        <f>0.596*75900</f>
        <v>45236.4</v>
      </c>
      <c r="I18" s="196">
        <f>0.604*85000</f>
        <v>51340</v>
      </c>
      <c r="J18" s="197">
        <f>0.604*72463</f>
        <v>43767.652000000002</v>
      </c>
      <c r="K18" s="196">
        <f>0.6*85000</f>
        <v>51000</v>
      </c>
      <c r="L18" s="198">
        <f>0.6*68000</f>
        <v>40800</v>
      </c>
      <c r="M18" s="297">
        <f t="shared" si="0"/>
        <v>461635.66000000003</v>
      </c>
      <c r="N18" s="94"/>
      <c r="S18" s="242"/>
    </row>
    <row r="19" spans="1:19" ht="15.4" x14ac:dyDescent="0.45">
      <c r="A19"/>
      <c r="B19" s="295" t="s">
        <v>44</v>
      </c>
      <c r="C19" s="199">
        <f t="shared" ref="C19:L19" si="1">SUM(C12:C18)</f>
        <v>339741.83999999997</v>
      </c>
      <c r="D19" s="199">
        <f t="shared" si="1"/>
        <v>206732.215</v>
      </c>
      <c r="E19" s="199">
        <f t="shared" si="1"/>
        <v>348542.17</v>
      </c>
      <c r="F19" s="199">
        <f t="shared" si="1"/>
        <v>195562.80299999999</v>
      </c>
      <c r="G19" s="199">
        <f t="shared" si="1"/>
        <v>714340.66</v>
      </c>
      <c r="H19" s="199">
        <f t="shared" si="1"/>
        <v>180174.859</v>
      </c>
      <c r="I19" s="199">
        <f t="shared" si="1"/>
        <v>335583.7</v>
      </c>
      <c r="J19" s="199">
        <f t="shared" si="1"/>
        <v>156690.10200000001</v>
      </c>
      <c r="K19" s="199">
        <f t="shared" si="1"/>
        <v>342914.38</v>
      </c>
      <c r="L19" s="199">
        <f t="shared" si="1"/>
        <v>143729.21000000002</v>
      </c>
      <c r="M19" s="199">
        <f>SUM(M12:M18)</f>
        <v>2964011.9390000002</v>
      </c>
      <c r="N19" s="97"/>
      <c r="P19" s="17">
        <f>SUM(C19:L19)</f>
        <v>2964011.9389999998</v>
      </c>
    </row>
    <row r="20" spans="1:19" ht="15.4" x14ac:dyDescent="0.45">
      <c r="A20"/>
      <c r="B20" s="296"/>
      <c r="C20" s="140"/>
      <c r="D20" s="140"/>
      <c r="E20" s="140"/>
      <c r="F20" s="140"/>
      <c r="G20" s="140"/>
      <c r="H20" s="140"/>
      <c r="I20" s="140"/>
      <c r="J20" s="104"/>
      <c r="K20" s="104"/>
      <c r="L20" s="104"/>
      <c r="M20" s="140"/>
      <c r="N20" s="94"/>
    </row>
    <row r="21" spans="1:19" ht="15.4" x14ac:dyDescent="0.45">
      <c r="A21"/>
      <c r="B21" s="296"/>
      <c r="C21" s="142"/>
      <c r="D21" s="141"/>
      <c r="E21" s="142"/>
      <c r="F21" s="142"/>
      <c r="G21" s="142"/>
      <c r="H21" s="141" t="s">
        <v>130</v>
      </c>
      <c r="K21" s="95"/>
      <c r="L21" s="194"/>
      <c r="M21" s="142">
        <f>M19/5</f>
        <v>592802.38780000003</v>
      </c>
      <c r="N21" s="94"/>
    </row>
    <row r="22" spans="1:19" ht="15.4" x14ac:dyDescent="0.45">
      <c r="A22"/>
      <c r="B22" s="296"/>
      <c r="C22" s="141"/>
      <c r="D22" s="141"/>
      <c r="E22" s="141"/>
      <c r="F22" s="141"/>
      <c r="G22" s="141"/>
      <c r="H22" s="141" t="s">
        <v>132</v>
      </c>
      <c r="K22" s="95"/>
      <c r="L22" s="141"/>
      <c r="M22" s="142">
        <f>M21*0.2</f>
        <v>118560.47756000001</v>
      </c>
      <c r="N22" s="94"/>
      <c r="P22" s="17">
        <f>M22+M21</f>
        <v>711362.86536000005</v>
      </c>
    </row>
    <row r="23" spans="1:19" ht="15.4" x14ac:dyDescent="0.45">
      <c r="A23"/>
      <c r="B23" s="296"/>
      <c r="C23" s="95"/>
      <c r="D23" s="95"/>
      <c r="E23" s="95"/>
      <c r="F23" s="95"/>
      <c r="G23" s="95"/>
      <c r="H23" s="95"/>
      <c r="I23" s="84"/>
      <c r="J23" s="84"/>
      <c r="K23" s="95"/>
      <c r="L23" s="95"/>
      <c r="M23" s="194"/>
      <c r="N23" s="94"/>
    </row>
    <row r="24" spans="1:19" ht="15.4" x14ac:dyDescent="0.45">
      <c r="A24"/>
      <c r="B24" s="397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9"/>
    </row>
    <row r="25" spans="1:19" ht="15.4" customHeight="1" x14ac:dyDescent="0.45">
      <c r="A25"/>
      <c r="B25" s="183"/>
      <c r="C25" s="134"/>
      <c r="D25" s="151"/>
      <c r="E25" s="134"/>
      <c r="F25" s="152"/>
      <c r="G25" s="134"/>
      <c r="H25" s="152"/>
      <c r="I25" s="134"/>
      <c r="J25" s="152"/>
      <c r="K25" s="134"/>
      <c r="L25" s="152"/>
      <c r="M25" s="151"/>
      <c r="N25" s="92"/>
    </row>
    <row r="26" spans="1:19" ht="15.4" customHeight="1" x14ac:dyDescent="0.45">
      <c r="A26"/>
      <c r="B26" s="187"/>
      <c r="C26" s="153" t="s">
        <v>125</v>
      </c>
      <c r="D26" s="132"/>
      <c r="E26" s="153" t="s">
        <v>126</v>
      </c>
      <c r="F26" s="184"/>
      <c r="G26" s="153" t="s">
        <v>127</v>
      </c>
      <c r="H26" s="184"/>
      <c r="I26" s="153" t="s">
        <v>128</v>
      </c>
      <c r="J26" s="184"/>
      <c r="K26" s="153" t="s">
        <v>129</v>
      </c>
      <c r="L26" s="184"/>
      <c r="N26" s="94"/>
    </row>
    <row r="27" spans="1:19" ht="15.4" customHeight="1" x14ac:dyDescent="0.45">
      <c r="A27"/>
      <c r="B27" s="187"/>
      <c r="C27" s="135" t="s">
        <v>42</v>
      </c>
      <c r="D27" s="185" t="s">
        <v>43</v>
      </c>
      <c r="E27" s="135" t="s">
        <v>42</v>
      </c>
      <c r="F27" s="186" t="s">
        <v>43</v>
      </c>
      <c r="G27" s="135" t="s">
        <v>42</v>
      </c>
      <c r="H27" s="186" t="s">
        <v>43</v>
      </c>
      <c r="I27" s="135" t="s">
        <v>42</v>
      </c>
      <c r="J27" s="186" t="s">
        <v>43</v>
      </c>
      <c r="K27" s="135" t="s">
        <v>42</v>
      </c>
      <c r="L27" s="186" t="s">
        <v>43</v>
      </c>
      <c r="M27" s="154" t="s">
        <v>3</v>
      </c>
      <c r="N27" s="94"/>
    </row>
    <row r="28" spans="1:19" ht="16.5" x14ac:dyDescent="0.75">
      <c r="B28" s="293" t="s">
        <v>122</v>
      </c>
      <c r="C28" s="93"/>
      <c r="D28" s="94"/>
      <c r="E28" s="93"/>
      <c r="F28" s="94"/>
      <c r="G28" s="93"/>
      <c r="H28" s="94"/>
      <c r="I28" s="93"/>
      <c r="J28" s="94"/>
      <c r="K28" s="93"/>
      <c r="L28" s="94"/>
      <c r="M28" s="93"/>
      <c r="N28" s="94"/>
    </row>
    <row r="29" spans="1:19" x14ac:dyDescent="0.45">
      <c r="B29" s="187" t="s">
        <v>181</v>
      </c>
      <c r="C29" s="93">
        <v>4800</v>
      </c>
      <c r="D29" s="84">
        <v>5308</v>
      </c>
      <c r="E29" s="93">
        <v>4900</v>
      </c>
      <c r="F29" s="84">
        <v>5182</v>
      </c>
      <c r="G29" s="93">
        <v>5000</v>
      </c>
      <c r="H29" s="84">
        <v>5054</v>
      </c>
      <c r="I29" s="93">
        <v>5100</v>
      </c>
      <c r="J29" s="84">
        <v>4922</v>
      </c>
      <c r="K29" s="93">
        <v>5300</v>
      </c>
      <c r="L29" s="94">
        <v>4788</v>
      </c>
      <c r="M29" s="191">
        <f t="shared" ref="M29:M30" si="2">SUM(C29:L29)</f>
        <v>50354</v>
      </c>
      <c r="N29" s="94"/>
    </row>
    <row r="30" spans="1:19" x14ac:dyDescent="0.45">
      <c r="B30" s="187" t="s">
        <v>180</v>
      </c>
      <c r="C30" s="96">
        <f>0.395*75000</f>
        <v>29625</v>
      </c>
      <c r="D30" s="19">
        <f>0.395*78489</f>
        <v>31003.155000000002</v>
      </c>
      <c r="E30" s="96">
        <f>0.399*75000</f>
        <v>29925</v>
      </c>
      <c r="F30" s="19">
        <f>0.399*77963</f>
        <v>31107.237000000001</v>
      </c>
      <c r="G30" s="96">
        <f>0.404*75000</f>
        <v>30300.000000000004</v>
      </c>
      <c r="H30" s="19">
        <f>0.404*75900</f>
        <v>30663.600000000002</v>
      </c>
      <c r="I30" s="96">
        <f>0.396*85000</f>
        <v>33660</v>
      </c>
      <c r="J30" s="19">
        <f>0.396*72463</f>
        <v>28695.348000000002</v>
      </c>
      <c r="K30" s="96">
        <f>0.4*85000</f>
        <v>34000</v>
      </c>
      <c r="L30" s="97">
        <f>0.4*68000</f>
        <v>27200</v>
      </c>
      <c r="M30" s="297">
        <f t="shared" si="2"/>
        <v>306179.33999999997</v>
      </c>
      <c r="N30" s="94"/>
    </row>
    <row r="31" spans="1:19" x14ac:dyDescent="0.45">
      <c r="B31" s="195" t="s">
        <v>44</v>
      </c>
      <c r="C31" s="137">
        <f>C29+C30</f>
        <v>34425</v>
      </c>
      <c r="D31" s="137">
        <f t="shared" ref="D31:M31" si="3">D29+D30</f>
        <v>36311.154999999999</v>
      </c>
      <c r="E31" s="137">
        <f t="shared" si="3"/>
        <v>34825</v>
      </c>
      <c r="F31" s="137">
        <f t="shared" si="3"/>
        <v>36289.237000000001</v>
      </c>
      <c r="G31" s="137">
        <f t="shared" si="3"/>
        <v>35300</v>
      </c>
      <c r="H31" s="137">
        <f t="shared" si="3"/>
        <v>35717.600000000006</v>
      </c>
      <c r="I31" s="137">
        <f t="shared" si="3"/>
        <v>38760</v>
      </c>
      <c r="J31" s="137">
        <f t="shared" si="3"/>
        <v>33617.347999999998</v>
      </c>
      <c r="K31" s="137">
        <f t="shared" si="3"/>
        <v>39300</v>
      </c>
      <c r="L31" s="137">
        <f t="shared" si="3"/>
        <v>31988</v>
      </c>
      <c r="M31" s="137">
        <f t="shared" si="3"/>
        <v>356533.33999999997</v>
      </c>
      <c r="N31" s="97"/>
      <c r="P31" s="17">
        <f>SUM(C31:L31)</f>
        <v>356533.33999999997</v>
      </c>
    </row>
    <row r="32" spans="1:19" x14ac:dyDescent="0.45">
      <c r="B32" s="134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2"/>
    </row>
    <row r="33" spans="2:14" x14ac:dyDescent="0.45">
      <c r="B33" s="292"/>
      <c r="C33" s="84"/>
      <c r="D33" s="84"/>
      <c r="E33" s="84"/>
      <c r="F33" s="84"/>
      <c r="G33" s="84"/>
      <c r="H33" s="95" t="s">
        <v>131</v>
      </c>
      <c r="J33" s="84"/>
      <c r="K33" s="95"/>
      <c r="L33" s="194"/>
      <c r="M33" s="194">
        <f>M31/5</f>
        <v>71306.667999999991</v>
      </c>
      <c r="N33" s="94"/>
    </row>
    <row r="34" spans="2:14" x14ac:dyDescent="0.45">
      <c r="B34" s="292"/>
      <c r="C34" s="84"/>
      <c r="D34" s="84"/>
      <c r="E34" s="84"/>
      <c r="F34" s="84"/>
      <c r="G34" s="84"/>
      <c r="H34" s="141" t="s">
        <v>132</v>
      </c>
      <c r="J34" s="84"/>
      <c r="K34" s="95"/>
      <c r="L34" s="95"/>
      <c r="M34" s="194">
        <f>M33*0.2</f>
        <v>14261.333599999998</v>
      </c>
      <c r="N34" s="94"/>
    </row>
    <row r="35" spans="2:14" x14ac:dyDescent="0.45">
      <c r="B35" s="295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97"/>
    </row>
  </sheetData>
  <mergeCells count="4">
    <mergeCell ref="B3:M3"/>
    <mergeCell ref="B4:M4"/>
    <mergeCell ref="B5:M5"/>
    <mergeCell ref="B6:M6"/>
  </mergeCells>
  <printOptions horizontalCentered="1"/>
  <pageMargins left="0.6" right="0.5" top="1.5" bottom="0.75" header="0.3" footer="0.3"/>
  <pageSetup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72A0-1709-4816-AF9B-0B80E09C554B}">
  <dimension ref="A1:D5"/>
  <sheetViews>
    <sheetView workbookViewId="0">
      <selection activeCell="F10" sqref="F10"/>
    </sheetView>
  </sheetViews>
  <sheetFormatPr defaultRowHeight="14.25" x14ac:dyDescent="0.45"/>
  <cols>
    <col min="1" max="1" width="8.88671875" style="1"/>
    <col min="2" max="2" width="9.0546875" style="359" bestFit="1" customWidth="1"/>
    <col min="3" max="3" width="8.94140625" style="359" bestFit="1" customWidth="1"/>
    <col min="4" max="4" width="9.0546875" style="1" bestFit="1" customWidth="1"/>
    <col min="5" max="16384" width="8.88671875" style="1"/>
  </cols>
  <sheetData>
    <row r="1" spans="1:4" x14ac:dyDescent="0.45">
      <c r="A1" s="1" t="s">
        <v>338</v>
      </c>
    </row>
    <row r="3" spans="1:4" x14ac:dyDescent="0.45">
      <c r="B3" s="391">
        <v>2019</v>
      </c>
      <c r="C3" s="391">
        <v>2020</v>
      </c>
      <c r="D3" s="15"/>
    </row>
    <row r="4" spans="1:4" x14ac:dyDescent="0.45">
      <c r="A4" s="1" t="s">
        <v>339</v>
      </c>
      <c r="B4" s="359">
        <v>18802.740000000002</v>
      </c>
      <c r="C4" s="359">
        <v>1135.8499999999999</v>
      </c>
      <c r="D4" s="209"/>
    </row>
    <row r="5" spans="1:4" x14ac:dyDescent="0.45">
      <c r="A5" s="1" t="s">
        <v>340</v>
      </c>
      <c r="B5" s="359">
        <v>16749.37</v>
      </c>
      <c r="C5" s="359">
        <v>7398.59</v>
      </c>
      <c r="D5" s="209"/>
    </row>
  </sheetData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23"/>
  <sheetViews>
    <sheetView zoomScaleNormal="100" workbookViewId="0">
      <selection activeCell="I6" sqref="I6"/>
    </sheetView>
  </sheetViews>
  <sheetFormatPr defaultColWidth="8.88671875" defaultRowHeight="14.25" x14ac:dyDescent="0.45"/>
  <cols>
    <col min="1" max="1" width="8.44140625" style="1" customWidth="1"/>
    <col min="2" max="2" width="8.6640625" style="1" customWidth="1"/>
    <col min="3" max="3" width="8" style="1" customWidth="1"/>
    <col min="4" max="4" width="11.5546875" style="3" customWidth="1"/>
    <col min="5" max="5" width="9.77734375" style="1" customWidth="1"/>
    <col min="6" max="6" width="10.33203125" style="1" customWidth="1"/>
    <col min="7" max="7" width="9.5546875" style="1" bestFit="1" customWidth="1"/>
    <col min="8" max="9" width="9.77734375" style="1" customWidth="1"/>
    <col min="10" max="11" width="9.88671875" style="1" bestFit="1" customWidth="1"/>
    <col min="12" max="12" width="10.5546875" style="3" bestFit="1" customWidth="1"/>
    <col min="13" max="13" width="9" style="1" bestFit="1" customWidth="1"/>
    <col min="14" max="14" width="9.21875" style="1" bestFit="1" customWidth="1"/>
    <col min="15" max="15" width="9.6640625" style="1" customWidth="1"/>
    <col min="16" max="16" width="11.44140625" style="1" customWidth="1"/>
    <col min="17" max="17" width="9" style="1" bestFit="1" customWidth="1"/>
    <col min="18" max="16384" width="8.88671875" style="1"/>
  </cols>
  <sheetData>
    <row r="1" spans="1:17" ht="18" x14ac:dyDescent="0.55000000000000004">
      <c r="A1" s="80" t="s">
        <v>173</v>
      </c>
      <c r="B1" s="10"/>
      <c r="C1" s="10"/>
      <c r="D1" s="275"/>
      <c r="E1" s="10"/>
      <c r="F1" s="10"/>
      <c r="G1" s="10"/>
      <c r="H1" s="10"/>
      <c r="I1" s="10"/>
    </row>
    <row r="2" spans="1:17" ht="18" x14ac:dyDescent="0.45">
      <c r="A2" s="400" t="s">
        <v>351</v>
      </c>
      <c r="B2" s="400"/>
      <c r="C2" s="400"/>
      <c r="D2" s="400"/>
      <c r="E2" s="400"/>
      <c r="F2" s="400"/>
      <c r="G2" s="400"/>
      <c r="H2" s="400"/>
      <c r="I2" s="400"/>
    </row>
    <row r="3" spans="1:17" x14ac:dyDescent="0.45">
      <c r="M3" s="3"/>
      <c r="Q3" s="3"/>
    </row>
    <row r="4" spans="1:17" ht="16.5" x14ac:dyDescent="0.75">
      <c r="C4" s="86" t="s">
        <v>86</v>
      </c>
      <c r="M4" s="81"/>
      <c r="Q4" s="145"/>
    </row>
    <row r="5" spans="1:17" x14ac:dyDescent="0.45">
      <c r="C5" s="150"/>
      <c r="D5" s="89"/>
      <c r="E5" s="13" t="s">
        <v>74</v>
      </c>
      <c r="F5" s="13" t="s">
        <v>50</v>
      </c>
      <c r="G5" s="13" t="s">
        <v>48</v>
      </c>
      <c r="H5" s="7"/>
      <c r="J5" s="157"/>
      <c r="K5" s="3"/>
      <c r="L5" s="157"/>
      <c r="M5" s="3"/>
      <c r="Q5" s="85"/>
    </row>
    <row r="6" spans="1:17" x14ac:dyDescent="0.45">
      <c r="C6" s="1" t="s">
        <v>97</v>
      </c>
      <c r="E6" s="3">
        <f>C27</f>
        <v>36155</v>
      </c>
      <c r="F6" s="76">
        <f>D27</f>
        <v>211155006</v>
      </c>
      <c r="G6" s="78">
        <f>F37</f>
        <v>2159773.7782700001</v>
      </c>
      <c r="H6" s="78"/>
      <c r="J6" s="157"/>
      <c r="K6" s="85"/>
    </row>
    <row r="7" spans="1:17" x14ac:dyDescent="0.45">
      <c r="C7" s="1" t="s">
        <v>98</v>
      </c>
      <c r="E7" s="3">
        <f>C46</f>
        <v>1670</v>
      </c>
      <c r="F7" s="76">
        <f>D46</f>
        <v>33529352</v>
      </c>
      <c r="G7" s="3">
        <f>F54</f>
        <v>330126.82501999999</v>
      </c>
      <c r="H7" s="3"/>
      <c r="J7" s="157"/>
      <c r="K7" s="3"/>
    </row>
    <row r="8" spans="1:17" x14ac:dyDescent="0.45">
      <c r="C8" s="1" t="s">
        <v>99</v>
      </c>
      <c r="E8" s="89">
        <f>C61</f>
        <v>73</v>
      </c>
      <c r="F8" s="274">
        <f>D61</f>
        <v>8685630</v>
      </c>
      <c r="G8" s="89">
        <f>F67</f>
        <v>71216.039700000008</v>
      </c>
      <c r="H8" s="3"/>
      <c r="J8" s="157"/>
      <c r="K8" s="3"/>
    </row>
    <row r="9" spans="1:17" x14ac:dyDescent="0.45">
      <c r="C9" s="1" t="s">
        <v>44</v>
      </c>
      <c r="E9" s="85">
        <f>SUM(E6:E8)</f>
        <v>37898</v>
      </c>
      <c r="F9" s="6">
        <f>SUM(F6:F8)</f>
        <v>253369988</v>
      </c>
      <c r="G9" s="5">
        <f>SUM(G6:G8)</f>
        <v>2561116.6429900001</v>
      </c>
      <c r="H9" s="5"/>
      <c r="J9" s="157"/>
      <c r="K9" s="85"/>
      <c r="M9" s="77"/>
    </row>
    <row r="10" spans="1:17" x14ac:dyDescent="0.45">
      <c r="C10" s="1" t="s">
        <v>169</v>
      </c>
      <c r="E10" s="85"/>
      <c r="F10" s="6"/>
      <c r="G10" s="5">
        <v>-50884.95</v>
      </c>
      <c r="H10" s="5"/>
      <c r="J10" s="157"/>
      <c r="K10" s="85"/>
      <c r="M10" s="77"/>
    </row>
    <row r="11" spans="1:17" x14ac:dyDescent="0.45">
      <c r="C11" s="1" t="s">
        <v>170</v>
      </c>
      <c r="E11" s="85"/>
      <c r="F11" s="6"/>
      <c r="G11" s="213">
        <f>G9+G10</f>
        <v>2510231.6929899999</v>
      </c>
      <c r="H11" s="5"/>
      <c r="J11" s="157"/>
      <c r="K11" s="85"/>
      <c r="M11" s="77"/>
    </row>
    <row r="12" spans="1:17" x14ac:dyDescent="0.45">
      <c r="C12" s="1" t="s">
        <v>167</v>
      </c>
      <c r="E12" s="85"/>
      <c r="F12" s="6"/>
      <c r="G12" s="213">
        <f>-SAOw!D7</f>
        <v>-2552344</v>
      </c>
      <c r="H12" s="5"/>
      <c r="J12" s="157"/>
      <c r="K12" s="77"/>
    </row>
    <row r="13" spans="1:17" x14ac:dyDescent="0.45">
      <c r="C13" s="1" t="s">
        <v>168</v>
      </c>
      <c r="D13" s="236"/>
      <c r="E13" s="146"/>
      <c r="F13" s="147"/>
      <c r="G13" s="148">
        <f>G11+G12</f>
        <v>-42112.307010000106</v>
      </c>
      <c r="H13" s="254">
        <f>G13/G12</f>
        <v>1.6499463634212359E-2</v>
      </c>
      <c r="I13" s="148"/>
      <c r="J13" s="157"/>
      <c r="O13" s="85"/>
    </row>
    <row r="14" spans="1:17" x14ac:dyDescent="0.45">
      <c r="D14" s="236"/>
      <c r="E14" s="146"/>
      <c r="F14" s="212"/>
      <c r="G14" s="211"/>
      <c r="H14" s="146"/>
      <c r="I14" s="148"/>
      <c r="J14" s="157"/>
    </row>
    <row r="15" spans="1:17" x14ac:dyDescent="0.45">
      <c r="D15" s="236"/>
      <c r="E15" s="146"/>
      <c r="F15" s="147"/>
      <c r="G15" s="236"/>
      <c r="H15" s="146"/>
      <c r="I15" s="148"/>
    </row>
    <row r="16" spans="1:17" x14ac:dyDescent="0.45">
      <c r="F16" s="210"/>
      <c r="G16" s="81"/>
    </row>
    <row r="17" spans="1:19" x14ac:dyDescent="0.45">
      <c r="F17" s="81"/>
      <c r="G17" s="81"/>
    </row>
    <row r="18" spans="1:19" ht="15.75" x14ac:dyDescent="0.5">
      <c r="A18" s="143" t="s">
        <v>94</v>
      </c>
      <c r="N18"/>
      <c r="O18"/>
      <c r="P18"/>
      <c r="Q18"/>
      <c r="R18"/>
      <c r="S18"/>
    </row>
    <row r="19" spans="1:19" ht="15.4" x14ac:dyDescent="0.45">
      <c r="E19" s="2" t="s">
        <v>51</v>
      </c>
      <c r="F19" s="2" t="s">
        <v>70</v>
      </c>
      <c r="G19" s="2" t="s">
        <v>70</v>
      </c>
      <c r="H19" s="2" t="s">
        <v>70</v>
      </c>
      <c r="I19" s="2" t="s">
        <v>70</v>
      </c>
      <c r="J19" s="2" t="s">
        <v>52</v>
      </c>
      <c r="L19" s="1"/>
      <c r="M19"/>
      <c r="N19"/>
      <c r="O19"/>
      <c r="P19"/>
      <c r="Q19"/>
      <c r="R19"/>
    </row>
    <row r="20" spans="1:19" ht="15.4" x14ac:dyDescent="0.45">
      <c r="B20" s="13" t="s">
        <v>53</v>
      </c>
      <c r="C20" s="14" t="s">
        <v>54</v>
      </c>
      <c r="D20" s="276" t="s">
        <v>55</v>
      </c>
      <c r="E20" s="14">
        <f>B21</f>
        <v>2000</v>
      </c>
      <c r="F20" s="14">
        <f>B22</f>
        <v>2000</v>
      </c>
      <c r="G20" s="14">
        <f>B23</f>
        <v>2000</v>
      </c>
      <c r="H20" s="14">
        <f>B24</f>
        <v>10000</v>
      </c>
      <c r="I20" s="14">
        <f>B25</f>
        <v>8000</v>
      </c>
      <c r="J20" s="14">
        <f>B26</f>
        <v>24000</v>
      </c>
      <c r="K20" s="13" t="s">
        <v>56</v>
      </c>
      <c r="L20" s="1"/>
      <c r="M20"/>
      <c r="N20"/>
      <c r="O20"/>
      <c r="P20"/>
      <c r="Q20"/>
      <c r="R20"/>
    </row>
    <row r="21" spans="1:19" ht="15.4" x14ac:dyDescent="0.45">
      <c r="A21" s="15" t="s">
        <v>51</v>
      </c>
      <c r="B21" s="16">
        <v>2000</v>
      </c>
      <c r="C21" s="271">
        <v>7383</v>
      </c>
      <c r="D21" s="236">
        <v>6699493</v>
      </c>
      <c r="E21" s="82">
        <f>D21</f>
        <v>6699493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f>SUM(E21:J21)</f>
        <v>6699493</v>
      </c>
      <c r="L21" s="1"/>
      <c r="M21"/>
      <c r="N21"/>
      <c r="O21"/>
      <c r="P21"/>
      <c r="Q21"/>
      <c r="R21"/>
    </row>
    <row r="22" spans="1:19" ht="15.4" x14ac:dyDescent="0.45">
      <c r="A22" s="15" t="s">
        <v>70</v>
      </c>
      <c r="B22" s="16">
        <v>2000</v>
      </c>
      <c r="C22" s="271">
        <v>10842</v>
      </c>
      <c r="D22" s="236">
        <v>32398957</v>
      </c>
      <c r="E22" s="82">
        <f>C22*E$20</f>
        <v>21684000</v>
      </c>
      <c r="F22" s="82">
        <f>D22-E22</f>
        <v>10714957</v>
      </c>
      <c r="G22" s="82">
        <v>0</v>
      </c>
      <c r="H22" s="82">
        <v>0</v>
      </c>
      <c r="I22" s="82">
        <v>0</v>
      </c>
      <c r="J22" s="82">
        <v>0</v>
      </c>
      <c r="K22" s="82">
        <f>SUM(E22:J22)</f>
        <v>32398957</v>
      </c>
      <c r="L22" s="1"/>
      <c r="M22"/>
      <c r="N22"/>
      <c r="O22"/>
      <c r="P22"/>
      <c r="Q22"/>
      <c r="R22"/>
    </row>
    <row r="23" spans="1:19" ht="15.4" x14ac:dyDescent="0.45">
      <c r="A23" s="15" t="s">
        <v>70</v>
      </c>
      <c r="B23" s="16">
        <v>2000</v>
      </c>
      <c r="C23" s="271">
        <v>7801</v>
      </c>
      <c r="D23" s="236">
        <v>38173082</v>
      </c>
      <c r="E23" s="82">
        <f>C23*E$20</f>
        <v>15602000</v>
      </c>
      <c r="F23" s="82">
        <f>$C23*F$20</f>
        <v>15602000</v>
      </c>
      <c r="G23" s="82">
        <f>D23-(F23+E23)</f>
        <v>6969082</v>
      </c>
      <c r="H23" s="82">
        <v>0</v>
      </c>
      <c r="I23" s="82">
        <v>0</v>
      </c>
      <c r="J23" s="82">
        <v>0</v>
      </c>
      <c r="K23" s="82">
        <f>SUM(E23:J23)</f>
        <v>38173082</v>
      </c>
      <c r="L23" s="1"/>
      <c r="M23"/>
      <c r="N23"/>
      <c r="O23"/>
      <c r="P23"/>
      <c r="Q23"/>
      <c r="R23"/>
    </row>
    <row r="24" spans="1:19" ht="15.4" x14ac:dyDescent="0.45">
      <c r="A24" s="15" t="s">
        <v>70</v>
      </c>
      <c r="B24" s="16">
        <v>10000</v>
      </c>
      <c r="C24" s="271">
        <v>8157</v>
      </c>
      <c r="D24" s="236">
        <v>71807316</v>
      </c>
      <c r="E24" s="82">
        <f t="shared" ref="E24:E25" si="0">C24*E$20</f>
        <v>16314000</v>
      </c>
      <c r="F24" s="82">
        <f t="shared" ref="F24:F25" si="1">$C24*F$20</f>
        <v>16314000</v>
      </c>
      <c r="G24" s="82">
        <f>C24*G20</f>
        <v>16314000</v>
      </c>
      <c r="H24" s="85">
        <f>D24-E24-F24-G24</f>
        <v>22865316</v>
      </c>
      <c r="I24" s="82">
        <v>0</v>
      </c>
      <c r="J24" s="82">
        <v>0</v>
      </c>
      <c r="K24" s="82">
        <f t="shared" ref="K24:K25" si="2">SUM(E24:J24)</f>
        <v>71807316</v>
      </c>
      <c r="L24" s="1"/>
      <c r="M24"/>
      <c r="N24"/>
      <c r="O24"/>
      <c r="P24"/>
      <c r="Q24"/>
      <c r="R24"/>
    </row>
    <row r="25" spans="1:19" ht="15.4" x14ac:dyDescent="0.45">
      <c r="A25" s="15" t="s">
        <v>70</v>
      </c>
      <c r="B25" s="16">
        <v>8000</v>
      </c>
      <c r="C25" s="271">
        <v>901</v>
      </c>
      <c r="D25" s="236">
        <v>17544727</v>
      </c>
      <c r="E25" s="82">
        <f t="shared" si="0"/>
        <v>1802000</v>
      </c>
      <c r="F25" s="82">
        <f t="shared" si="1"/>
        <v>1802000</v>
      </c>
      <c r="G25" s="82">
        <f>C25*G20</f>
        <v>1802000</v>
      </c>
      <c r="H25" s="85">
        <f>C25*H20</f>
        <v>9010000</v>
      </c>
      <c r="I25" s="85">
        <f>D25-E25-F25-G25-H25</f>
        <v>3128727</v>
      </c>
      <c r="J25" s="82">
        <v>0</v>
      </c>
      <c r="K25" s="82">
        <f t="shared" si="2"/>
        <v>17544727</v>
      </c>
      <c r="L25" s="1"/>
      <c r="M25"/>
      <c r="N25"/>
      <c r="O25"/>
      <c r="P25"/>
      <c r="Q25"/>
      <c r="R25"/>
    </row>
    <row r="26" spans="1:19" ht="15.4" x14ac:dyDescent="0.45">
      <c r="A26" s="15" t="s">
        <v>52</v>
      </c>
      <c r="B26" s="18">
        <v>24000</v>
      </c>
      <c r="C26" s="272">
        <v>1071</v>
      </c>
      <c r="D26" s="277">
        <v>44531431</v>
      </c>
      <c r="E26" s="83">
        <f>C26*E$20</f>
        <v>2142000</v>
      </c>
      <c r="F26" s="83">
        <f>$C26*F$20</f>
        <v>2142000</v>
      </c>
      <c r="G26" s="83">
        <f>$C26*G$20</f>
        <v>2142000</v>
      </c>
      <c r="H26" s="262">
        <f>C26*H20</f>
        <v>10710000</v>
      </c>
      <c r="I26" s="262">
        <f>C26*I20</f>
        <v>8568000</v>
      </c>
      <c r="J26" s="83">
        <f>D26-E26-F26-G26-H26-I26</f>
        <v>18827431</v>
      </c>
      <c r="K26" s="83">
        <f>SUM(E26:J26)</f>
        <v>44531431</v>
      </c>
      <c r="L26" s="1"/>
      <c r="M26"/>
      <c r="N26"/>
      <c r="O26"/>
      <c r="P26"/>
      <c r="Q26"/>
      <c r="R26"/>
    </row>
    <row r="27" spans="1:19" ht="15.4" x14ac:dyDescent="0.45">
      <c r="A27" s="15"/>
      <c r="B27" s="16" t="s">
        <v>56</v>
      </c>
      <c r="C27" s="84">
        <f t="shared" ref="C27:I27" si="3">SUM(C21:C26)</f>
        <v>36155</v>
      </c>
      <c r="D27" s="6">
        <f t="shared" si="3"/>
        <v>211155006</v>
      </c>
      <c r="E27" s="84">
        <f t="shared" si="3"/>
        <v>64243493</v>
      </c>
      <c r="F27" s="84">
        <f t="shared" si="3"/>
        <v>46574957</v>
      </c>
      <c r="G27" s="84">
        <f t="shared" si="3"/>
        <v>27227082</v>
      </c>
      <c r="H27" s="84">
        <f t="shared" si="3"/>
        <v>42585316</v>
      </c>
      <c r="I27" s="84">
        <f t="shared" si="3"/>
        <v>11696727</v>
      </c>
      <c r="J27" s="84">
        <f>SUM(J21:J26)</f>
        <v>18827431</v>
      </c>
      <c r="K27" s="84">
        <f>SUM(K21:K26)</f>
        <v>211155006</v>
      </c>
      <c r="M27"/>
      <c r="N27"/>
      <c r="O27"/>
      <c r="P27"/>
      <c r="Q27"/>
      <c r="R27"/>
    </row>
    <row r="28" spans="1:19" ht="15.4" x14ac:dyDescent="0.45">
      <c r="A28" s="15"/>
      <c r="B28" s="16"/>
      <c r="E28" s="16"/>
      <c r="F28" s="16"/>
      <c r="G28" s="16"/>
      <c r="H28" s="16"/>
      <c r="I28" s="16"/>
      <c r="N28"/>
      <c r="O28"/>
      <c r="P28"/>
      <c r="Q28"/>
      <c r="R28"/>
      <c r="S28"/>
    </row>
    <row r="29" spans="1:19" ht="15.4" x14ac:dyDescent="0.45">
      <c r="A29" s="20" t="s">
        <v>57</v>
      </c>
      <c r="B29" s="20"/>
      <c r="E29" s="16"/>
      <c r="F29" s="16"/>
      <c r="G29" s="16"/>
      <c r="H29" s="16"/>
      <c r="I29" s="16"/>
      <c r="N29"/>
      <c r="O29"/>
      <c r="P29"/>
      <c r="Q29"/>
      <c r="R29"/>
      <c r="S29"/>
    </row>
    <row r="30" spans="1:19" ht="15.4" x14ac:dyDescent="0.45">
      <c r="A30" s="15"/>
      <c r="B30" s="13"/>
      <c r="C30" s="14" t="s">
        <v>54</v>
      </c>
      <c r="D30" s="276" t="s">
        <v>55</v>
      </c>
      <c r="E30" s="14" t="s">
        <v>58</v>
      </c>
      <c r="F30" s="14" t="s">
        <v>59</v>
      </c>
      <c r="G30" s="16"/>
      <c r="H30" s="16"/>
      <c r="I30" s="16"/>
      <c r="N30"/>
      <c r="O30"/>
      <c r="P30"/>
      <c r="Q30"/>
      <c r="R30"/>
      <c r="S30"/>
    </row>
    <row r="31" spans="1:19" ht="15.4" x14ac:dyDescent="0.45">
      <c r="A31" s="15" t="s">
        <v>51</v>
      </c>
      <c r="B31" s="16">
        <f>B21</f>
        <v>2000</v>
      </c>
      <c r="C31" s="17">
        <f>C27</f>
        <v>36155</v>
      </c>
      <c r="D31" s="236">
        <f>E27</f>
        <v>64243493</v>
      </c>
      <c r="E31" s="21">
        <f>RatesW!F13</f>
        <v>27.48</v>
      </c>
      <c r="F31" s="11">
        <f>E31*C31</f>
        <v>993539.4</v>
      </c>
      <c r="G31" s="16"/>
      <c r="N31"/>
      <c r="O31"/>
      <c r="P31"/>
      <c r="Q31"/>
      <c r="R31"/>
      <c r="S31"/>
    </row>
    <row r="32" spans="1:19" ht="15.4" x14ac:dyDescent="0.45">
      <c r="A32" s="15" t="s">
        <v>70</v>
      </c>
      <c r="B32" s="16">
        <f>B22</f>
        <v>2000</v>
      </c>
      <c r="D32" s="236">
        <f>F27</f>
        <v>46574957</v>
      </c>
      <c r="E32" s="206">
        <f>RatesW!F14</f>
        <v>8.09</v>
      </c>
      <c r="F32" s="3">
        <f>E32*(D32/1000)</f>
        <v>376791.40213</v>
      </c>
      <c r="G32" s="16"/>
      <c r="N32"/>
      <c r="O32"/>
      <c r="P32"/>
      <c r="Q32"/>
      <c r="R32"/>
      <c r="S32"/>
    </row>
    <row r="33" spans="1:19" ht="15.4" x14ac:dyDescent="0.45">
      <c r="A33" s="15" t="s">
        <v>70</v>
      </c>
      <c r="B33" s="16">
        <f>B23</f>
        <v>2000</v>
      </c>
      <c r="D33" s="236">
        <f>G27</f>
        <v>27227082</v>
      </c>
      <c r="E33" s="206">
        <f>RatesW!F15</f>
        <v>7.99</v>
      </c>
      <c r="F33" s="3">
        <f>E33*(D33/1000)</f>
        <v>217544.38517999998</v>
      </c>
      <c r="G33" s="16"/>
      <c r="N33"/>
      <c r="O33"/>
      <c r="P33"/>
      <c r="Q33"/>
      <c r="R33"/>
      <c r="S33"/>
    </row>
    <row r="34" spans="1:19" ht="15.4" x14ac:dyDescent="0.45">
      <c r="A34" s="15" t="s">
        <v>70</v>
      </c>
      <c r="B34" s="16">
        <v>10000</v>
      </c>
      <c r="D34" s="236">
        <f>H27</f>
        <v>42585316</v>
      </c>
      <c r="E34" s="206">
        <f>RatesW!F16</f>
        <v>7.89</v>
      </c>
      <c r="F34" s="3">
        <f t="shared" ref="F34:F35" si="4">E34*(D34/1000)</f>
        <v>335998.14324</v>
      </c>
      <c r="G34" s="16"/>
      <c r="N34"/>
      <c r="O34"/>
      <c r="P34"/>
      <c r="Q34"/>
      <c r="R34"/>
      <c r="S34"/>
    </row>
    <row r="35" spans="1:19" ht="15.4" x14ac:dyDescent="0.45">
      <c r="A35" s="15" t="s">
        <v>70</v>
      </c>
      <c r="B35" s="16">
        <v>8000</v>
      </c>
      <c r="D35" s="236">
        <f>I27</f>
        <v>11696727</v>
      </c>
      <c r="E35" s="206">
        <f>RatesW!F17</f>
        <v>7.79</v>
      </c>
      <c r="F35" s="3">
        <f t="shared" si="4"/>
        <v>91117.503330000007</v>
      </c>
      <c r="G35" s="16"/>
      <c r="N35"/>
      <c r="O35"/>
      <c r="P35"/>
      <c r="Q35"/>
      <c r="R35"/>
      <c r="S35"/>
    </row>
    <row r="36" spans="1:19" x14ac:dyDescent="0.45">
      <c r="A36" s="15" t="s">
        <v>52</v>
      </c>
      <c r="B36" s="18">
        <f>B26</f>
        <v>24000</v>
      </c>
      <c r="C36" s="22"/>
      <c r="D36" s="277">
        <f>J27</f>
        <v>18827431</v>
      </c>
      <c r="E36" s="251">
        <f>RatesW!F18</f>
        <v>7.69</v>
      </c>
      <c r="F36" s="89">
        <f>E36*(D36/1000)</f>
        <v>144782.94439000002</v>
      </c>
      <c r="G36" s="16"/>
      <c r="Q36" s="3">
        <f>Q28/12</f>
        <v>0</v>
      </c>
    </row>
    <row r="37" spans="1:19" x14ac:dyDescent="0.45">
      <c r="A37" s="15"/>
      <c r="B37" s="16" t="s">
        <v>56</v>
      </c>
      <c r="C37" s="3">
        <f>SUM(C31:C36)</f>
        <v>36155</v>
      </c>
      <c r="D37" s="6">
        <f>SUM(D31:D36)</f>
        <v>211155006</v>
      </c>
      <c r="F37" s="11">
        <f>SUM(F31:F36)</f>
        <v>2159773.7782700001</v>
      </c>
      <c r="G37" s="78"/>
      <c r="H37" s="16"/>
      <c r="I37" s="214"/>
    </row>
    <row r="38" spans="1:19" x14ac:dyDescent="0.45">
      <c r="A38" s="15"/>
      <c r="B38" s="16"/>
      <c r="C38" s="3"/>
      <c r="D38" s="6"/>
      <c r="F38" s="11"/>
      <c r="G38" s="16"/>
      <c r="H38" s="16"/>
      <c r="I38" s="16"/>
    </row>
    <row r="39" spans="1:19" ht="15.75" x14ac:dyDescent="0.5">
      <c r="A39" s="143" t="s">
        <v>95</v>
      </c>
    </row>
    <row r="40" spans="1:19" x14ac:dyDescent="0.45">
      <c r="E40" s="2" t="s">
        <v>51</v>
      </c>
      <c r="F40" s="2" t="s">
        <v>70</v>
      </c>
      <c r="G40" s="2" t="s">
        <v>70</v>
      </c>
      <c r="H40" s="2" t="s">
        <v>52</v>
      </c>
      <c r="L40" s="1"/>
    </row>
    <row r="41" spans="1:19" x14ac:dyDescent="0.45">
      <c r="B41" s="13" t="s">
        <v>53</v>
      </c>
      <c r="C41" s="14" t="s">
        <v>54</v>
      </c>
      <c r="D41" s="276" t="s">
        <v>55</v>
      </c>
      <c r="E41" s="14">
        <f>B42</f>
        <v>10000</v>
      </c>
      <c r="F41" s="14">
        <f>B43</f>
        <v>6000</v>
      </c>
      <c r="G41" s="14">
        <f>B44</f>
        <v>8000</v>
      </c>
      <c r="H41" s="14">
        <f>B45</f>
        <v>24000</v>
      </c>
      <c r="I41" s="13" t="s">
        <v>56</v>
      </c>
      <c r="L41" s="1"/>
    </row>
    <row r="42" spans="1:19" x14ac:dyDescent="0.45">
      <c r="A42" s="15" t="s">
        <v>51</v>
      </c>
      <c r="B42" s="16">
        <v>10000</v>
      </c>
      <c r="C42" s="271">
        <v>934</v>
      </c>
      <c r="D42" s="236">
        <v>3197114</v>
      </c>
      <c r="E42" s="82">
        <f>D42</f>
        <v>3197114</v>
      </c>
      <c r="F42" s="82">
        <v>0</v>
      </c>
      <c r="G42" s="82">
        <v>0</v>
      </c>
      <c r="H42" s="82">
        <v>0</v>
      </c>
      <c r="I42" s="82">
        <f>SUM(E42:H42)</f>
        <v>3197114</v>
      </c>
      <c r="L42" s="1"/>
    </row>
    <row r="43" spans="1:19" x14ac:dyDescent="0.45">
      <c r="A43" s="15" t="s">
        <v>70</v>
      </c>
      <c r="B43" s="16">
        <v>6000</v>
      </c>
      <c r="C43" s="271">
        <v>167</v>
      </c>
      <c r="D43" s="236">
        <v>2117490</v>
      </c>
      <c r="E43" s="82">
        <f>C43*E41</f>
        <v>1670000</v>
      </c>
      <c r="F43" s="82">
        <f>D43-E43</f>
        <v>447490</v>
      </c>
      <c r="G43" s="82">
        <v>0</v>
      </c>
      <c r="H43" s="82">
        <v>0</v>
      </c>
      <c r="I43" s="82">
        <f t="shared" ref="I43:I44" si="5">SUM(E43:H43)</f>
        <v>2117490</v>
      </c>
      <c r="L43" s="1"/>
    </row>
    <row r="44" spans="1:19" x14ac:dyDescent="0.45">
      <c r="A44" s="15" t="s">
        <v>70</v>
      </c>
      <c r="B44" s="16">
        <v>8000</v>
      </c>
      <c r="C44" s="271">
        <v>145</v>
      </c>
      <c r="D44" s="236">
        <v>2868168</v>
      </c>
      <c r="E44" s="82">
        <f>C44*E41</f>
        <v>1450000</v>
      </c>
      <c r="F44" s="82">
        <f>C44*F41</f>
        <v>870000</v>
      </c>
      <c r="G44" s="82">
        <f>D44-E44-F44</f>
        <v>548168</v>
      </c>
      <c r="H44" s="82"/>
      <c r="I44" s="82">
        <f t="shared" si="5"/>
        <v>2868168</v>
      </c>
      <c r="L44" s="1"/>
    </row>
    <row r="45" spans="1:19" x14ac:dyDescent="0.45">
      <c r="A45" s="15" t="s">
        <v>52</v>
      </c>
      <c r="B45" s="18">
        <v>24000</v>
      </c>
      <c r="C45" s="272">
        <v>424</v>
      </c>
      <c r="D45" s="277">
        <v>25346580</v>
      </c>
      <c r="E45" s="83">
        <f>$C45*E$41</f>
        <v>4240000</v>
      </c>
      <c r="F45" s="83">
        <f>C45*F41</f>
        <v>2544000</v>
      </c>
      <c r="G45" s="83">
        <f>C45*G41</f>
        <v>3392000</v>
      </c>
      <c r="H45" s="83">
        <f>D45-E45-F45-G45</f>
        <v>15170580</v>
      </c>
      <c r="I45" s="83">
        <f>SUM(E45:H45)</f>
        <v>25346580</v>
      </c>
      <c r="L45" s="1"/>
    </row>
    <row r="46" spans="1:19" x14ac:dyDescent="0.45">
      <c r="A46" s="15"/>
      <c r="B46" s="16"/>
      <c r="C46" s="273">
        <v>1670</v>
      </c>
      <c r="D46" s="6">
        <f>SUM(D42:D45)</f>
        <v>33529352</v>
      </c>
      <c r="E46" s="84">
        <f>SUM(E42:E45)</f>
        <v>10557114</v>
      </c>
      <c r="F46" s="84">
        <f t="shared" ref="F46:G46" si="6">SUM(F42:F45)</f>
        <v>3861490</v>
      </c>
      <c r="G46" s="84">
        <f t="shared" si="6"/>
        <v>3940168</v>
      </c>
      <c r="H46" s="84">
        <f>SUM(H42:H45)</f>
        <v>15170580</v>
      </c>
      <c r="I46" s="84">
        <f>SUM(I42:I45)</f>
        <v>33529352</v>
      </c>
      <c r="J46" s="209"/>
    </row>
    <row r="47" spans="1:19" x14ac:dyDescent="0.45">
      <c r="A47" s="15"/>
      <c r="B47" s="16"/>
      <c r="E47" s="16"/>
      <c r="F47" s="16"/>
      <c r="G47" s="16"/>
      <c r="H47" s="16"/>
      <c r="I47" s="16"/>
    </row>
    <row r="48" spans="1:19" x14ac:dyDescent="0.45">
      <c r="A48" s="20" t="s">
        <v>57</v>
      </c>
      <c r="B48" s="20"/>
      <c r="E48" s="16"/>
      <c r="F48" s="16"/>
      <c r="G48" s="16"/>
      <c r="H48" s="16"/>
      <c r="I48" s="16"/>
    </row>
    <row r="49" spans="1:17" x14ac:dyDescent="0.45">
      <c r="A49" s="15"/>
      <c r="B49" s="13"/>
      <c r="C49" s="14" t="s">
        <v>54</v>
      </c>
      <c r="D49" s="276" t="s">
        <v>55</v>
      </c>
      <c r="E49" s="14" t="s">
        <v>58</v>
      </c>
      <c r="F49" s="14" t="s">
        <v>59</v>
      </c>
      <c r="G49" s="16"/>
      <c r="H49" s="16"/>
      <c r="I49" s="16"/>
    </row>
    <row r="50" spans="1:17" x14ac:dyDescent="0.45">
      <c r="A50" s="15" t="s">
        <v>51</v>
      </c>
      <c r="B50" s="16">
        <f>B42</f>
        <v>10000</v>
      </c>
      <c r="C50" s="17">
        <f>C46</f>
        <v>1670</v>
      </c>
      <c r="D50" s="236">
        <f>E46</f>
        <v>10557114</v>
      </c>
      <c r="E50" s="21">
        <f>RatesW!F21</f>
        <v>91.2</v>
      </c>
      <c r="F50" s="11">
        <f>E50*C50</f>
        <v>152304</v>
      </c>
      <c r="G50" s="16"/>
    </row>
    <row r="51" spans="1:17" x14ac:dyDescent="0.45">
      <c r="A51" s="15" t="s">
        <v>70</v>
      </c>
      <c r="B51" s="16">
        <v>6000</v>
      </c>
      <c r="C51" s="17"/>
      <c r="D51" s="236">
        <f>F46</f>
        <v>3861490</v>
      </c>
      <c r="E51" s="206">
        <f>RatesW!F22</f>
        <v>7.89</v>
      </c>
      <c r="F51" s="6">
        <f t="shared" ref="F51:F52" si="7">E51*(D51/1000)</f>
        <v>30467.156099999997</v>
      </c>
      <c r="G51" s="16"/>
    </row>
    <row r="52" spans="1:17" x14ac:dyDescent="0.45">
      <c r="A52" s="15" t="s">
        <v>70</v>
      </c>
      <c r="B52" s="16">
        <v>8000</v>
      </c>
      <c r="C52" s="17"/>
      <c r="D52" s="236">
        <f>G46</f>
        <v>3940168</v>
      </c>
      <c r="E52" s="206">
        <f>RatesW!F23</f>
        <v>7.79</v>
      </c>
      <c r="F52" s="6">
        <f t="shared" si="7"/>
        <v>30693.908719999999</v>
      </c>
      <c r="G52" s="16"/>
    </row>
    <row r="53" spans="1:17" x14ac:dyDescent="0.45">
      <c r="A53" s="15" t="s">
        <v>52</v>
      </c>
      <c r="B53" s="18">
        <f>B45</f>
        <v>24000</v>
      </c>
      <c r="C53" s="22"/>
      <c r="D53" s="277">
        <f>H46</f>
        <v>15170580</v>
      </c>
      <c r="E53" s="251">
        <f>RatesW!F24</f>
        <v>7.69</v>
      </c>
      <c r="F53" s="89">
        <f>E53*(D53/1000)</f>
        <v>116661.7602</v>
      </c>
      <c r="G53" s="16"/>
    </row>
    <row r="54" spans="1:17" x14ac:dyDescent="0.45">
      <c r="A54" s="15"/>
      <c r="B54" s="16" t="s">
        <v>56</v>
      </c>
      <c r="C54" s="3">
        <f>SUM(C50:C53)</f>
        <v>1670</v>
      </c>
      <c r="D54" s="6">
        <f>SUM(D50:D53)</f>
        <v>33529352</v>
      </c>
      <c r="F54" s="11">
        <f>SUM(F50:F53)</f>
        <v>330126.82501999999</v>
      </c>
      <c r="G54" s="78"/>
      <c r="H54" s="16"/>
      <c r="I54" s="214"/>
    </row>
    <row r="55" spans="1:17" x14ac:dyDescent="0.45">
      <c r="A55" s="15"/>
      <c r="B55" s="16"/>
      <c r="C55" s="24"/>
      <c r="D55" s="6"/>
      <c r="F55" s="21"/>
      <c r="G55" s="16"/>
      <c r="H55" s="16"/>
      <c r="I55" s="16"/>
    </row>
    <row r="56" spans="1:17" ht="15.75" x14ac:dyDescent="0.5">
      <c r="A56" s="143" t="s">
        <v>96</v>
      </c>
    </row>
    <row r="57" spans="1:17" x14ac:dyDescent="0.45">
      <c r="E57" s="2" t="s">
        <v>51</v>
      </c>
      <c r="F57" s="2" t="s">
        <v>52</v>
      </c>
      <c r="K57" s="3"/>
      <c r="L57" s="1"/>
    </row>
    <row r="58" spans="1:17" x14ac:dyDescent="0.45">
      <c r="B58" s="13" t="s">
        <v>53</v>
      </c>
      <c r="C58" s="14" t="s">
        <v>54</v>
      </c>
      <c r="D58" s="276" t="s">
        <v>55</v>
      </c>
      <c r="E58" s="14">
        <f>B59</f>
        <v>24000</v>
      </c>
      <c r="F58" s="14">
        <f>B60</f>
        <v>24000</v>
      </c>
      <c r="G58" s="13" t="s">
        <v>56</v>
      </c>
      <c r="L58" s="1"/>
      <c r="Q58" s="1" t="s">
        <v>222</v>
      </c>
    </row>
    <row r="59" spans="1:17" x14ac:dyDescent="0.45">
      <c r="A59" s="15" t="s">
        <v>51</v>
      </c>
      <c r="B59" s="16">
        <v>24000</v>
      </c>
      <c r="C59" s="271">
        <v>22</v>
      </c>
      <c r="D59" s="236">
        <v>107500</v>
      </c>
      <c r="E59" s="82">
        <f>D59</f>
        <v>107500</v>
      </c>
      <c r="F59" s="82">
        <v>0</v>
      </c>
      <c r="G59" s="82">
        <f>SUM(E59:F59)</f>
        <v>107500</v>
      </c>
      <c r="K59" s="88"/>
      <c r="L59" s="1"/>
    </row>
    <row r="60" spans="1:17" x14ac:dyDescent="0.45">
      <c r="A60" s="15" t="s">
        <v>52</v>
      </c>
      <c r="B60" s="18">
        <v>24000</v>
      </c>
      <c r="C60" s="272">
        <v>51</v>
      </c>
      <c r="D60" s="277">
        <v>8578130</v>
      </c>
      <c r="E60" s="83">
        <f>$C60*E$58</f>
        <v>1224000</v>
      </c>
      <c r="F60" s="83">
        <f>D60-E60</f>
        <v>7354130</v>
      </c>
      <c r="G60" s="83">
        <f>SUM(E60:F60)</f>
        <v>8578130</v>
      </c>
      <c r="H60" s="3"/>
      <c r="I60" s="3"/>
      <c r="K60" s="2"/>
      <c r="L60" s="1"/>
    </row>
    <row r="61" spans="1:17" x14ac:dyDescent="0.45">
      <c r="A61" s="15"/>
      <c r="B61" s="16"/>
      <c r="C61" s="3">
        <f>SUM(C59:C60)</f>
        <v>73</v>
      </c>
      <c r="D61" s="6">
        <f>SUM(D59:D60)</f>
        <v>8685630</v>
      </c>
      <c r="E61" s="84">
        <f>SUM(E59:E60)</f>
        <v>1331500</v>
      </c>
      <c r="F61" s="84">
        <f>SUM(F59:F60)</f>
        <v>7354130</v>
      </c>
      <c r="G61" s="84">
        <f>SUM(G59:G60)</f>
        <v>8685630</v>
      </c>
    </row>
    <row r="62" spans="1:17" x14ac:dyDescent="0.45">
      <c r="A62" s="15"/>
      <c r="B62" s="16"/>
      <c r="E62" s="16"/>
      <c r="F62" s="16"/>
      <c r="G62" s="16"/>
      <c r="H62" s="16"/>
      <c r="I62" s="16"/>
    </row>
    <row r="63" spans="1:17" x14ac:dyDescent="0.45">
      <c r="A63" s="20" t="s">
        <v>57</v>
      </c>
      <c r="B63" s="20"/>
      <c r="E63" s="16"/>
      <c r="F63" s="16"/>
      <c r="G63" s="16"/>
      <c r="H63" s="16"/>
      <c r="I63" s="16"/>
    </row>
    <row r="64" spans="1:17" x14ac:dyDescent="0.45">
      <c r="A64" s="15"/>
      <c r="B64" s="13"/>
      <c r="C64" s="14" t="s">
        <v>54</v>
      </c>
      <c r="D64" s="276" t="s">
        <v>55</v>
      </c>
      <c r="E64" s="14" t="s">
        <v>58</v>
      </c>
      <c r="F64" s="14" t="s">
        <v>59</v>
      </c>
      <c r="G64" s="16"/>
      <c r="H64" s="16"/>
      <c r="I64" s="16"/>
    </row>
    <row r="65" spans="1:12" x14ac:dyDescent="0.45">
      <c r="A65" s="15" t="s">
        <v>51</v>
      </c>
      <c r="B65" s="16">
        <f>B59</f>
        <v>24000</v>
      </c>
      <c r="C65" s="17">
        <f>C61</f>
        <v>73</v>
      </c>
      <c r="D65" s="236">
        <f>E61</f>
        <v>1331500</v>
      </c>
      <c r="E65" s="21">
        <f>RatesW!F27</f>
        <v>200.86</v>
      </c>
      <c r="F65" s="205">
        <f>E65*C65</f>
        <v>14662.78</v>
      </c>
      <c r="G65" s="16"/>
      <c r="H65" s="16"/>
      <c r="I65" s="16"/>
    </row>
    <row r="66" spans="1:12" x14ac:dyDescent="0.45">
      <c r="A66" s="15" t="s">
        <v>52</v>
      </c>
      <c r="B66" s="18">
        <f>B60</f>
        <v>24000</v>
      </c>
      <c r="C66" s="89"/>
      <c r="D66" s="277">
        <f>F61</f>
        <v>7354130</v>
      </c>
      <c r="E66" s="251">
        <f>RatesW!F28</f>
        <v>7.69</v>
      </c>
      <c r="F66" s="89">
        <f t="shared" ref="F66" si="8">E66*(D66/1000)</f>
        <v>56553.259700000002</v>
      </c>
      <c r="G66" s="16"/>
      <c r="H66" s="16"/>
      <c r="I66" s="16"/>
    </row>
    <row r="67" spans="1:12" x14ac:dyDescent="0.45">
      <c r="A67" s="15"/>
      <c r="B67" s="16" t="s">
        <v>56</v>
      </c>
      <c r="C67" s="3">
        <f>SUM(C65:C66)</f>
        <v>73</v>
      </c>
      <c r="D67" s="6">
        <f>SUM(D65:D66)</f>
        <v>8685630</v>
      </c>
      <c r="F67" s="11">
        <f>SUM(F65:F66)</f>
        <v>71216.039700000008</v>
      </c>
      <c r="G67" s="78"/>
      <c r="H67" s="16"/>
      <c r="I67" s="214"/>
    </row>
    <row r="68" spans="1:12" x14ac:dyDescent="0.45">
      <c r="A68" s="15"/>
      <c r="B68" s="16"/>
      <c r="C68" s="24"/>
      <c r="D68" s="6"/>
      <c r="F68" s="21"/>
      <c r="G68" s="16"/>
      <c r="H68" s="16"/>
      <c r="I68" s="16"/>
    </row>
    <row r="69" spans="1:12" s="9" customFormat="1" ht="15.75" x14ac:dyDescent="0.5">
      <c r="A69" s="263"/>
      <c r="D69" s="6"/>
      <c r="L69" s="6"/>
    </row>
    <row r="70" spans="1:12" s="9" customFormat="1" x14ac:dyDescent="0.45">
      <c r="D70" s="6"/>
      <c r="E70" s="7"/>
      <c r="F70" s="7"/>
      <c r="G70" s="7"/>
      <c r="H70" s="7"/>
      <c r="I70" s="7"/>
      <c r="J70" s="7"/>
      <c r="L70" s="6"/>
    </row>
    <row r="71" spans="1:12" s="9" customFormat="1" x14ac:dyDescent="0.45">
      <c r="B71" s="7"/>
      <c r="C71" s="264"/>
      <c r="D71" s="278"/>
      <c r="E71" s="264"/>
      <c r="F71" s="264"/>
      <c r="G71" s="264"/>
      <c r="H71" s="264"/>
      <c r="I71" s="264"/>
      <c r="J71" s="264"/>
      <c r="K71" s="7"/>
      <c r="L71" s="6"/>
    </row>
    <row r="72" spans="1:12" s="9" customFormat="1" x14ac:dyDescent="0.45">
      <c r="A72" s="265"/>
      <c r="B72" s="266"/>
      <c r="C72" s="267"/>
      <c r="D72" s="211"/>
      <c r="E72" s="267"/>
      <c r="F72" s="267"/>
      <c r="G72" s="267"/>
      <c r="H72" s="267"/>
      <c r="I72" s="267"/>
      <c r="J72" s="267"/>
      <c r="K72" s="267"/>
      <c r="L72" s="6"/>
    </row>
    <row r="73" spans="1:12" s="9" customFormat="1" x14ac:dyDescent="0.45">
      <c r="A73" s="265"/>
      <c r="B73" s="266"/>
      <c r="C73" s="267"/>
      <c r="D73" s="211"/>
      <c r="E73" s="267"/>
      <c r="F73" s="267"/>
      <c r="G73" s="267"/>
      <c r="H73" s="267"/>
      <c r="I73" s="267"/>
      <c r="J73" s="267"/>
      <c r="K73" s="267"/>
      <c r="L73" s="6"/>
    </row>
    <row r="74" spans="1:12" s="9" customFormat="1" x14ac:dyDescent="0.45">
      <c r="A74" s="265"/>
      <c r="B74" s="266"/>
      <c r="C74" s="267"/>
      <c r="D74" s="211"/>
      <c r="E74" s="267"/>
      <c r="F74" s="267"/>
      <c r="G74" s="267"/>
      <c r="H74" s="267"/>
      <c r="I74" s="267"/>
      <c r="J74" s="267"/>
      <c r="K74" s="267"/>
      <c r="L74" s="6"/>
    </row>
    <row r="75" spans="1:12" s="9" customFormat="1" x14ac:dyDescent="0.45">
      <c r="A75" s="265"/>
      <c r="B75" s="266"/>
      <c r="C75" s="267"/>
      <c r="D75" s="211"/>
      <c r="E75" s="267"/>
      <c r="F75" s="267"/>
      <c r="G75" s="267"/>
      <c r="H75" s="44"/>
      <c r="I75" s="267"/>
      <c r="J75" s="267"/>
      <c r="K75" s="267"/>
      <c r="L75" s="6"/>
    </row>
    <row r="76" spans="1:12" s="9" customFormat="1" x14ac:dyDescent="0.45">
      <c r="A76" s="265"/>
      <c r="B76" s="266"/>
      <c r="C76" s="267"/>
      <c r="D76" s="211"/>
      <c r="E76" s="267"/>
      <c r="F76" s="267"/>
      <c r="G76" s="267"/>
      <c r="H76" s="44"/>
      <c r="I76" s="44"/>
      <c r="J76" s="267"/>
      <c r="K76" s="267"/>
      <c r="L76" s="6"/>
    </row>
    <row r="77" spans="1:12" s="9" customFormat="1" x14ac:dyDescent="0.45">
      <c r="A77" s="265"/>
      <c r="B77" s="266"/>
      <c r="C77" s="267"/>
      <c r="D77" s="211"/>
      <c r="E77" s="267"/>
      <c r="F77" s="267"/>
      <c r="G77" s="267"/>
      <c r="H77" s="44"/>
      <c r="I77" s="44"/>
      <c r="J77" s="267"/>
      <c r="K77" s="267"/>
      <c r="L77" s="6"/>
    </row>
    <row r="78" spans="1:12" s="9" customFormat="1" x14ac:dyDescent="0.45">
      <c r="A78" s="265"/>
      <c r="B78" s="266"/>
      <c r="C78" s="84"/>
      <c r="D78" s="6"/>
      <c r="E78" s="84"/>
      <c r="F78" s="84"/>
      <c r="G78" s="84"/>
      <c r="H78" s="84"/>
      <c r="I78" s="84"/>
      <c r="J78" s="84"/>
      <c r="K78" s="84"/>
      <c r="L78" s="6"/>
    </row>
    <row r="79" spans="1:12" s="9" customFormat="1" x14ac:dyDescent="0.45">
      <c r="A79" s="265"/>
      <c r="B79" s="266"/>
      <c r="D79" s="6"/>
      <c r="E79" s="266"/>
      <c r="F79" s="266"/>
      <c r="G79" s="266"/>
      <c r="H79" s="266"/>
      <c r="I79" s="266"/>
      <c r="L79" s="6"/>
    </row>
    <row r="80" spans="1:12" s="9" customFormat="1" x14ac:dyDescent="0.45">
      <c r="A80" s="268"/>
      <c r="B80" s="268"/>
      <c r="D80" s="6"/>
      <c r="E80" s="266"/>
      <c r="F80" s="266"/>
      <c r="G80" s="266"/>
      <c r="H80" s="266"/>
      <c r="I80" s="266"/>
      <c r="L80" s="6"/>
    </row>
    <row r="81" spans="1:12" s="9" customFormat="1" x14ac:dyDescent="0.45">
      <c r="A81" s="265"/>
      <c r="B81" s="7"/>
      <c r="C81" s="264"/>
      <c r="D81" s="278"/>
      <c r="E81" s="264"/>
      <c r="F81" s="264"/>
      <c r="G81" s="266"/>
      <c r="H81" s="266"/>
      <c r="I81" s="266"/>
      <c r="L81" s="6"/>
    </row>
    <row r="82" spans="1:12" s="9" customFormat="1" x14ac:dyDescent="0.45">
      <c r="A82" s="265"/>
      <c r="B82" s="266"/>
      <c r="C82" s="84"/>
      <c r="D82" s="211"/>
      <c r="E82" s="269"/>
      <c r="F82" s="270"/>
      <c r="G82" s="266"/>
      <c r="L82" s="6"/>
    </row>
    <row r="83" spans="1:12" s="9" customFormat="1" x14ac:dyDescent="0.45">
      <c r="A83" s="265"/>
      <c r="B83" s="266"/>
      <c r="D83" s="211"/>
      <c r="E83" s="269"/>
      <c r="F83" s="6"/>
      <c r="G83" s="266"/>
      <c r="L83" s="6"/>
    </row>
    <row r="84" spans="1:12" s="9" customFormat="1" x14ac:dyDescent="0.45">
      <c r="A84" s="265"/>
      <c r="B84" s="266"/>
      <c r="D84" s="211"/>
      <c r="E84" s="269"/>
      <c r="F84" s="6"/>
      <c r="G84" s="266"/>
      <c r="L84" s="6"/>
    </row>
    <row r="85" spans="1:12" s="9" customFormat="1" x14ac:dyDescent="0.45">
      <c r="A85" s="265"/>
      <c r="B85" s="266"/>
      <c r="D85" s="211"/>
      <c r="E85" s="269"/>
      <c r="F85" s="6"/>
      <c r="G85" s="266"/>
      <c r="L85" s="6"/>
    </row>
    <row r="86" spans="1:12" s="9" customFormat="1" x14ac:dyDescent="0.45">
      <c r="A86" s="265"/>
      <c r="B86" s="266"/>
      <c r="D86" s="211"/>
      <c r="E86" s="269"/>
      <c r="F86" s="6"/>
      <c r="G86" s="266"/>
      <c r="L86" s="6"/>
    </row>
    <row r="87" spans="1:12" s="9" customFormat="1" x14ac:dyDescent="0.45">
      <c r="A87" s="265"/>
      <c r="B87" s="266"/>
      <c r="D87" s="211"/>
      <c r="E87" s="269"/>
      <c r="F87" s="6"/>
      <c r="G87" s="266"/>
      <c r="L87" s="6"/>
    </row>
    <row r="88" spans="1:12" s="9" customFormat="1" x14ac:dyDescent="0.45">
      <c r="A88" s="265"/>
      <c r="B88" s="266"/>
      <c r="C88" s="6"/>
      <c r="D88" s="6"/>
      <c r="F88" s="270"/>
      <c r="G88" s="266"/>
      <c r="H88" s="266"/>
      <c r="I88" s="266"/>
      <c r="L88" s="6"/>
    </row>
    <row r="89" spans="1:12" s="9" customFormat="1" x14ac:dyDescent="0.45">
      <c r="A89" s="265"/>
      <c r="B89" s="266"/>
      <c r="C89" s="6"/>
      <c r="D89" s="6"/>
      <c r="F89" s="270"/>
      <c r="G89" s="266"/>
      <c r="H89" s="266"/>
      <c r="I89" s="266"/>
      <c r="L89" s="6"/>
    </row>
    <row r="90" spans="1:12" s="9" customFormat="1" ht="15.75" x14ac:dyDescent="0.5">
      <c r="A90" s="263"/>
      <c r="D90" s="6"/>
      <c r="L90" s="6"/>
    </row>
    <row r="91" spans="1:12" s="9" customFormat="1" x14ac:dyDescent="0.45">
      <c r="D91" s="6"/>
      <c r="E91" s="7"/>
      <c r="F91" s="7"/>
      <c r="G91" s="7"/>
      <c r="H91" s="7"/>
      <c r="L91" s="6"/>
    </row>
    <row r="92" spans="1:12" s="9" customFormat="1" x14ac:dyDescent="0.45">
      <c r="B92" s="7"/>
      <c r="C92" s="264"/>
      <c r="D92" s="278"/>
      <c r="E92" s="264"/>
      <c r="F92" s="264"/>
      <c r="G92" s="264"/>
      <c r="H92" s="264"/>
      <c r="I92" s="7"/>
      <c r="L92" s="6"/>
    </row>
    <row r="93" spans="1:12" s="9" customFormat="1" x14ac:dyDescent="0.45">
      <c r="A93" s="265"/>
      <c r="B93" s="266"/>
      <c r="C93" s="267"/>
      <c r="D93" s="211"/>
      <c r="E93" s="267"/>
      <c r="F93" s="267"/>
      <c r="G93" s="267"/>
      <c r="H93" s="267"/>
      <c r="I93" s="267"/>
      <c r="L93" s="6"/>
    </row>
    <row r="94" spans="1:12" s="9" customFormat="1" x14ac:dyDescent="0.45">
      <c r="A94" s="265"/>
      <c r="B94" s="266"/>
      <c r="C94" s="267"/>
      <c r="D94" s="211"/>
      <c r="E94" s="267"/>
      <c r="F94" s="267"/>
      <c r="G94" s="267"/>
      <c r="H94" s="267"/>
      <c r="I94" s="267"/>
      <c r="L94" s="6"/>
    </row>
    <row r="95" spans="1:12" s="9" customFormat="1" x14ac:dyDescent="0.45">
      <c r="A95" s="265"/>
      <c r="B95" s="266"/>
      <c r="C95" s="267"/>
      <c r="D95" s="211"/>
      <c r="E95" s="267"/>
      <c r="F95" s="267"/>
      <c r="G95" s="267"/>
      <c r="H95" s="267"/>
      <c r="I95" s="267"/>
      <c r="L95" s="6"/>
    </row>
    <row r="96" spans="1:12" s="9" customFormat="1" x14ac:dyDescent="0.45">
      <c r="A96" s="265"/>
      <c r="B96" s="266"/>
      <c r="C96" s="267"/>
      <c r="D96" s="211"/>
      <c r="E96" s="267"/>
      <c r="F96" s="267"/>
      <c r="G96" s="267"/>
      <c r="H96" s="267"/>
      <c r="I96" s="267"/>
      <c r="L96" s="6"/>
    </row>
    <row r="97" spans="1:12" s="9" customFormat="1" x14ac:dyDescent="0.45">
      <c r="A97" s="265"/>
      <c r="B97" s="266"/>
      <c r="C97" s="84"/>
      <c r="D97" s="6"/>
      <c r="E97" s="84"/>
      <c r="F97" s="84"/>
      <c r="G97" s="84"/>
      <c r="H97" s="84"/>
      <c r="I97" s="84"/>
      <c r="L97" s="6"/>
    </row>
    <row r="98" spans="1:12" s="9" customFormat="1" x14ac:dyDescent="0.45">
      <c r="A98" s="265"/>
      <c r="B98" s="266"/>
      <c r="D98" s="6"/>
      <c r="E98" s="266"/>
      <c r="F98" s="266"/>
      <c r="G98" s="266"/>
      <c r="H98" s="266"/>
      <c r="I98" s="266"/>
      <c r="L98" s="6"/>
    </row>
    <row r="99" spans="1:12" s="9" customFormat="1" x14ac:dyDescent="0.45">
      <c r="A99" s="268"/>
      <c r="B99" s="268"/>
      <c r="D99" s="6"/>
      <c r="E99" s="266"/>
      <c r="F99" s="266"/>
      <c r="G99" s="266"/>
      <c r="H99" s="266"/>
      <c r="I99" s="266"/>
      <c r="L99" s="6"/>
    </row>
    <row r="100" spans="1:12" s="9" customFormat="1" x14ac:dyDescent="0.45">
      <c r="A100" s="265"/>
      <c r="B100" s="7"/>
      <c r="C100" s="264"/>
      <c r="D100" s="278"/>
      <c r="E100" s="264"/>
      <c r="F100" s="264"/>
      <c r="G100" s="266"/>
      <c r="H100" s="266"/>
      <c r="I100" s="266"/>
      <c r="L100" s="6"/>
    </row>
    <row r="101" spans="1:12" s="9" customFormat="1" x14ac:dyDescent="0.45">
      <c r="A101" s="265"/>
      <c r="B101" s="266"/>
      <c r="C101" s="84"/>
      <c r="D101" s="211"/>
      <c r="E101" s="269"/>
      <c r="F101" s="270"/>
      <c r="G101" s="266"/>
      <c r="L101" s="6"/>
    </row>
    <row r="102" spans="1:12" s="9" customFormat="1" x14ac:dyDescent="0.45">
      <c r="A102" s="265"/>
      <c r="B102" s="266"/>
      <c r="C102" s="84"/>
      <c r="D102" s="211"/>
      <c r="E102" s="269"/>
      <c r="F102" s="270"/>
      <c r="G102" s="266"/>
      <c r="L102" s="6"/>
    </row>
    <row r="103" spans="1:12" s="9" customFormat="1" x14ac:dyDescent="0.45">
      <c r="A103" s="265"/>
      <c r="B103" s="266"/>
      <c r="C103" s="84"/>
      <c r="D103" s="211"/>
      <c r="E103" s="269"/>
      <c r="F103" s="270"/>
      <c r="G103" s="266"/>
      <c r="L103" s="6"/>
    </row>
    <row r="104" spans="1:12" s="9" customFormat="1" x14ac:dyDescent="0.45">
      <c r="A104" s="265"/>
      <c r="B104" s="266"/>
      <c r="D104" s="211"/>
      <c r="E104" s="269"/>
      <c r="F104" s="6"/>
      <c r="G104" s="266"/>
      <c r="L104" s="6"/>
    </row>
    <row r="105" spans="1:12" s="9" customFormat="1" x14ac:dyDescent="0.45">
      <c r="A105" s="265"/>
      <c r="B105" s="266"/>
      <c r="C105" s="6"/>
      <c r="D105" s="6"/>
      <c r="F105" s="270"/>
      <c r="G105" s="266"/>
      <c r="H105" s="266"/>
      <c r="I105" s="266"/>
      <c r="L105" s="6"/>
    </row>
    <row r="106" spans="1:12" s="9" customFormat="1" x14ac:dyDescent="0.45">
      <c r="A106" s="265"/>
      <c r="B106" s="266"/>
      <c r="C106" s="51"/>
      <c r="D106" s="6"/>
      <c r="F106" s="269"/>
      <c r="G106" s="266"/>
      <c r="H106" s="266"/>
      <c r="I106" s="266"/>
      <c r="L106" s="6"/>
    </row>
    <row r="107" spans="1:12" s="9" customFormat="1" ht="15.75" x14ac:dyDescent="0.5">
      <c r="A107" s="263"/>
      <c r="D107" s="6"/>
      <c r="L107" s="6"/>
    </row>
    <row r="108" spans="1:12" s="9" customFormat="1" x14ac:dyDescent="0.45">
      <c r="D108" s="6"/>
      <c r="E108" s="7"/>
      <c r="F108" s="7"/>
      <c r="L108" s="6"/>
    </row>
    <row r="109" spans="1:12" s="9" customFormat="1" x14ac:dyDescent="0.45">
      <c r="B109" s="7"/>
      <c r="C109" s="264"/>
      <c r="D109" s="278"/>
      <c r="E109" s="264"/>
      <c r="F109" s="264"/>
      <c r="G109" s="7"/>
      <c r="L109" s="6"/>
    </row>
    <row r="110" spans="1:12" s="9" customFormat="1" x14ac:dyDescent="0.45">
      <c r="A110" s="265"/>
      <c r="B110" s="266"/>
      <c r="C110" s="267"/>
      <c r="D110" s="211"/>
      <c r="E110" s="267"/>
      <c r="F110" s="267"/>
      <c r="G110" s="267"/>
      <c r="L110" s="6"/>
    </row>
    <row r="111" spans="1:12" s="9" customFormat="1" x14ac:dyDescent="0.45">
      <c r="A111" s="265"/>
      <c r="B111" s="266"/>
      <c r="C111" s="267"/>
      <c r="D111" s="211"/>
      <c r="E111" s="267"/>
      <c r="F111" s="267"/>
      <c r="G111" s="267"/>
      <c r="H111" s="6"/>
      <c r="I111" s="6"/>
      <c r="L111" s="6"/>
    </row>
    <row r="112" spans="1:12" s="9" customFormat="1" x14ac:dyDescent="0.45">
      <c r="A112" s="265"/>
      <c r="B112" s="266"/>
      <c r="C112" s="6"/>
      <c r="D112" s="6"/>
      <c r="E112" s="84"/>
      <c r="F112" s="84"/>
      <c r="G112" s="84"/>
      <c r="L112" s="6"/>
    </row>
    <row r="113" spans="1:12" s="9" customFormat="1" x14ac:dyDescent="0.45">
      <c r="A113" s="265"/>
      <c r="B113" s="266"/>
      <c r="D113" s="6"/>
      <c r="E113" s="266"/>
      <c r="F113" s="266"/>
      <c r="G113" s="266"/>
      <c r="H113" s="266"/>
      <c r="I113" s="266"/>
      <c r="L113" s="6"/>
    </row>
    <row r="114" spans="1:12" s="9" customFormat="1" x14ac:dyDescent="0.45">
      <c r="A114" s="268"/>
      <c r="B114" s="268"/>
      <c r="D114" s="6"/>
      <c r="E114" s="266"/>
      <c r="F114" s="266"/>
      <c r="G114" s="266"/>
      <c r="H114" s="266"/>
      <c r="I114" s="266"/>
      <c r="L114" s="6"/>
    </row>
    <row r="115" spans="1:12" s="9" customFormat="1" x14ac:dyDescent="0.45">
      <c r="A115" s="265"/>
      <c r="B115" s="7"/>
      <c r="C115" s="264"/>
      <c r="D115" s="278"/>
      <c r="E115" s="264"/>
      <c r="F115" s="264"/>
      <c r="G115" s="266"/>
      <c r="H115" s="266"/>
      <c r="I115" s="266"/>
      <c r="L115" s="6"/>
    </row>
    <row r="116" spans="1:12" s="9" customFormat="1" x14ac:dyDescent="0.45">
      <c r="A116" s="265"/>
      <c r="B116" s="266"/>
      <c r="C116" s="84"/>
      <c r="D116" s="211"/>
      <c r="E116" s="269"/>
      <c r="F116" s="270"/>
      <c r="G116" s="266"/>
      <c r="H116" s="266"/>
      <c r="I116" s="266"/>
      <c r="L116" s="6"/>
    </row>
    <row r="117" spans="1:12" s="9" customFormat="1" x14ac:dyDescent="0.45">
      <c r="A117" s="265"/>
      <c r="B117" s="266"/>
      <c r="C117" s="6"/>
      <c r="D117" s="211"/>
      <c r="E117" s="269"/>
      <c r="F117" s="6"/>
      <c r="G117" s="266"/>
      <c r="H117" s="266"/>
      <c r="I117" s="266"/>
      <c r="L117" s="6"/>
    </row>
    <row r="118" spans="1:12" s="9" customFormat="1" x14ac:dyDescent="0.45">
      <c r="A118" s="265"/>
      <c r="B118" s="266"/>
      <c r="C118" s="6"/>
      <c r="D118" s="6"/>
      <c r="F118" s="270"/>
      <c r="G118" s="266"/>
      <c r="H118" s="266"/>
      <c r="I118" s="266"/>
      <c r="L118" s="6"/>
    </row>
    <row r="119" spans="1:12" s="9" customFormat="1" x14ac:dyDescent="0.45">
      <c r="D119" s="6"/>
      <c r="L119" s="6"/>
    </row>
    <row r="120" spans="1:12" s="9" customFormat="1" x14ac:dyDescent="0.45">
      <c r="D120" s="6"/>
      <c r="L120" s="6"/>
    </row>
    <row r="121" spans="1:12" s="9" customFormat="1" x14ac:dyDescent="0.45">
      <c r="D121" s="6"/>
      <c r="L121" s="6"/>
    </row>
    <row r="122" spans="1:12" s="9" customFormat="1" x14ac:dyDescent="0.45">
      <c r="D122" s="6"/>
      <c r="L122" s="6"/>
    </row>
    <row r="123" spans="1:12" s="9" customFormat="1" x14ac:dyDescent="0.45">
      <c r="D123" s="6"/>
      <c r="L123" s="6"/>
    </row>
  </sheetData>
  <mergeCells count="1">
    <mergeCell ref="A2:I2"/>
  </mergeCells>
  <printOptions horizontalCentered="1"/>
  <pageMargins left="0.85" right="0.6" top="0.9" bottom="1" header="0.3" footer="0.3"/>
  <pageSetup scale="67" orientation="portrait" horizontalDpi="4294967293" r:id="rId1"/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SAOw</vt:lpstr>
      <vt:lpstr>SAOs</vt:lpstr>
      <vt:lpstr>Wages</vt:lpstr>
      <vt:lpstr>Medical</vt:lpstr>
      <vt:lpstr>Water Loss</vt:lpstr>
      <vt:lpstr>Depreciation</vt:lpstr>
      <vt:lpstr>Debt Service</vt:lpstr>
      <vt:lpstr>Penalties</vt:lpstr>
      <vt:lpstr>ExBAw</vt:lpstr>
      <vt:lpstr>ExBAs</vt:lpstr>
      <vt:lpstr>RatesW</vt:lpstr>
      <vt:lpstr>RatesS</vt:lpstr>
      <vt:lpstr>Bills</vt:lpstr>
      <vt:lpstr>Bills with SE Surcharge</vt:lpstr>
      <vt:lpstr>PropBAw</vt:lpstr>
      <vt:lpstr>PropBAs</vt:lpstr>
      <vt:lpstr>Bills!Print_Area</vt:lpstr>
      <vt:lpstr>'Debt Service'!Print_Area</vt:lpstr>
      <vt:lpstr>Depreciation!Print_Area</vt:lpstr>
      <vt:lpstr>ExBAs!Print_Area</vt:lpstr>
      <vt:lpstr>ExBAw!Print_Area</vt:lpstr>
      <vt:lpstr>PropBAw!Print_Area</vt:lpstr>
      <vt:lpstr>RatesS!Print_Area</vt:lpstr>
      <vt:lpstr>RatesW!Print_Area</vt:lpstr>
      <vt:lpstr>SAOs!Print_Area</vt:lpstr>
      <vt:lpstr>SAOw!Print_Area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2022-02-16T23:17:18Z</cp:lastPrinted>
  <dcterms:created xsi:type="dcterms:W3CDTF">2016-05-18T14:12:06Z</dcterms:created>
  <dcterms:modified xsi:type="dcterms:W3CDTF">2022-03-29T16:59:23Z</dcterms:modified>
</cp:coreProperties>
</file>