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checkCompatibility="1" defaultThemeVersion="124226"/>
  <xr:revisionPtr revIDLastSave="0" documentId="14_{811A602F-CE9A-4381-80AF-EE17A865AB87}" xr6:coauthVersionLast="36" xr6:coauthVersionMax="36" xr10:uidLastSave="{00000000-0000-0000-0000-000000000000}"/>
  <bookViews>
    <workbookView xWindow="0" yWindow="0" windowWidth="10500" windowHeight="6750" tabRatio="599" firstSheet="8" activeTab="11" xr2:uid="{00000000-000D-0000-FFFF-FFFF00000000}"/>
  </bookViews>
  <sheets>
    <sheet name="Schedule Of Adjusted Operations" sheetId="1" r:id="rId1"/>
    <sheet name="Adjustments" sheetId="31" r:id="rId2"/>
    <sheet name="RevReq Calculation" sheetId="25" r:id="rId3"/>
    <sheet name="DebtServiceRequirements" sheetId="42" r:id="rId4"/>
    <sheet name="Wage-Benefits" sheetId="43" r:id="rId5"/>
    <sheet name="Health Benefits Calc" sheetId="48" r:id="rId6"/>
    <sheet name="BillingAnalysis" sheetId="44" r:id="rId7"/>
    <sheet name="Forfeited Adj." sheetId="47" r:id="rId8"/>
    <sheet name="ElectricPowerAdjustment" sheetId="53" r:id="rId9"/>
    <sheet name="2020 Depreciation" sheetId="54" r:id="rId10"/>
    <sheet name="Adj Depreciation Schedule" sheetId="55" r:id="rId11"/>
    <sheet name="NRC Cost Justification" sheetId="56" r:id="rId12"/>
  </sheets>
  <definedNames>
    <definedName name="_xlnm._FilterDatabase" localSheetId="4" hidden="1">'Wage-Benefits'!$B$1:$U$7</definedName>
    <definedName name="_xlnm.Print_Area" localSheetId="8">ElectricPowerAdjustment!$A$1:$P$34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7" i="56" l="1"/>
  <c r="C38" i="56" s="1"/>
  <c r="C33" i="56"/>
  <c r="B32" i="56"/>
  <c r="B27" i="56"/>
  <c r="C28" i="56" s="1"/>
  <c r="B19" i="56"/>
  <c r="B23" i="56" s="1"/>
  <c r="B14" i="56"/>
  <c r="C14" i="56" s="1"/>
  <c r="B8" i="56"/>
  <c r="C8" i="56" s="1"/>
  <c r="C41" i="56" l="1"/>
  <c r="D45" i="56" s="1"/>
  <c r="D8" i="56"/>
  <c r="C42" i="56"/>
  <c r="D46" i="56"/>
  <c r="C46" i="56"/>
  <c r="D14" i="56"/>
  <c r="H36" i="55"/>
  <c r="C45" i="56" l="1"/>
  <c r="H35" i="55"/>
  <c r="C31" i="1"/>
  <c r="J43" i="44" l="1"/>
  <c r="J37" i="44"/>
  <c r="J31" i="44"/>
  <c r="J24" i="44"/>
  <c r="J17" i="44"/>
  <c r="J9" i="44"/>
  <c r="C43" i="1" l="1"/>
  <c r="L38" i="55" l="1"/>
  <c r="L37" i="55"/>
  <c r="L36" i="55"/>
  <c r="L35" i="55"/>
  <c r="L34" i="55"/>
  <c r="L33" i="55"/>
  <c r="L32" i="55"/>
  <c r="K29" i="55"/>
  <c r="M29" i="55" s="1"/>
  <c r="L28" i="55"/>
  <c r="I28" i="55"/>
  <c r="K28" i="55" s="1"/>
  <c r="M28" i="55" s="1"/>
  <c r="K27" i="55"/>
  <c r="M27" i="55" s="1"/>
  <c r="L26" i="55"/>
  <c r="K26" i="55"/>
  <c r="M26" i="55" s="1"/>
  <c r="L25" i="55"/>
  <c r="K25" i="55"/>
  <c r="M25" i="55" s="1"/>
  <c r="K24" i="55"/>
  <c r="M24" i="55" s="1"/>
  <c r="K23" i="55"/>
  <c r="M23" i="55" s="1"/>
  <c r="K22" i="55"/>
  <c r="M22" i="55" s="1"/>
  <c r="K21" i="55"/>
  <c r="M21" i="55" s="1"/>
  <c r="K20" i="55"/>
  <c r="M20" i="55" s="1"/>
  <c r="M19" i="55"/>
  <c r="K19" i="55"/>
  <c r="L18" i="55"/>
  <c r="K18" i="55"/>
  <c r="M18" i="55" s="1"/>
  <c r="K17" i="55"/>
  <c r="M17" i="55" s="1"/>
  <c r="K16" i="55"/>
  <c r="M16" i="55" s="1"/>
  <c r="K15" i="55"/>
  <c r="M15" i="55" s="1"/>
  <c r="K14" i="55"/>
  <c r="M14" i="55" s="1"/>
  <c r="L13" i="55"/>
  <c r="K13" i="55"/>
  <c r="M13" i="55" s="1"/>
  <c r="L12" i="55"/>
  <c r="K12" i="55"/>
  <c r="M12" i="55" s="1"/>
  <c r="L11" i="55"/>
  <c r="K11" i="55"/>
  <c r="M11" i="55" s="1"/>
  <c r="L10" i="55"/>
  <c r="K10" i="55"/>
  <c r="M10" i="55" s="1"/>
  <c r="K9" i="55"/>
  <c r="M9" i="55" s="1"/>
  <c r="K8" i="55"/>
  <c r="M8" i="55" s="1"/>
  <c r="K7" i="55"/>
  <c r="M7" i="55" s="1"/>
  <c r="K6" i="55"/>
  <c r="J4" i="55"/>
  <c r="I4" i="55"/>
  <c r="H4" i="55"/>
  <c r="J29" i="54"/>
  <c r="K29" i="54" s="1"/>
  <c r="J28" i="54"/>
  <c r="K28" i="54" s="1"/>
  <c r="H28" i="54"/>
  <c r="J27" i="54"/>
  <c r="K27" i="54" s="1"/>
  <c r="K26" i="54"/>
  <c r="J26" i="54"/>
  <c r="K25" i="54"/>
  <c r="J25" i="54"/>
  <c r="J24" i="54"/>
  <c r="K24" i="54" s="1"/>
  <c r="K23" i="54"/>
  <c r="J23" i="54"/>
  <c r="K22" i="54"/>
  <c r="J22" i="54"/>
  <c r="J21" i="54"/>
  <c r="K21" i="54" s="1"/>
  <c r="K20" i="54"/>
  <c r="J20" i="54"/>
  <c r="K19" i="54"/>
  <c r="J19" i="54"/>
  <c r="J18" i="54"/>
  <c r="K18" i="54" s="1"/>
  <c r="K17" i="54"/>
  <c r="J17" i="54"/>
  <c r="K16" i="54"/>
  <c r="J16" i="54"/>
  <c r="J15" i="54"/>
  <c r="K15" i="54" s="1"/>
  <c r="K14" i="54"/>
  <c r="J14" i="54"/>
  <c r="K13" i="54"/>
  <c r="J13" i="54"/>
  <c r="J12" i="54"/>
  <c r="K12" i="54" s="1"/>
  <c r="K11" i="54"/>
  <c r="J11" i="54"/>
  <c r="K10" i="54"/>
  <c r="J10" i="54"/>
  <c r="J9" i="54"/>
  <c r="K9" i="54" s="1"/>
  <c r="K8" i="54"/>
  <c r="J8" i="54"/>
  <c r="K7" i="54"/>
  <c r="J7" i="54"/>
  <c r="J6" i="54"/>
  <c r="J4" i="54" s="1"/>
  <c r="I4" i="54"/>
  <c r="H4" i="54"/>
  <c r="G4" i="54"/>
  <c r="L4" i="55" l="1"/>
  <c r="C41" i="1" s="1"/>
  <c r="K4" i="55"/>
  <c r="K6" i="54"/>
  <c r="K4" i="54" s="1"/>
  <c r="M6" i="55"/>
  <c r="M4" i="55" s="1"/>
  <c r="AD7" i="43" l="1"/>
  <c r="C36" i="1" l="1"/>
  <c r="E38" i="1"/>
  <c r="AG4" i="43" l="1"/>
  <c r="AG5" i="43"/>
  <c r="AG6" i="43"/>
  <c r="AG7" i="43"/>
  <c r="AG18" i="43" s="1"/>
  <c r="AG8" i="43"/>
  <c r="AG9" i="43"/>
  <c r="AG10" i="43"/>
  <c r="AG11" i="43"/>
  <c r="AG12" i="43"/>
  <c r="AG13" i="43"/>
  <c r="AG14" i="43"/>
  <c r="AG15" i="43"/>
  <c r="AG3" i="43"/>
  <c r="AE18" i="43"/>
  <c r="AD18" i="43"/>
  <c r="C24" i="1" s="1"/>
  <c r="AC18" i="43"/>
  <c r="AB18" i="43"/>
  <c r="AB14" i="43"/>
  <c r="AB15" i="43"/>
  <c r="AA18" i="43"/>
  <c r="Z18" i="43"/>
  <c r="Y18" i="43"/>
  <c r="X18" i="43"/>
  <c r="V18" i="43"/>
  <c r="P18" i="43"/>
  <c r="M18" i="43"/>
  <c r="S18" i="43"/>
  <c r="T18" i="43"/>
  <c r="U18" i="43"/>
  <c r="N18" i="43"/>
  <c r="AF3" i="43"/>
  <c r="AB3" i="43"/>
  <c r="AE5" i="43"/>
  <c r="AE6" i="43"/>
  <c r="AE7" i="43"/>
  <c r="AE8" i="43"/>
  <c r="AE9" i="43"/>
  <c r="AE10" i="43"/>
  <c r="AE11" i="43"/>
  <c r="AE12" i="43"/>
  <c r="AE13" i="43"/>
  <c r="AE3" i="43"/>
  <c r="AA14" i="43"/>
  <c r="AA15" i="43"/>
  <c r="Y4" i="43"/>
  <c r="Y5" i="43"/>
  <c r="Y6" i="43"/>
  <c r="Y7" i="43"/>
  <c r="Y14" i="43"/>
  <c r="Y15" i="43"/>
  <c r="Y3" i="43"/>
  <c r="AD5" i="43"/>
  <c r="AD6" i="43"/>
  <c r="AD8" i="43"/>
  <c r="AD9" i="43"/>
  <c r="AD10" i="43"/>
  <c r="AD11" i="43"/>
  <c r="AD12" i="43"/>
  <c r="AD13" i="43"/>
  <c r="AD3" i="43"/>
  <c r="P3" i="43"/>
  <c r="B4" i="25"/>
  <c r="Y6" i="42"/>
  <c r="X7" i="42"/>
  <c r="V10" i="42"/>
  <c r="Y10" i="42" s="1"/>
  <c r="V9" i="42"/>
  <c r="V8" i="42"/>
  <c r="V7" i="42"/>
  <c r="V6" i="42"/>
  <c r="U10" i="42"/>
  <c r="X10" i="42" s="1"/>
  <c r="U9" i="42"/>
  <c r="U8" i="42"/>
  <c r="U7" i="42"/>
  <c r="U6" i="42"/>
  <c r="S10" i="42"/>
  <c r="S9" i="42"/>
  <c r="Y9" i="42" s="1"/>
  <c r="S8" i="42"/>
  <c r="Y8" i="42" s="1"/>
  <c r="S7" i="42"/>
  <c r="Y7" i="42" s="1"/>
  <c r="S6" i="42"/>
  <c r="R10" i="42"/>
  <c r="R9" i="42"/>
  <c r="X9" i="42" s="1"/>
  <c r="R8" i="42"/>
  <c r="X8" i="42" s="1"/>
  <c r="R7" i="42"/>
  <c r="R6" i="42"/>
  <c r="X6" i="42" s="1"/>
  <c r="H32" i="53" l="1"/>
  <c r="F32" i="53"/>
  <c r="N30" i="53"/>
  <c r="L30" i="53"/>
  <c r="P30" i="53" s="1"/>
  <c r="J30" i="53"/>
  <c r="N29" i="53"/>
  <c r="J29" i="53"/>
  <c r="L29" i="53" s="1"/>
  <c r="P29" i="53" s="1"/>
  <c r="N28" i="53"/>
  <c r="J28" i="53"/>
  <c r="L28" i="53" s="1"/>
  <c r="P28" i="53" s="1"/>
  <c r="N27" i="53"/>
  <c r="L27" i="53"/>
  <c r="P27" i="53" s="1"/>
  <c r="J27" i="53"/>
  <c r="N26" i="53"/>
  <c r="J26" i="53"/>
  <c r="L26" i="53" s="1"/>
  <c r="P26" i="53" s="1"/>
  <c r="N25" i="53"/>
  <c r="J25" i="53"/>
  <c r="L25" i="53" s="1"/>
  <c r="P25" i="53" s="1"/>
  <c r="N24" i="53"/>
  <c r="L24" i="53"/>
  <c r="P24" i="53" s="1"/>
  <c r="J24" i="53"/>
  <c r="N23" i="53"/>
  <c r="J23" i="53"/>
  <c r="L23" i="53" s="1"/>
  <c r="P23" i="53" s="1"/>
  <c r="N22" i="53"/>
  <c r="J22" i="53"/>
  <c r="L22" i="53" s="1"/>
  <c r="P22" i="53" s="1"/>
  <c r="N21" i="53"/>
  <c r="L21" i="53"/>
  <c r="P21" i="53" s="1"/>
  <c r="J21" i="53"/>
  <c r="N20" i="53"/>
  <c r="J20" i="53"/>
  <c r="L20" i="53" s="1"/>
  <c r="P20" i="53" s="1"/>
  <c r="N19" i="53"/>
  <c r="J19" i="53"/>
  <c r="L19" i="53" s="1"/>
  <c r="P19" i="53" s="1"/>
  <c r="N18" i="53"/>
  <c r="L18" i="53"/>
  <c r="P18" i="53" s="1"/>
  <c r="J18" i="53"/>
  <c r="N17" i="53"/>
  <c r="J17" i="53"/>
  <c r="L17" i="53" s="1"/>
  <c r="P17" i="53" s="1"/>
  <c r="N16" i="53"/>
  <c r="J16" i="53"/>
  <c r="L16" i="53" s="1"/>
  <c r="P16" i="53" s="1"/>
  <c r="N15" i="53"/>
  <c r="L15" i="53"/>
  <c r="P15" i="53" s="1"/>
  <c r="J15" i="53"/>
  <c r="N14" i="53"/>
  <c r="J14" i="53"/>
  <c r="L14" i="53" s="1"/>
  <c r="P14" i="53" s="1"/>
  <c r="N13" i="53"/>
  <c r="J13" i="53"/>
  <c r="L13" i="53" s="1"/>
  <c r="P13" i="53" s="1"/>
  <c r="N12" i="53"/>
  <c r="L12" i="53"/>
  <c r="P12" i="53" s="1"/>
  <c r="J12" i="53"/>
  <c r="N11" i="53"/>
  <c r="J11" i="53"/>
  <c r="L11" i="53" s="1"/>
  <c r="P11" i="53" s="1"/>
  <c r="N10" i="53"/>
  <c r="J10" i="53"/>
  <c r="L10" i="53" s="1"/>
  <c r="P10" i="53" s="1"/>
  <c r="N9" i="53"/>
  <c r="J9" i="53"/>
  <c r="L9" i="53" s="1"/>
  <c r="P9" i="53" s="1"/>
  <c r="N8" i="53"/>
  <c r="J8" i="53"/>
  <c r="L8" i="53" s="1"/>
  <c r="P8" i="53" s="1"/>
  <c r="N7" i="53"/>
  <c r="N32" i="53" s="1"/>
  <c r="J7" i="53"/>
  <c r="J32" i="53" s="1"/>
  <c r="L7" i="53" l="1"/>
  <c r="L32" i="53" l="1"/>
  <c r="P33" i="53" s="1"/>
  <c r="P7" i="53"/>
  <c r="P32" i="53" s="1"/>
  <c r="C14" i="1" l="1"/>
  <c r="B9" i="47" l="1"/>
  <c r="B11" i="47" s="1"/>
  <c r="Z10" i="42" l="1"/>
  <c r="H87" i="44"/>
  <c r="G87" i="44"/>
  <c r="D21" i="48"/>
  <c r="J22" i="48" s="1"/>
  <c r="J19" i="48"/>
  <c r="H19" i="48"/>
  <c r="H18" i="48"/>
  <c r="J18" i="48" s="1"/>
  <c r="H17" i="48"/>
  <c r="J17" i="48" s="1"/>
  <c r="H16" i="48"/>
  <c r="J16" i="48" s="1"/>
  <c r="H15" i="48"/>
  <c r="J15" i="48" s="1"/>
  <c r="J14" i="48"/>
  <c r="H14" i="48"/>
  <c r="H13" i="48"/>
  <c r="J13" i="48" s="1"/>
  <c r="H12" i="48"/>
  <c r="J12" i="48" s="1"/>
  <c r="H11" i="48"/>
  <c r="J11" i="48" s="1"/>
  <c r="H10" i="48"/>
  <c r="H21" i="48" s="1"/>
  <c r="H9" i="48"/>
  <c r="J9" i="48" s="1"/>
  <c r="H8" i="48"/>
  <c r="J8" i="48" s="1"/>
  <c r="H7" i="48"/>
  <c r="J7" i="48" s="1"/>
  <c r="J10" i="48" l="1"/>
  <c r="J21" i="48" s="1"/>
  <c r="AA7" i="43" l="1"/>
  <c r="Z5" i="43"/>
  <c r="Z6" i="43"/>
  <c r="Z7" i="43"/>
  <c r="AF7" i="43" s="1"/>
  <c r="AF18" i="43" s="1"/>
  <c r="C26" i="1" s="1"/>
  <c r="Z8" i="43"/>
  <c r="Z9" i="43"/>
  <c r="Z10" i="43"/>
  <c r="Z11" i="43"/>
  <c r="Z12" i="43"/>
  <c r="Z13" i="43"/>
  <c r="Z14" i="43"/>
  <c r="Z15" i="43"/>
  <c r="Z3" i="43"/>
  <c r="F128" i="44" l="1"/>
  <c r="C3" i="44"/>
  <c r="C4" i="44"/>
  <c r="D3" i="44"/>
  <c r="D20" i="44"/>
  <c r="C21" i="44"/>
  <c r="B21" i="44"/>
  <c r="C20" i="44"/>
  <c r="B20" i="44"/>
  <c r="D34" i="44"/>
  <c r="C41" i="44"/>
  <c r="C40" i="44"/>
  <c r="C42" i="44" s="1"/>
  <c r="B41" i="44"/>
  <c r="B40" i="44"/>
  <c r="B42" i="44" s="1"/>
  <c r="C28" i="44"/>
  <c r="C13" i="44"/>
  <c r="C12" i="44"/>
  <c r="B28" i="44"/>
  <c r="B13" i="44"/>
  <c r="B12" i="44"/>
  <c r="C7" i="44"/>
  <c r="C6" i="44"/>
  <c r="C5" i="44"/>
  <c r="B7" i="44"/>
  <c r="B6" i="44"/>
  <c r="B5" i="44"/>
  <c r="B4" i="44"/>
  <c r="B3" i="44"/>
  <c r="C35" i="44"/>
  <c r="C34" i="44"/>
  <c r="B35" i="44"/>
  <c r="B34" i="44"/>
  <c r="C29" i="44"/>
  <c r="B29" i="44"/>
  <c r="C15" i="44"/>
  <c r="C14" i="44"/>
  <c r="B15" i="44"/>
  <c r="B14" i="44"/>
  <c r="Z9" i="42" l="1"/>
  <c r="Z8" i="42"/>
  <c r="Z6" i="42"/>
  <c r="Z7" i="42"/>
  <c r="C23" i="44"/>
  <c r="C16" i="44"/>
  <c r="C30" i="44"/>
  <c r="D12" i="44"/>
  <c r="D40" i="44"/>
  <c r="C8" i="44"/>
  <c r="D28" i="44"/>
  <c r="P5" i="43"/>
  <c r="P9" i="43"/>
  <c r="Y9" i="43" s="1"/>
  <c r="P10" i="43"/>
  <c r="Y10" i="43" s="1"/>
  <c r="P11" i="43"/>
  <c r="Y11" i="43" s="1"/>
  <c r="P12" i="43"/>
  <c r="Y12" i="43" s="1"/>
  <c r="P13" i="43"/>
  <c r="Y13" i="43" s="1"/>
  <c r="P8" i="43"/>
  <c r="Y8" i="43" s="1"/>
  <c r="P6" i="43"/>
  <c r="P7" i="43"/>
  <c r="D14" i="42" l="1"/>
  <c r="D15" i="42" s="1"/>
  <c r="D16" i="42" s="1"/>
  <c r="AB7" i="43"/>
  <c r="N13" i="43"/>
  <c r="N12" i="43"/>
  <c r="N11" i="43"/>
  <c r="N10" i="43"/>
  <c r="N9" i="43"/>
  <c r="N8" i="43"/>
  <c r="N6" i="43"/>
  <c r="N5" i="43"/>
  <c r="N3" i="43"/>
  <c r="X13" i="43"/>
  <c r="AA13" i="43" s="1"/>
  <c r="AF13" i="43" s="1"/>
  <c r="X12" i="43"/>
  <c r="AA12" i="43" s="1"/>
  <c r="AF12" i="43" s="1"/>
  <c r="X11" i="43"/>
  <c r="AA11" i="43" s="1"/>
  <c r="AF11" i="43" s="1"/>
  <c r="X10" i="43"/>
  <c r="AA10" i="43" s="1"/>
  <c r="AF10" i="43" s="1"/>
  <c r="X9" i="43"/>
  <c r="AA9" i="43" s="1"/>
  <c r="AF9" i="43" s="1"/>
  <c r="X8" i="43"/>
  <c r="AA8" i="43" s="1"/>
  <c r="AF8" i="43" s="1"/>
  <c r="X6" i="43"/>
  <c r="AA6" i="43" s="1"/>
  <c r="AF6" i="43" s="1"/>
  <c r="X5" i="43"/>
  <c r="AA5" i="43" s="1"/>
  <c r="AF5" i="43" s="1"/>
  <c r="X3" i="43"/>
  <c r="AA3" i="43" s="1"/>
  <c r="V6" i="43"/>
  <c r="V13" i="43"/>
  <c r="V12" i="43"/>
  <c r="V11" i="43"/>
  <c r="V5" i="43"/>
  <c r="V10" i="43"/>
  <c r="V9" i="43"/>
  <c r="V8" i="43"/>
  <c r="U13" i="43"/>
  <c r="U12" i="43"/>
  <c r="U11" i="43"/>
  <c r="U10" i="43"/>
  <c r="U9" i="43"/>
  <c r="U8" i="43"/>
  <c r="B43" i="1"/>
  <c r="AC13" i="43"/>
  <c r="AC12" i="43"/>
  <c r="AC11" i="43"/>
  <c r="AC10" i="43"/>
  <c r="AC9" i="43"/>
  <c r="AC8" i="43"/>
  <c r="U6" i="43"/>
  <c r="AC6" i="43"/>
  <c r="U5" i="43"/>
  <c r="AC5" i="43"/>
  <c r="U3" i="43"/>
  <c r="AC3" i="43"/>
  <c r="B122" i="44"/>
  <c r="B81" i="44"/>
  <c r="F81" i="44" s="1"/>
  <c r="C36" i="44"/>
  <c r="C45" i="44" s="1"/>
  <c r="B36" i="44"/>
  <c r="B76" i="44" s="1"/>
  <c r="F76" i="44" s="1"/>
  <c r="D42" i="44"/>
  <c r="C81" i="44" s="1"/>
  <c r="E41" i="44"/>
  <c r="D36" i="44"/>
  <c r="C76" i="44" s="1"/>
  <c r="E35" i="44"/>
  <c r="D29" i="44"/>
  <c r="E29" i="44" s="1"/>
  <c r="B30" i="44"/>
  <c r="F71" i="44" s="1"/>
  <c r="D21" i="44"/>
  <c r="E21" i="44" s="1"/>
  <c r="D22" i="44"/>
  <c r="B23" i="44"/>
  <c r="E22" i="44"/>
  <c r="D14" i="44"/>
  <c r="D15" i="44"/>
  <c r="D13" i="44"/>
  <c r="E13" i="44" s="1"/>
  <c r="B16" i="44"/>
  <c r="B58" i="44" s="1"/>
  <c r="F58" i="44" s="1"/>
  <c r="F15" i="44"/>
  <c r="E15" i="44"/>
  <c r="E14" i="44"/>
  <c r="G7" i="44"/>
  <c r="F7" i="44"/>
  <c r="F6" i="44"/>
  <c r="E6" i="44"/>
  <c r="E7" i="44"/>
  <c r="E5" i="44"/>
  <c r="D5" i="44"/>
  <c r="D6" i="44"/>
  <c r="D7" i="44"/>
  <c r="D4" i="44"/>
  <c r="E4" i="44" s="1"/>
  <c r="B8" i="44"/>
  <c r="AG26" i="43" l="1"/>
  <c r="AB8" i="43"/>
  <c r="AB13" i="43"/>
  <c r="AB10" i="43"/>
  <c r="AB5" i="43"/>
  <c r="AB11" i="43"/>
  <c r="AB12" i="43"/>
  <c r="AB9" i="43"/>
  <c r="AB6" i="43"/>
  <c r="C85" i="44"/>
  <c r="C126" i="44"/>
  <c r="B91" i="44"/>
  <c r="B45" i="44"/>
  <c r="B85" i="44" s="1"/>
  <c r="B65" i="44"/>
  <c r="F65" i="44" s="1"/>
  <c r="B117" i="44"/>
  <c r="B106" i="44"/>
  <c r="AC7" i="43"/>
  <c r="B112" i="44"/>
  <c r="B50" i="44"/>
  <c r="F50" i="44" s="1"/>
  <c r="B99" i="44"/>
  <c r="C117" i="44"/>
  <c r="C122" i="44"/>
  <c r="B71" i="44"/>
  <c r="E36" i="44"/>
  <c r="E42" i="44"/>
  <c r="E30" i="44"/>
  <c r="F14" i="44"/>
  <c r="F16" i="44" s="1"/>
  <c r="C101" i="44" s="1"/>
  <c r="F22" i="44"/>
  <c r="F23" i="44" s="1"/>
  <c r="D30" i="44"/>
  <c r="E23" i="44"/>
  <c r="F5" i="44"/>
  <c r="F8" i="44" s="1"/>
  <c r="F45" i="44" s="1"/>
  <c r="G15" i="44"/>
  <c r="G16" i="44" s="1"/>
  <c r="C102" i="44" s="1"/>
  <c r="D23" i="44"/>
  <c r="H7" i="44"/>
  <c r="H8" i="44" s="1"/>
  <c r="H45" i="44" s="1"/>
  <c r="G6" i="44"/>
  <c r="G8" i="44" s="1"/>
  <c r="E16" i="44"/>
  <c r="D16" i="44"/>
  <c r="D8" i="44"/>
  <c r="E8" i="44"/>
  <c r="D45" i="44" l="1"/>
  <c r="G45" i="44"/>
  <c r="E45" i="44"/>
  <c r="C66" i="44"/>
  <c r="F66" i="44" s="1"/>
  <c r="C107" i="44"/>
  <c r="C51" i="44"/>
  <c r="F51" i="44" s="1"/>
  <c r="C92" i="44"/>
  <c r="C54" i="44"/>
  <c r="F54" i="44" s="1"/>
  <c r="C95" i="44"/>
  <c r="C52" i="44"/>
  <c r="F52" i="44" s="1"/>
  <c r="C93" i="44"/>
  <c r="C67" i="44"/>
  <c r="F67" i="44" s="1"/>
  <c r="C108" i="44"/>
  <c r="C72" i="44"/>
  <c r="F72" i="44" s="1"/>
  <c r="F73" i="44" s="1"/>
  <c r="C113" i="44"/>
  <c r="C82" i="44"/>
  <c r="C83" i="44" s="1"/>
  <c r="C123" i="44"/>
  <c r="C65" i="44"/>
  <c r="C106" i="44"/>
  <c r="C58" i="44"/>
  <c r="C99" i="44"/>
  <c r="C59" i="44"/>
  <c r="F59" i="44" s="1"/>
  <c r="C100" i="44"/>
  <c r="C77" i="44"/>
  <c r="F77" i="44" s="1"/>
  <c r="F78" i="44" s="1"/>
  <c r="C118" i="44"/>
  <c r="C119" i="44" s="1"/>
  <c r="C71" i="44"/>
  <c r="C112" i="44"/>
  <c r="C50" i="44"/>
  <c r="C91" i="44"/>
  <c r="C53" i="44"/>
  <c r="F53" i="44" s="1"/>
  <c r="C94" i="44"/>
  <c r="C61" i="44"/>
  <c r="F61" i="44" s="1"/>
  <c r="C60" i="44"/>
  <c r="F60" i="44" s="1"/>
  <c r="F55" i="44" l="1"/>
  <c r="F87" i="44" s="1"/>
  <c r="F82" i="44"/>
  <c r="F83" i="44" s="1"/>
  <c r="C103" i="44"/>
  <c r="C109" i="44"/>
  <c r="C68" i="44"/>
  <c r="C124" i="44"/>
  <c r="C78" i="44"/>
  <c r="C96" i="44"/>
  <c r="C114" i="44"/>
  <c r="C73" i="44"/>
  <c r="F68" i="44"/>
  <c r="F62" i="44"/>
  <c r="C62" i="44"/>
  <c r="C55" i="44"/>
  <c r="C40" i="1"/>
  <c r="B39" i="1" l="1"/>
  <c r="B36" i="1"/>
  <c r="B32" i="1"/>
  <c r="B40" i="1" l="1"/>
  <c r="C18" i="1"/>
  <c r="B18" i="1"/>
  <c r="B12" i="1"/>
  <c r="B20" i="1" l="1"/>
  <c r="B46" i="1"/>
  <c r="E40" i="1"/>
  <c r="E9" i="1"/>
  <c r="E10" i="1"/>
  <c r="E11" i="1"/>
  <c r="E14" i="1"/>
  <c r="E15" i="1"/>
  <c r="E16" i="1"/>
  <c r="E17" i="1"/>
  <c r="E18" i="1"/>
  <c r="B7" i="25" s="1"/>
  <c r="E19" i="1"/>
  <c r="E24" i="1"/>
  <c r="E25" i="1"/>
  <c r="E26" i="1"/>
  <c r="E27" i="1"/>
  <c r="E28" i="1"/>
  <c r="E29" i="1"/>
  <c r="E30" i="1"/>
  <c r="E31" i="1"/>
  <c r="E32" i="1"/>
  <c r="E33" i="1"/>
  <c r="E34" i="1"/>
  <c r="E35" i="1"/>
  <c r="E36" i="1"/>
  <c r="E37" i="1"/>
  <c r="E39" i="1"/>
  <c r="E41" i="1"/>
  <c r="E42" i="1"/>
  <c r="E44" i="1"/>
  <c r="B48" i="1" l="1"/>
  <c r="B5" i="25"/>
  <c r="E7" i="1"/>
  <c r="C12" i="1" l="1"/>
  <c r="C20" i="1" s="1"/>
  <c r="E8" i="1"/>
  <c r="E20" i="1" l="1"/>
  <c r="E12" i="1"/>
  <c r="B11" i="25" s="1"/>
  <c r="C46" i="1" l="1"/>
  <c r="E43" i="1"/>
  <c r="E46" i="1" l="1"/>
  <c r="C48" i="1"/>
  <c r="B3" i="25" l="1"/>
  <c r="B6" i="25" s="1"/>
  <c r="B10" i="25" s="1"/>
  <c r="B12" i="25" s="1"/>
  <c r="B14" i="25" s="1"/>
  <c r="E48" i="1"/>
  <c r="D107" i="44" l="1"/>
  <c r="F107" i="44" s="1"/>
  <c r="D118" i="44"/>
  <c r="F118" i="44" s="1"/>
  <c r="D117" i="44"/>
  <c r="F117" i="44" s="1"/>
  <c r="D102" i="44"/>
  <c r="F102" i="44" s="1"/>
  <c r="D94" i="44"/>
  <c r="F94" i="44" s="1"/>
  <c r="D123" i="44"/>
  <c r="F123" i="44" s="1"/>
  <c r="D113" i="44"/>
  <c r="F113" i="44" s="1"/>
  <c r="D95" i="44"/>
  <c r="F95" i="44" s="1"/>
  <c r="D100" i="44"/>
  <c r="F100" i="44" s="1"/>
  <c r="D99" i="44"/>
  <c r="F99" i="44" s="1"/>
  <c r="D91" i="44"/>
  <c r="F91" i="44" s="1"/>
  <c r="D93" i="44"/>
  <c r="F93" i="44" s="1"/>
  <c r="D106" i="44"/>
  <c r="F106" i="44" s="1"/>
  <c r="D108" i="44"/>
  <c r="F108" i="44" s="1"/>
  <c r="D122" i="44"/>
  <c r="F122" i="44" s="1"/>
  <c r="D101" i="44"/>
  <c r="F101" i="44" s="1"/>
  <c r="D92" i="44"/>
  <c r="F92" i="44" s="1"/>
  <c r="D112" i="44"/>
  <c r="F112" i="44" s="1"/>
  <c r="F114" i="44" l="1"/>
  <c r="F96" i="44"/>
  <c r="F103" i="44"/>
  <c r="F109" i="44"/>
  <c r="F124" i="44"/>
  <c r="F119" i="44"/>
  <c r="F130" i="44" l="1"/>
</calcChain>
</file>

<file path=xl/sharedStrings.xml><?xml version="1.0" encoding="utf-8"?>
<sst xmlns="http://schemas.openxmlformats.org/spreadsheetml/2006/main" count="803" uniqueCount="378">
  <si>
    <t>Test Year</t>
  </si>
  <si>
    <t>Adjustment</t>
  </si>
  <si>
    <t>Ref.</t>
  </si>
  <si>
    <t>Pro Forma</t>
  </si>
  <si>
    <t>Operating Revenues</t>
  </si>
  <si>
    <t>Sales of Water</t>
  </si>
  <si>
    <t>Unmetered Water Sales</t>
  </si>
  <si>
    <t>Bulk Loading Stations</t>
  </si>
  <si>
    <t>Fire Protection Revenue</t>
  </si>
  <si>
    <t>Sales for Resale</t>
  </si>
  <si>
    <t>Total Water Sales</t>
  </si>
  <si>
    <t>Other Water Revenues</t>
  </si>
  <si>
    <t>Forfeited Discounts</t>
  </si>
  <si>
    <t>Miscellaneous Service Revenues</t>
  </si>
  <si>
    <t>Rents from Water Property</t>
  </si>
  <si>
    <t>Total Other Water Revenues</t>
  </si>
  <si>
    <t>Total Operating Revenues</t>
  </si>
  <si>
    <t>Operating Expenses</t>
  </si>
  <si>
    <t>Operation and Maintenance Expenses</t>
  </si>
  <si>
    <t>Salaries and Wages - Employees</t>
  </si>
  <si>
    <t>Salaries and Wages - Officers</t>
  </si>
  <si>
    <t>Employee Pensions and Benefits</t>
  </si>
  <si>
    <t>Purchased Water</t>
  </si>
  <si>
    <t>Purchased Power</t>
  </si>
  <si>
    <t>Fuel for Power Production</t>
  </si>
  <si>
    <t>Chemicals</t>
  </si>
  <si>
    <t>Materials and Supplies</t>
  </si>
  <si>
    <t>Contractual Services</t>
  </si>
  <si>
    <t>Water Testing</t>
  </si>
  <si>
    <t>Rents</t>
  </si>
  <si>
    <t>Transportation Expenses</t>
  </si>
  <si>
    <t>Insurance</t>
  </si>
  <si>
    <t>Regulatory Commission Expenses</t>
  </si>
  <si>
    <t>Bad Debt Expense</t>
  </si>
  <si>
    <t>Miscellaneous Expenses</t>
  </si>
  <si>
    <t>Total Operation and Maintenance Expenses</t>
  </si>
  <si>
    <t>Depreciation Expense</t>
  </si>
  <si>
    <t>Amortization Expense</t>
  </si>
  <si>
    <t>Taxes Other than Income</t>
  </si>
  <si>
    <t>Income Tax Expense</t>
  </si>
  <si>
    <t>Total Operating Expenses</t>
  </si>
  <si>
    <t>Utility Operating Income</t>
  </si>
  <si>
    <t>SCHEDULE OF ADJUSTED OPERATIONS - WATER UTILITY</t>
  </si>
  <si>
    <t>A</t>
  </si>
  <si>
    <t>Metered Water Sales</t>
  </si>
  <si>
    <t>B</t>
  </si>
  <si>
    <t>Pro forma Operating Expenses</t>
  </si>
  <si>
    <t>Plus:  Average Annual Debt Principal and Interest Payment</t>
  </si>
  <si>
    <t>Debt Coverage Requirement</t>
  </si>
  <si>
    <t>Total Revenue Requirement</t>
  </si>
  <si>
    <t>Non-Operating Revenue</t>
  </si>
  <si>
    <t>Interest Income</t>
  </si>
  <si>
    <t>Required Revenue Increase</t>
  </si>
  <si>
    <t>H</t>
  </si>
  <si>
    <t>G</t>
  </si>
  <si>
    <t>C</t>
  </si>
  <si>
    <t>D</t>
  </si>
  <si>
    <t>E</t>
  </si>
  <si>
    <t>F</t>
  </si>
  <si>
    <t>TYE 12/31/2020</t>
  </si>
  <si>
    <t>REVENUE REQUIREMENT CALCULATION - DEBT COVERAGE METHOD</t>
  </si>
  <si>
    <t>USDA Debt</t>
  </si>
  <si>
    <t>Total</t>
  </si>
  <si>
    <t xml:space="preserve">Cash </t>
  </si>
  <si>
    <t>Principal</t>
  </si>
  <si>
    <t>Interest</t>
  </si>
  <si>
    <t>Payments</t>
  </si>
  <si>
    <t>5-year Total:</t>
  </si>
  <si>
    <t>Annual Average:</t>
  </si>
  <si>
    <t>Coverage:</t>
  </si>
  <si>
    <t>Reference</t>
  </si>
  <si>
    <t>Remarks</t>
  </si>
  <si>
    <t>Less: Other Operating Revenue</t>
  </si>
  <si>
    <t>Revenue Required from Rates</t>
  </si>
  <si>
    <t>Less:  Revenue from Sales at Present Rates</t>
  </si>
  <si>
    <t>Required Revenue Increase stated as a Percentage of Revenue at Present Rates</t>
  </si>
  <si>
    <t>Employee
No.</t>
  </si>
  <si>
    <t>Employee</t>
  </si>
  <si>
    <t>Position</t>
  </si>
  <si>
    <t>Regular Hours
2020</t>
  </si>
  <si>
    <t>Overtime Hours
2020</t>
  </si>
  <si>
    <t>Sick Leave Hours
2020</t>
  </si>
  <si>
    <t>Vacation Hours
2020</t>
  </si>
  <si>
    <t>Bonus ($)
2020</t>
  </si>
  <si>
    <t>Actual 2020 Wage/Salary</t>
  </si>
  <si>
    <t>Current Wage
Rate</t>
  </si>
  <si>
    <t>Adjusted Wage/Salary</t>
  </si>
  <si>
    <t>Health Plan</t>
  </si>
  <si>
    <t>Health (Monthly)</t>
  </si>
  <si>
    <t>Pro Forma
Health</t>
  </si>
  <si>
    <t>Life</t>
  </si>
  <si>
    <t>Accident</t>
  </si>
  <si>
    <t>PSC Allowed
Health Insurance</t>
  </si>
  <si>
    <t>Total Adjusted
Benefits</t>
  </si>
  <si>
    <t>FICA Adjusted</t>
  </si>
  <si>
    <t>Bills</t>
  </si>
  <si>
    <t>Gallons/Mcf</t>
  </si>
  <si>
    <t>Over 40,000</t>
  </si>
  <si>
    <t>Over 40,000 Gallons</t>
  </si>
  <si>
    <t>Revenue from Test Period Rates</t>
  </si>
  <si>
    <t>Rates</t>
  </si>
  <si>
    <t>Revenue</t>
  </si>
  <si>
    <t>Minimum Bill</t>
  </si>
  <si>
    <t>per 1,000 gallons</t>
  </si>
  <si>
    <t>5/8-Inch x 3/4-Inch</t>
  </si>
  <si>
    <t>First 1,000</t>
  </si>
  <si>
    <t>Next 9,000</t>
  </si>
  <si>
    <t>Next 10,000</t>
  </si>
  <si>
    <t>Next 20,000</t>
  </si>
  <si>
    <t>Next 9,000 Gallons</t>
  </si>
  <si>
    <t>Next 10,000 Gallons</t>
  </si>
  <si>
    <t>Next 20,000 Gallons</t>
  </si>
  <si>
    <t>First 1,000 Gallons (Minimum Bill)</t>
  </si>
  <si>
    <t>1-Inch</t>
  </si>
  <si>
    <t>First 10,000 Gallons (Minimum Bill)</t>
  </si>
  <si>
    <t>First 10,000</t>
  </si>
  <si>
    <t>1 1/2-Inch</t>
  </si>
  <si>
    <t>First 20,000 Gallons (Minimum Bill)</t>
  </si>
  <si>
    <t>First 20,000</t>
  </si>
  <si>
    <t>2-Inch</t>
  </si>
  <si>
    <t>First 40,000 Gallons (Minimum Bill)</t>
  </si>
  <si>
    <t>First 40,000</t>
  </si>
  <si>
    <t>3-Inch</t>
  </si>
  <si>
    <t>First 100,000 Gallons (Minimum Bill)</t>
  </si>
  <si>
    <t>Over 100,000 Gallons</t>
  </si>
  <si>
    <t>First 100,000</t>
  </si>
  <si>
    <t>Over 100,000</t>
  </si>
  <si>
    <t>4-Inch</t>
  </si>
  <si>
    <t>First 200,000 Gallons (Minimum Bill)</t>
  </si>
  <si>
    <t>Over 200,000 Gallons</t>
  </si>
  <si>
    <t>First 200,000</t>
  </si>
  <si>
    <t>Over 200,000</t>
  </si>
  <si>
    <t>Total Revenue:</t>
  </si>
  <si>
    <t>Revenue From Proposed Rates</t>
  </si>
  <si>
    <t>Holiday Hours
2020</t>
  </si>
  <si>
    <t>Bereavement Hours
2020</t>
  </si>
  <si>
    <t>Office Manager</t>
  </si>
  <si>
    <t>General Manager</t>
  </si>
  <si>
    <t>EMP</t>
  </si>
  <si>
    <t>NONE</t>
  </si>
  <si>
    <t>ESP</t>
  </si>
  <si>
    <t>ECH</t>
  </si>
  <si>
    <t>Dental</t>
  </si>
  <si>
    <t>Clerk</t>
  </si>
  <si>
    <t>Financial Consultant Part-time</t>
  </si>
  <si>
    <t>Maintenance Forman</t>
  </si>
  <si>
    <t>Certified Operator</t>
  </si>
  <si>
    <t>Laborer</t>
  </si>
  <si>
    <t>Pension</t>
  </si>
  <si>
    <t>Big Sandy Water District</t>
  </si>
  <si>
    <t>Status</t>
  </si>
  <si>
    <t>Months</t>
  </si>
  <si>
    <t>Projected New Taps (See Tab)</t>
  </si>
  <si>
    <t>PSC Allowed
Dental Insurance</t>
  </si>
  <si>
    <t>F/T</t>
  </si>
  <si>
    <t>P/T</t>
  </si>
  <si>
    <t>Start Date</t>
  </si>
  <si>
    <t>BIG SANDY WATER DISTRICT - HEALTH INSURANCE YE 2021</t>
  </si>
  <si>
    <t>2021</t>
  </si>
  <si>
    <t>Employee Name</t>
  </si>
  <si>
    <t>Health Amt Invoiced</t>
  </si>
  <si>
    <t>%Paid by Employee</t>
  </si>
  <si>
    <t>Employee Paid $$</t>
  </si>
  <si>
    <t>Total Monthly Amt</t>
  </si>
  <si>
    <t>Totals</t>
  </si>
  <si>
    <t>timing difference</t>
  </si>
  <si>
    <t>Cost</t>
  </si>
  <si>
    <t>Miscellaneous Equipment</t>
  </si>
  <si>
    <t>Structures &amp; Improvements</t>
  </si>
  <si>
    <t>Services</t>
  </si>
  <si>
    <t>Hydrants</t>
  </si>
  <si>
    <t>Power Operated Equipment</t>
  </si>
  <si>
    <t>Communication Equipment</t>
  </si>
  <si>
    <t>Transportation Equipment</t>
  </si>
  <si>
    <t>Construction in Process</t>
  </si>
  <si>
    <t>Water Lines</t>
  </si>
  <si>
    <t>Telemetry</t>
  </si>
  <si>
    <t>Office Building</t>
  </si>
  <si>
    <t>Average over last three years</t>
  </si>
  <si>
    <t xml:space="preserve">Forfeited Adjustment </t>
  </si>
  <si>
    <t>Amount</t>
  </si>
  <si>
    <t>Average of 3 years</t>
  </si>
  <si>
    <t>L</t>
  </si>
  <si>
    <t>I</t>
  </si>
  <si>
    <t>J</t>
  </si>
  <si>
    <t>K</t>
  </si>
  <si>
    <t>Test period late payment fees were $12,172.  This amount is not representative of a normal year of operations.  PSC prohibited collection of late payment fees from March through December 2020.  (See PSC Case No. 2020-00085).  Big Sandy District has resumed collection of late payment fees. To determine an appropriate and representative level of revenue from such fees, an average of forfeited discounts for 2017, 2018, and 2019; which are $57,812.26, $59,930.55, and $55,218.97 respectively, is used.  This average is $57,653.93.  Big Sandy District did not report late payment fees separately in its 2020 Annual Report but included those fees in Miscellaneous Service Revenues.</t>
  </si>
  <si>
    <t>Now $25.00/month</t>
  </si>
  <si>
    <t>Kentucky Power Company</t>
  </si>
  <si>
    <t>Was $22.50/month</t>
  </si>
  <si>
    <t>Power Adjustment</t>
  </si>
  <si>
    <t>New Rate Eff 1.14.21</t>
  </si>
  <si>
    <t>YTD 2020</t>
  </si>
  <si>
    <t>Annualized</t>
  </si>
  <si>
    <t>Per KY Power</t>
  </si>
  <si>
    <t>Acc#</t>
  </si>
  <si>
    <t>Service Address</t>
  </si>
  <si>
    <t>Tariff #</t>
  </si>
  <si>
    <t>Type of Service</t>
  </si>
  <si>
    <t>Billed KWH - YE 2020</t>
  </si>
  <si>
    <t>Amt Billed</t>
  </si>
  <si>
    <t>KWH</t>
  </si>
  <si>
    <t>.01 KWH Increase</t>
  </si>
  <si>
    <t>Serv Chg Increase</t>
  </si>
  <si>
    <t>Increases by Acct</t>
  </si>
  <si>
    <t>030-361-842-0-2</t>
  </si>
  <si>
    <t>Nursery Dr., Rush, Ky 41168</t>
  </si>
  <si>
    <t>General Service</t>
  </si>
  <si>
    <t>030-711-233-0-5</t>
  </si>
  <si>
    <t>7409 HWY 32-Sed Gap Holding Tank, Louisa, KY 41230</t>
  </si>
  <si>
    <t>031-616-794-1-4</t>
  </si>
  <si>
    <t>18211 State Route 3, Catlettsburg, KY 41129</t>
  </si>
  <si>
    <t>032-610-044-6-3</t>
  </si>
  <si>
    <t>Friendship Rd., PRV Station, Catlettsburg, KY 41129</t>
  </si>
  <si>
    <t>032-820-044-9-2</t>
  </si>
  <si>
    <t>State Rt. 3, Catlettsburg, KY 41129</t>
  </si>
  <si>
    <t>033-178-860-0-4</t>
  </si>
  <si>
    <t>Deep Hole Branch Rd, Louisa, KY 41230</t>
  </si>
  <si>
    <t>033-225-262-0-7</t>
  </si>
  <si>
    <t>Fullers Ridge Rd, Louisa, KY 41230</t>
  </si>
  <si>
    <t>033-647-231-2-6</t>
  </si>
  <si>
    <t>Point Section, Louisa, KY 41230</t>
  </si>
  <si>
    <t>034-197-256-0-5</t>
  </si>
  <si>
    <t>HWY 23, Catlettsburg, KY 41129</t>
  </si>
  <si>
    <t>034-308-665-0-3</t>
  </si>
  <si>
    <t>Bolts Fork Rd., Water Tank, Rush, KY 41168</t>
  </si>
  <si>
    <t>034-471-590-0-9</t>
  </si>
  <si>
    <t>Raven Rock Fork Rd., Louisa, KY 41230</t>
  </si>
  <si>
    <t>034-863-754-0-9</t>
  </si>
  <si>
    <t>Lake Bonita Rd., Catlettsburg, KY 41129</t>
  </si>
  <si>
    <t>034-900-044-5-8</t>
  </si>
  <si>
    <t>Bowling Dr., Water Tank, Catlettsburg, KY 41129</t>
  </si>
  <si>
    <t>035-820-044-9-9</t>
  </si>
  <si>
    <t>18200 State Route 3, Office Trailer, Catlettsburg, KY 41129</t>
  </si>
  <si>
    <t>036-320-044-1-6</t>
  </si>
  <si>
    <t>27702 Mayo Trail Rd., Catlettsburg, KY 41129</t>
  </si>
  <si>
    <t>038-178-460-1-2</t>
  </si>
  <si>
    <t>Donithon Rd., Louisa, KY 41230</t>
  </si>
  <si>
    <t>038-254-559-0-4</t>
  </si>
  <si>
    <t>273 Franks Dr., Rush, KY 41168</t>
  </si>
  <si>
    <t>038-466-038-0-5</t>
  </si>
  <si>
    <t>HWY 32, Sed Gap Pump Station, Louisa, KY 41230</t>
  </si>
  <si>
    <t>038-740-014-2-7</t>
  </si>
  <si>
    <t>Porter Rd., Lockwood Estates, Catlettsburg, KY 41129</t>
  </si>
  <si>
    <t>039-212-198-0-8</t>
  </si>
  <si>
    <t>8267 HWY 707, Catlettsburg, KY 41129</t>
  </si>
  <si>
    <t>039-290-042-0-2</t>
  </si>
  <si>
    <t>State Rt. 854, Rush, KY 41168</t>
  </si>
  <si>
    <t>039-320-044-4-7</t>
  </si>
  <si>
    <t>Nebo Rd, Pump St, Louisa, KY 41230</t>
  </si>
  <si>
    <t>039-460-014-2-1</t>
  </si>
  <si>
    <t>039-840-014-9-9</t>
  </si>
  <si>
    <t>Friendship Rd., Catlettsburg, KY 41129</t>
  </si>
  <si>
    <t>M</t>
  </si>
  <si>
    <t>N</t>
  </si>
  <si>
    <t>O</t>
  </si>
  <si>
    <t xml:space="preserve"> </t>
  </si>
  <si>
    <t>RD 2014A</t>
  </si>
  <si>
    <t>RD 2014B</t>
  </si>
  <si>
    <t>RD 2020A</t>
  </si>
  <si>
    <t>RD 2020B</t>
  </si>
  <si>
    <t>KRWFC 2013</t>
  </si>
  <si>
    <t>KRWFC 2020A_Original</t>
  </si>
  <si>
    <t>KRWFC 2020A_Suppl</t>
  </si>
  <si>
    <t>Adjusted
Wage/Salary
After 6/30/22</t>
  </si>
  <si>
    <t>Assistant Office Manager</t>
  </si>
  <si>
    <t>Employees highlighted in orange ceased their employment with District in 2020.</t>
  </si>
  <si>
    <t>Pension
After 6/30/22</t>
  </si>
  <si>
    <t>OnCall Pay ****
2020</t>
  </si>
  <si>
    <t>** Employee began employment in 2020; Hours adjusted to reflect employment for full year.</t>
  </si>
  <si>
    <t>***Employee began employment in 2021.  Hours adjusted to reflect employment for full year.</t>
  </si>
  <si>
    <t>****On Call pay is paid at $100 per week employee is on call</t>
  </si>
  <si>
    <t>* Employee status changed from part-time to full-time employee in Oct. 2020</t>
  </si>
  <si>
    <t>Should match column "T" on Wage-Benefits tab</t>
  </si>
  <si>
    <t>Employee
 No.</t>
  </si>
  <si>
    <t xml:space="preserve">         1*</t>
  </si>
  <si>
    <t xml:space="preserve">         4**</t>
  </si>
  <si>
    <t xml:space="preserve">         5***</t>
  </si>
  <si>
    <t>Total Adjusted
Benefits
After 6/30/2022</t>
  </si>
  <si>
    <t>P</t>
  </si>
  <si>
    <t>Depreciation Schedule</t>
  </si>
  <si>
    <t>Asset #</t>
  </si>
  <si>
    <t>Name/Description</t>
  </si>
  <si>
    <t>Category</t>
  </si>
  <si>
    <t>Method</t>
  </si>
  <si>
    <t>Date in Service</t>
  </si>
  <si>
    <t>Useful Life</t>
  </si>
  <si>
    <t>Previous Depreciation</t>
  </si>
  <si>
    <t>Current Year Depreciation</t>
  </si>
  <si>
    <t>Accumulated Depreciation</t>
  </si>
  <si>
    <t>Book Value</t>
  </si>
  <si>
    <t>Bond Premium</t>
  </si>
  <si>
    <t>Amortization</t>
  </si>
  <si>
    <t>Land &amp; Land Rights</t>
  </si>
  <si>
    <t>Land</t>
  </si>
  <si>
    <t>Straight Line</t>
  </si>
  <si>
    <t>Trans Dist.</t>
  </si>
  <si>
    <t>Transmission &amp; Distri. Mains</t>
  </si>
  <si>
    <t>Meters/Install</t>
  </si>
  <si>
    <t>Meters</t>
  </si>
  <si>
    <t>Office Furniture &amp; Equipment</t>
  </si>
  <si>
    <t>Office Furniture</t>
  </si>
  <si>
    <t>Office Equipment - Computer</t>
  </si>
  <si>
    <t>Tool/Equipment</t>
  </si>
  <si>
    <t>Tools, Shop &amp; Garage</t>
  </si>
  <si>
    <t>Pumping Equipment</t>
  </si>
  <si>
    <t>Other Equipment</t>
  </si>
  <si>
    <t>Other Plant &amp; Misc Equipment</t>
  </si>
  <si>
    <t>n/a</t>
  </si>
  <si>
    <t>Distribution Reserv</t>
  </si>
  <si>
    <t>Distribution Reserv &amp; Standpipes</t>
  </si>
  <si>
    <t>Telemetry Equipment</t>
  </si>
  <si>
    <t>Other Tangible Plant</t>
  </si>
  <si>
    <t>Utility Plant Acquisition Adjustment</t>
  </si>
  <si>
    <t>Utility Plant Acquisition Adj</t>
  </si>
  <si>
    <t>(Adjusted)</t>
  </si>
  <si>
    <t>NARUC
Useful 
Life</t>
  </si>
  <si>
    <t>Reported
2020 Depreciation</t>
  </si>
  <si>
    <t>Adjusted
Depreciation</t>
  </si>
  <si>
    <t xml:space="preserve">Additions:  </t>
  </si>
  <si>
    <t>Transmission &amp; Distribution</t>
  </si>
  <si>
    <t>Reported
2020
Book Value</t>
  </si>
  <si>
    <t>ReportedUseful Life</t>
  </si>
  <si>
    <t>Test period revenue from connection charges ($5,565) and reconnection charges ($4,900) were incorrectly reported in Rents from Other Property and are instead reported in Miscellaneous Service Revenues.</t>
  </si>
  <si>
    <t>Test period revenues were adjusted to remove nonrecurring charges incorrectly included in this revenue category.  These charges are identified in Reference B by an asterisk (*).</t>
  </si>
  <si>
    <t>Test period includes 12 monthly payments of $833.33 (annual payment of $10,000) to Overland Development  for consultation services related to Big Sandy District’s acquisition of the water distribution facilities serving Lockwood Estates.  See Case No. 2015-00351 (Ky. PSC Feb. 10, 2016).  Payments were  made under a Memorandum of Agreement executed at the time of transfer of facilities.  The last payment required under the Memorandum of Agreement occurred in January 2021.  Test period Contractual Services has been reduced $10,000 to reflect the expiration of this Agreement.</t>
  </si>
  <si>
    <t>Includes test period advertising expense of $312.  Test period payment for Assessment for Maintenance of Public Service Commission ($4,967) was removed and is included in Taxes Other than Income.</t>
  </si>
  <si>
    <t>Big Sandy District estimates rate case expense of $15,000 and proposes to amortize this expense over five (5) years.  Amortization expense = $15,000 ÷ 5 years = $3,000 per year.</t>
  </si>
  <si>
    <t>Q</t>
  </si>
  <si>
    <t>Average Usage:</t>
  </si>
  <si>
    <t>Structures &amp; Improvements*</t>
  </si>
  <si>
    <t>Pumping Equipment*</t>
  </si>
  <si>
    <t>Transmission &amp; Distri. Mains*</t>
  </si>
  <si>
    <t>Meters*</t>
  </si>
  <si>
    <t>Test period insurance expense adjusted to reflect increased premiums for general liability and workers compensation.  
General Liability            $ 24,447.02
Workers Comp	                $  8,592.64
Total Adjusted	                $33,059.66
Adjustment = $33,059.66 - $27,505 = $5,554.56</t>
  </si>
  <si>
    <t>Miscellaneous Equipment*</t>
  </si>
  <si>
    <t>Other Tangible Plant*</t>
  </si>
  <si>
    <t xml:space="preserve">*Represents Construction in Progress placed in service post-test period.  Assets assigned for 2020 annual report have been reassigned to reflect proper asset account. Some accounts may include additional assets constructed or acquired in 2021. </t>
  </si>
  <si>
    <t>Test period expense adjusted to reflect inclusion of assessment for the maintenance of Public Service Commission.  Test period assessment of $4,967.38 was adjusted to reflect assessment based upon proforma operating revenues ($0.002 x $2,748,310.93 = $5,496.62).
Adjustment also made to reflected increased employer taxes due to proforma employee wages.   Proforma employer taxes = ($218,717.58 + $18,200) x 0.0765 = $18,111.92 (includes FICA taxes on commissioner salaries.
Adjustment to test-period expense = $18,111.92 - $16,759 = $1,352.92</t>
  </si>
  <si>
    <t xml:space="preserve">Depreciation Expense adjusted to reflect additions to plant in service since 12/31/2020; capitalization of labor expense and materials and supplies expense associated with meter connections; and purchase and installation of 1,100 meters to replace existing meters.  Depreciation Expense further adjusted to reflect the adjustment of asset service lives to the mid-point of service life range set forth in NARUC Publication Depreciation Practices for Small Water Utilities. </t>
  </si>
  <si>
    <t>In January 2021, the Public Service Commission authorized an increase in the rates of Big Sandy District’s electric power supplier -Kentucky Power Company.  See Order of Jan. 13, 2021 in Case No. 2020-00174.  Based upon test period usage, purchased power expense should be increased $7,856 to reflect the increase in electric rates. See Exhibit V.
Purchased power expense is adjusted to remove electric costs related to pumping of unaccounted-for water loss that exceeds 15 percent.  Total purchased power cost, adjusted for the adjustment in Kentucky Power Company’s rates, is $102,082 ($94,226 + $7,856).  Of this amount, $2,491.23 was for electricity to serve Big Sandy District’s offices and was not related to the pumping of water. 
Electric Power Costs for Pumping Water =  $102,082  - $2,491.23 = $99,590.77
Electricity Cost per gallon to Pump Water = $99,590.77 ÷ 413,582,000 gallons = $0.0002408.  
Number of gallons of water disallowed recovery = 121,487,600
Disallowed purchase power costs:  121,487,600 gallons x $0.0002408 = $29,254.28 
Total Adjustment: $7,856 + $(29,254.28) = $(21,398.28)</t>
  </si>
  <si>
    <t>Test period late payment fees of $12,172 were removed from this category.  Late payment fees are reported in Forfeited Discounts.  Test period revenues were adjusted to reflect several nonrecurring charges incorrectly reported to other accounts.  These revenues are:
Connection Fees                                                      $ 5,565
Reconnection Fees                                                 $ 4,900
Reconnection Fees (After Hours)                     $    150
Field Collection Fees*                                           $      75
Meter Test Charge*                                                $      58
Return Check Charge*                                           $ 1,275
Service Call*                                                              $ 1,817
Service Call (After Hours)*                                  $    650
Damage to Lid or Meter*                                      $ 1,778
Total:                                                                             $16,268
*Charges were incorrectly reported in Rents from Water Property.
Test period revenue for reconnection fees was not representative of a normal year of operations.  The PSC prohibited termination of service for non-payment (See PSC Case No. 2020-00085), reducing the number of service terminations and reconnections.  To determine an appropriate and representative level of revenue from reconnection charges, an average of the revenue from reconnection fees assessed in 2017, 2018, and 2019, which are respectively $17,780, $17,540 and $19,905, is used ($55,225 ÷ 3).
Pro Forma Miscellaneous Service Revenues = $16,268 - $4,900 + $18,408 = $29,776
Adjustment = $29,2776 - $12,172 = $17,604</t>
  </si>
  <si>
    <t>Adjustments to test period wages are shown in the Wages-Benefit Tab of the Excel file named RateCalculationsWorkbook.  Test period wages were adjusted to reflect the removal of wages to three employees (Employees No. 2, No. 12, and No. 13) who left the District’s employment during the test period.  Test period wages were also adjusted to reflect the transition of Employee No. 1 from a part-time employee to a full-time employee.  The test period wages of Employee No. 4, who was hired in October 2020, were adjusted to reflect a full work year.  Employee No. 5 was hired in 2021.  Her wages are based upon a full work year.  In May 2021, the District’s Board of Commissioners authorized an increase of $0.50 in the hourly wage of all employees.  See Exhibit S-1  In February 2022, the Board of Commissioners authorized an increase of $1.00 in the hourly wage of all employees to take effect on July 1, 2022. See Exhibit S-2.  The pro forma Salaries and Wages-Employees reflects all of these wage increases.  Note that the positions previously held by Employees No. 12 and No. 13 remain unfilled.
During the test period, wages associated with meter connections were not capitalized.  To correct for this failure, wages associated with meter connections have been removed from Salaries and Wages-Employees.  During the test period 47 regular meter connections were made and six “second meter” connections (a meter connection within eight feet of the original tap).  The District incurred an average labor cost of $257.23 for regular meter connections and $59.19 for “second meter” connections.  Accordingly, $12,444.95 has been removed from Salaries and Wages-Employees. 
($257.23 x 47 connections) + ($59.19 x 6 connections) = $12,444.95</t>
  </si>
  <si>
    <t>In February 2020, the Public Service Commission appointed Lloyd Lowe to commissioner position that Commissioner Larry Shockey held pending the appointment of a successor.  His successor, Commissioner Lloyd Lowe and was paid a lower salary until he completed required water district management training to qualify for the higher salary.  He completed the mandatory training in December 2019 and intends to continue to complete the required number of hours of water district management training going forward.  Test period salary expense has been adjusted to reflect all members of the Board of Commissioners earning the maximum annual salary of $6,000.</t>
  </si>
  <si>
    <t>Adjustments to test period Employee Pension and Benefits are shown in the Wages-Benefit Tab of the Excel file named RateCalculationsWorkbook.  Test period Employee Pension and Benefits has been adjusted to reflect the current employee force, the current cost of health and dental insurance, and the required Kentucky Public Pension Authority employer contribution rate of 26.95 percent.  Adjustment assumes all wage increases have become effective, including wage increase scheduled to take effect on July 1, 2022.  
Big Sandy District requires its employees to contribute 12 percent of the cost of their health insurance coverage.  In its Order of June 20, 2019 in Case No. 2019-00053, the Public Service Commission stated that as long as a utility requires its employees to contribute at least 12 percent of the cost of their health insurance, no adjustment will be made to the utility’s employee health expense to bring the expense in line with the national average employer contribution rate.  Accordingly, no adjustment to Big Sandy District’s employee health insurance expense is necessary to align that expense with the national average employer contribution rate.
Big Sandy District provides dental health insurance coverage to its employees at no cost.  Employee dental insurance expense has been reduced to reflect the Commission’s policy of prohibiting rate recovery of any employer contribution for dental insurance that exceeds 40 percent of the cost of the coverage.  Big Sandy District does not agree with this policy and does not waive its right to contest the reasonableness and lawfulness of this policy in future Commission proceedings.
Test period Employee Pension and Benefits includes dental insurance premiums for Commissioners Thomas, Shockey, and Hardin.  Total cost for this coverage was $1,484.64 ($41.24 per month x 12 months x 3 commissioners).  Proforma Employee Pension and Benefits excludes the cost of dental cover for these persons.
During the test period, employee benefits associated with meter connections were not capitalized.  To correct for this failure, employee benefits associated with meter connections have been removed from Employee Pension and Benefits.  During the test period 47 regular meter connections were made and six “second meter” connections (a meter connection within eight feet of the original tap).  The District incurred an average employee benefit cost of $163.85 for regular meter connections and $33.90 for “second meter” connections.  Accordingly, $12,444.95 has been removed from Employee Pension and Benefits. 
($163.85  x 47 connections) + ($39.90 x 6 connections) = $7,904.35</t>
  </si>
  <si>
    <t xml:space="preserve">807 KAR 5:066 limits recovery of unaccounted-for water loss to 15 percent of total water produced and purchased, excluding water used by a utility in its own operations  Big Sandy District is limited to recovery of the cost of 34,218,300 gallons of water of unaccounted-for water loss.
Total water produced and purchased:                     413,582,000
Minus Other Water Used:                                                  1,046,000
Total:                                                                                      412,536,000
Multiplied Allowed Water Loss Percentage                            .15
Permissible Water Loss                                                     61,880,400
Total Water Loss:                             183,368,000
Minus Permissible Water Loss:    61,880,400
Disallowed Water Loss:                 121,487,600
Average cost of water was for test period was $2.673 per 1,000 gallons ($1,105,518 ÷ 413,582,000 gallons).  The cost of the disallowed water is $324,736.36 (121,487,600 gallons x $2.673/1,000 gallons).  </t>
  </si>
  <si>
    <t>During the test period, materials associated with meter connections were not capitalized.  To correct for this failure, materials associated with meter connections have been removed from Materials and Supplies.  During the test period 47 regular meter connections were made and six “second meter” connections (a meter connection within eight feet of the original tap).  The District incurred an average material cost of $812.62 for regular meter connections and $746.21 for “second meter” connections.  Accordingly, $42,670.40 has been removed from Materials and Supplies. 
($812.62   x 47 connections) + ($746.21x 6 connections) = $42,670.40
Materials and Supplies Expense reduced $54,400 to correct for failure in 2020 Annual Report to capitalize that full cost of meters purchased and installed under the test period.</t>
  </si>
  <si>
    <t>No bad debts were written off during the test period.  Test period expense adjusted to reflect the average of annual bad debt expense for the last five years (2017-2021).
2017                              14,970.00
2018                              18,737.00
2019                              11,294.00
2020                                        0.00
2021                              32,083.15
Total:                          $77,084.15
Average:  $15,416.83</t>
  </si>
  <si>
    <t>Employee Position</t>
  </si>
  <si>
    <t>Hourly Wage</t>
  </si>
  <si>
    <t>Average Hourly Wage</t>
  </si>
  <si>
    <t>Average Overtime Wage</t>
  </si>
  <si>
    <t>Operations:</t>
  </si>
  <si>
    <t>Administration:</t>
  </si>
  <si>
    <t xml:space="preserve">                                       </t>
  </si>
  <si>
    <t>Employee Benefit Costs</t>
  </si>
  <si>
    <t>Benefit</t>
  </si>
  <si>
    <t>% of Wages</t>
  </si>
  <si>
    <t>Workers Comp</t>
  </si>
  <si>
    <t>FICA Taxes</t>
  </si>
  <si>
    <t>Medicare</t>
  </si>
  <si>
    <t>Utility Responsibility</t>
  </si>
  <si>
    <t>Health Insurance*</t>
  </si>
  <si>
    <t>Annual Health Insurance Premium</t>
  </si>
  <si>
    <t xml:space="preserve">Divided By Test Period Reg Hours </t>
  </si>
  <si>
    <t>Health Insurance Cost Per Hr</t>
  </si>
  <si>
    <t>Dental Insurance*</t>
  </si>
  <si>
    <t>Annual Dental Insurance Premium**</t>
  </si>
  <si>
    <t>Life Insurance Cost Per Hr</t>
  </si>
  <si>
    <t>Life Insurance*</t>
  </si>
  <si>
    <t>Annual Life Insurance Premium</t>
  </si>
  <si>
    <t>Benefits Calculations:</t>
  </si>
  <si>
    <t>Operational (17.73 x 36.6%)</t>
  </si>
  <si>
    <t>Administrative ($17.33 x 36.6%)</t>
  </si>
  <si>
    <t>Average Hourly Wage w/ Benefits</t>
  </si>
  <si>
    <t xml:space="preserve">    Operational</t>
  </si>
  <si>
    <t xml:space="preserve">    Administrative</t>
  </si>
  <si>
    <t>* Costs not included in overtime calculation as benefits are provided regardless of whether employee performs overtime work
**Includes only PSC-allowed employer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</si>
</sst>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yyyy"/>
    <numFmt numFmtId="168" formatCode="0.0"/>
    <numFmt numFmtId="169" formatCode="&quot;$&quot;#,##0.00"/>
  </numFmts>
  <fonts count="8"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medium">
        <color indexed="64"/>
      </bottom>
      <diagonal/>
    </border>
  </borders>
  <cellStyleXfs count="8">
    <xf numFmtId="0" fontId="0" fillId="0" borderId="0"/>
    <xf numFmtId="0" fontId="2"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6" fillId="0" borderId="0"/>
    <xf numFmtId="44" fontId="6" fillId="0" borderId="0" applyFont="0" applyFill="0" applyBorder="0" applyAlignment="0" applyProtection="0"/>
  </cellStyleXfs>
  <cellXfs count="196">
    <xf numFmtId="0" fontId="0" fillId="0" borderId="0" xfId="0"/>
    <xf numFmtId="0" fontId="0" fillId="0" borderId="0" xfId="0" applyAlignment="1">
      <alignment horizontal="center"/>
    </xf>
    <xf numFmtId="0" fontId="1" fillId="0" borderId="0" xfId="0" applyFont="1"/>
    <xf numFmtId="0" fontId="0" fillId="0" borderId="0" xfId="0" applyAlignment="1">
      <alignment horizontal="left" indent="2"/>
    </xf>
    <xf numFmtId="0" fontId="0" fillId="0" borderId="0" xfId="0" applyAlignment="1">
      <alignment horizontal="left" indent="5"/>
    </xf>
    <xf numFmtId="0" fontId="0" fillId="0" borderId="0" xfId="0" applyAlignment="1">
      <alignment horizontal="left" indent="4"/>
    </xf>
    <xf numFmtId="0" fontId="1" fillId="0" borderId="0" xfId="0" applyFont="1" applyAlignment="1">
      <alignment horizontal="center" vertical="center"/>
    </xf>
    <xf numFmtId="0" fontId="0" fillId="0" borderId="0" xfId="0" applyAlignment="1">
      <alignment horizontal="center" vertical="center"/>
    </xf>
    <xf numFmtId="1" fontId="0" fillId="0" borderId="0" xfId="0" applyNumberFormat="1"/>
    <xf numFmtId="0" fontId="0" fillId="0" borderId="0" xfId="0"/>
    <xf numFmtId="0" fontId="0" fillId="0" borderId="0" xfId="0" applyAlignment="1">
      <alignment horizontal="left" indent="4"/>
    </xf>
    <xf numFmtId="0" fontId="0" fillId="0" borderId="0" xfId="0" applyAlignment="1">
      <alignment wrapText="1"/>
    </xf>
    <xf numFmtId="1" fontId="0" fillId="0" borderId="0" xfId="0" applyNumberFormat="1" applyAlignment="1">
      <alignment horizontal="center"/>
    </xf>
    <xf numFmtId="1" fontId="1" fillId="0" borderId="0" xfId="0" applyNumberFormat="1" applyFont="1" applyAlignment="1">
      <alignment horizontal="center"/>
    </xf>
    <xf numFmtId="43" fontId="0" fillId="0" borderId="0" xfId="0" applyNumberFormat="1"/>
    <xf numFmtId="0" fontId="0" fillId="0" borderId="0" xfId="0"/>
    <xf numFmtId="0" fontId="5" fillId="0" borderId="0" xfId="0" applyFont="1"/>
    <xf numFmtId="3" fontId="0" fillId="0" borderId="1" xfId="0" applyNumberFormat="1" applyBorder="1"/>
    <xf numFmtId="3" fontId="0" fillId="0" borderId="0" xfId="0" applyNumberFormat="1" applyBorder="1"/>
    <xf numFmtId="0" fontId="0" fillId="0" borderId="0" xfId="0" applyBorder="1"/>
    <xf numFmtId="43" fontId="0" fillId="0" borderId="0" xfId="3" applyFont="1"/>
    <xf numFmtId="0" fontId="0" fillId="0" borderId="0" xfId="0" applyFont="1" applyAlignment="1">
      <alignment wrapText="1"/>
    </xf>
    <xf numFmtId="0" fontId="0" fillId="0" borderId="0" xfId="0" applyAlignment="1">
      <alignment vertical="top"/>
    </xf>
    <xf numFmtId="164" fontId="0" fillId="0" borderId="0" xfId="3" applyNumberFormat="1" applyFont="1"/>
    <xf numFmtId="0" fontId="0" fillId="0" borderId="0" xfId="0" applyAlignment="1">
      <alignment horizontal="center" vertical="center"/>
    </xf>
    <xf numFmtId="0" fontId="4" fillId="0" borderId="0" xfId="0" applyFont="1" applyBorder="1" applyAlignment="1">
      <alignment horizontal="center"/>
    </xf>
    <xf numFmtId="2"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2" fontId="0" fillId="0" borderId="0" xfId="0" applyNumberFormat="1" applyAlignment="1">
      <alignment horizontal="right" vertical="center"/>
    </xf>
    <xf numFmtId="2" fontId="0" fillId="0" borderId="0" xfId="0" applyNumberFormat="1" applyAlignment="1">
      <alignment horizontal="center"/>
    </xf>
    <xf numFmtId="2" fontId="1" fillId="0" borderId="0" xfId="0" applyNumberFormat="1" applyFont="1" applyAlignment="1">
      <alignment horizontal="center"/>
    </xf>
    <xf numFmtId="2" fontId="1" fillId="0" borderId="0" xfId="0" applyNumberFormat="1" applyFo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44" fontId="0" fillId="0" borderId="0" xfId="4" applyFont="1"/>
    <xf numFmtId="44" fontId="0" fillId="0" borderId="0" xfId="4" applyFont="1" applyAlignment="1">
      <alignment horizontal="center" vertical="center"/>
    </xf>
    <xf numFmtId="44" fontId="0" fillId="0" borderId="0" xfId="0" applyNumberFormat="1"/>
    <xf numFmtId="164" fontId="0" fillId="0" borderId="0" xfId="0" applyNumberFormat="1"/>
    <xf numFmtId="164" fontId="1" fillId="0" borderId="0" xfId="0" applyNumberFormat="1" applyFont="1" applyAlignment="1">
      <alignment horizontal="center" vertical="center"/>
    </xf>
    <xf numFmtId="164" fontId="1" fillId="0" borderId="0" xfId="0" applyNumberFormat="1" applyFont="1" applyAlignment="1">
      <alignment horizontal="center"/>
    </xf>
    <xf numFmtId="44" fontId="1" fillId="0" borderId="0" xfId="0" applyNumberFormat="1" applyFont="1" applyAlignment="1">
      <alignment horizontal="center"/>
    </xf>
    <xf numFmtId="44" fontId="1" fillId="0" borderId="0" xfId="0" applyNumberFormat="1" applyFont="1" applyAlignment="1">
      <alignment horizontal="center" vertical="center"/>
    </xf>
    <xf numFmtId="0" fontId="1" fillId="0" borderId="0" xfId="0" applyFont="1" applyAlignment="1"/>
    <xf numFmtId="43" fontId="0" fillId="0" borderId="0" xfId="3" applyFont="1" applyAlignment="1">
      <alignment horizontal="right" vertical="center"/>
    </xf>
    <xf numFmtId="43" fontId="0" fillId="0" borderId="0" xfId="3" applyFont="1" applyAlignment="1">
      <alignment horizontal="right"/>
    </xf>
    <xf numFmtId="43" fontId="0" fillId="0" borderId="0" xfId="3" applyFont="1" applyAlignment="1"/>
    <xf numFmtId="44" fontId="0" fillId="0" borderId="0" xfId="4" applyFont="1" applyFill="1"/>
    <xf numFmtId="0" fontId="0" fillId="0" borderId="0" xfId="0" applyFill="1"/>
    <xf numFmtId="0" fontId="1" fillId="0" borderId="0" xfId="0" applyFont="1" applyFill="1" applyAlignment="1">
      <alignment horizontal="center" vertical="center"/>
    </xf>
    <xf numFmtId="44" fontId="0" fillId="0" borderId="0" xfId="4" applyFont="1" applyFill="1" applyAlignment="1">
      <alignment horizontal="right" vertical="center"/>
    </xf>
    <xf numFmtId="44" fontId="0" fillId="0" borderId="0" xfId="4" applyFont="1" applyFill="1" applyAlignment="1">
      <alignment horizontal="center" vertical="center"/>
    </xf>
    <xf numFmtId="43" fontId="0" fillId="0" borderId="0" xfId="3" applyFont="1" applyFill="1" applyAlignment="1">
      <alignment horizontal="right" vertical="center"/>
    </xf>
    <xf numFmtId="44" fontId="1" fillId="0" borderId="0" xfId="4" applyFont="1"/>
    <xf numFmtId="0" fontId="1" fillId="2" borderId="0" xfId="0" applyFont="1" applyFill="1"/>
    <xf numFmtId="0" fontId="0" fillId="2" borderId="0" xfId="0" applyFill="1"/>
    <xf numFmtId="44" fontId="0" fillId="2" borderId="0" xfId="4" applyNumberFormat="1" applyFont="1" applyFill="1"/>
    <xf numFmtId="43" fontId="0" fillId="0" borderId="2" xfId="3" applyFont="1" applyBorder="1"/>
    <xf numFmtId="0" fontId="1" fillId="0" borderId="0" xfId="0" applyFont="1" applyAlignment="1">
      <alignment horizontal="center"/>
    </xf>
    <xf numFmtId="44" fontId="0" fillId="0" borderId="0" xfId="0" applyNumberFormat="1" applyFill="1"/>
    <xf numFmtId="43" fontId="1" fillId="0" borderId="0" xfId="3" applyFont="1"/>
    <xf numFmtId="43" fontId="1" fillId="0" borderId="0" xfId="3" quotePrefix="1" applyFont="1" applyAlignment="1">
      <alignment horizontal="center"/>
    </xf>
    <xf numFmtId="43" fontId="1" fillId="0" borderId="0" xfId="3" applyFont="1" applyAlignment="1">
      <alignment horizontal="center"/>
    </xf>
    <xf numFmtId="43" fontId="0" fillId="0" borderId="0" xfId="3" applyFont="1" applyFill="1"/>
    <xf numFmtId="43" fontId="1" fillId="0" borderId="3" xfId="3" applyFont="1" applyBorder="1"/>
    <xf numFmtId="0" fontId="1" fillId="0" borderId="3" xfId="0" applyFont="1" applyBorder="1"/>
    <xf numFmtId="43" fontId="1" fillId="0" borderId="3" xfId="0" applyNumberFormat="1" applyFont="1" applyBorder="1"/>
    <xf numFmtId="43" fontId="1" fillId="0" borderId="0" xfId="0" applyNumberFormat="1" applyFont="1"/>
    <xf numFmtId="164" fontId="0" fillId="0" borderId="0" xfId="3" applyNumberFormat="1" applyFont="1" applyBorder="1"/>
    <xf numFmtId="14" fontId="0" fillId="0" borderId="0" xfId="0" applyNumberFormat="1"/>
    <xf numFmtId="165" fontId="0" fillId="0" borderId="0" xfId="4" applyNumberFormat="1" applyFont="1" applyBorder="1"/>
    <xf numFmtId="3" fontId="0" fillId="0" borderId="0" xfId="0" applyNumberFormat="1" applyFill="1" applyBorder="1"/>
    <xf numFmtId="0" fontId="0" fillId="0" borderId="0" xfId="0" applyAlignment="1">
      <alignment horizontal="left" vertical="top"/>
    </xf>
    <xf numFmtId="0" fontId="0" fillId="0" borderId="0" xfId="0" applyFill="1" applyAlignment="1">
      <alignment horizontal="left" indent="4"/>
    </xf>
    <xf numFmtId="0" fontId="0" fillId="0" borderId="0" xfId="0" applyFill="1" applyAlignment="1">
      <alignment horizontal="center" vertical="center"/>
    </xf>
    <xf numFmtId="43" fontId="0" fillId="0" borderId="3" xfId="0" applyNumberFormat="1" applyBorder="1"/>
    <xf numFmtId="43" fontId="0" fillId="0" borderId="0" xfId="3" applyFont="1" applyFill="1" applyAlignment="1">
      <alignment horizontal="right"/>
    </xf>
    <xf numFmtId="43" fontId="0" fillId="0" borderId="0" xfId="3" applyFont="1" applyFill="1" applyAlignment="1">
      <alignment vertical="center"/>
    </xf>
    <xf numFmtId="0" fontId="0" fillId="0" borderId="0" xfId="0" applyFill="1" applyAlignment="1">
      <alignment vertical="center" wrapText="1"/>
    </xf>
    <xf numFmtId="0" fontId="0" fillId="0" borderId="0" xfId="0" applyFill="1" applyAlignment="1">
      <alignment horizontal="left" indent="5"/>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wrapText="1"/>
    </xf>
    <xf numFmtId="0" fontId="1" fillId="0" borderId="0" xfId="0" applyFont="1" applyFill="1"/>
    <xf numFmtId="164" fontId="1" fillId="0" borderId="0" xfId="3" applyNumberFormat="1" applyFont="1" applyFill="1"/>
    <xf numFmtId="43" fontId="1" fillId="0" borderId="0" xfId="3" applyFont="1" applyFill="1"/>
    <xf numFmtId="0" fontId="1" fillId="0" borderId="0" xfId="0" applyFont="1" applyFill="1" applyAlignment="1">
      <alignment horizontal="center"/>
    </xf>
    <xf numFmtId="164" fontId="1" fillId="0" borderId="0" xfId="3" applyNumberFormat="1" applyFont="1" applyFill="1" applyAlignment="1">
      <alignment horizontal="center"/>
    </xf>
    <xf numFmtId="164" fontId="1" fillId="0" borderId="0" xfId="3" quotePrefix="1" applyNumberFormat="1" applyFont="1" applyFill="1" applyAlignment="1">
      <alignment horizontal="center"/>
    </xf>
    <xf numFmtId="43" fontId="1" fillId="0" borderId="0" xfId="3" applyFont="1" applyFill="1" applyAlignment="1">
      <alignment horizontal="center"/>
    </xf>
    <xf numFmtId="164" fontId="0" fillId="0" borderId="0" xfId="3" applyNumberFormat="1" applyFont="1" applyFill="1"/>
    <xf numFmtId="164" fontId="0" fillId="0" borderId="0" xfId="0" applyNumberFormat="1" applyFill="1"/>
    <xf numFmtId="43" fontId="0" fillId="0" borderId="0" xfId="0" applyNumberFormat="1" applyFill="1"/>
    <xf numFmtId="166" fontId="0" fillId="0" borderId="0" xfId="5" applyNumberFormat="1" applyFont="1" applyFill="1"/>
    <xf numFmtId="0" fontId="1" fillId="0" borderId="0" xfId="0" applyFont="1" applyBorder="1" applyAlignment="1">
      <alignment horizontal="center"/>
    </xf>
    <xf numFmtId="0" fontId="0" fillId="0" borderId="0" xfId="0" applyFill="1" applyBorder="1"/>
    <xf numFmtId="0" fontId="0" fillId="3" borderId="0" xfId="0" applyFill="1" applyAlignment="1">
      <alignment horizontal="center" vertical="center"/>
    </xf>
    <xf numFmtId="0" fontId="0" fillId="3" borderId="0" xfId="0" applyFill="1"/>
    <xf numFmtId="14" fontId="0" fillId="3" borderId="0" xfId="0" applyNumberFormat="1" applyFill="1"/>
    <xf numFmtId="2" fontId="0" fillId="3" borderId="0" xfId="0" applyNumberFormat="1" applyFill="1"/>
    <xf numFmtId="44" fontId="0" fillId="3" borderId="0" xfId="4" applyFont="1" applyFill="1"/>
    <xf numFmtId="44" fontId="0" fillId="3" borderId="0" xfId="4" applyFont="1" applyFill="1" applyAlignment="1">
      <alignment horizontal="center" vertical="center"/>
    </xf>
    <xf numFmtId="44" fontId="0" fillId="3" borderId="0" xfId="4" applyFont="1" applyFill="1" applyAlignment="1">
      <alignment horizontal="right" vertical="center"/>
    </xf>
    <xf numFmtId="44" fontId="0" fillId="3" borderId="0" xfId="0" applyNumberFormat="1" applyFill="1"/>
    <xf numFmtId="8" fontId="0" fillId="0" borderId="0" xfId="4" applyNumberFormat="1" applyFont="1" applyAlignment="1">
      <alignment horizontal="right" vertical="center"/>
    </xf>
    <xf numFmtId="44" fontId="0" fillId="0" borderId="0" xfId="4" applyNumberFormat="1" applyFont="1"/>
    <xf numFmtId="44" fontId="0" fillId="3" borderId="0" xfId="4" applyNumberFormat="1" applyFont="1" applyFill="1"/>
    <xf numFmtId="44" fontId="1" fillId="0" borderId="0" xfId="0" applyNumberFormat="1" applyFont="1" applyFill="1"/>
    <xf numFmtId="44" fontId="1" fillId="0" borderId="0" xfId="4" applyFont="1" applyAlignment="1">
      <alignment horizontal="center" vertical="center"/>
    </xf>
    <xf numFmtId="44" fontId="1" fillId="0" borderId="0" xfId="4" applyFont="1" applyFill="1" applyAlignment="1">
      <alignment horizontal="right" vertical="center"/>
    </xf>
    <xf numFmtId="44" fontId="1" fillId="0" borderId="0" xfId="4" applyFont="1" applyFill="1"/>
    <xf numFmtId="44" fontId="1" fillId="0" borderId="0" xfId="0" applyNumberFormat="1" applyFont="1"/>
    <xf numFmtId="0" fontId="0" fillId="0" borderId="0" xfId="0" applyAlignment="1">
      <alignment horizontal="left" vertical="center"/>
    </xf>
    <xf numFmtId="0" fontId="6" fillId="0" borderId="0" xfId="6"/>
    <xf numFmtId="0" fontId="6" fillId="0" borderId="0" xfId="6" applyAlignment="1">
      <alignment horizontal="center"/>
    </xf>
    <xf numFmtId="167" fontId="6" fillId="0" borderId="0" xfId="6" applyNumberFormat="1" applyAlignment="1">
      <alignment horizontal="center"/>
    </xf>
    <xf numFmtId="42" fontId="6" fillId="0" borderId="0" xfId="6" applyNumberFormat="1" applyAlignment="1">
      <alignment horizontal="center"/>
    </xf>
    <xf numFmtId="42" fontId="6" fillId="0" borderId="0" xfId="6" applyNumberFormat="1"/>
    <xf numFmtId="165" fontId="0" fillId="0" borderId="0" xfId="7" applyNumberFormat="1" applyFont="1"/>
    <xf numFmtId="0" fontId="7" fillId="0" borderId="4" xfId="6" applyFont="1" applyBorder="1" applyAlignment="1">
      <alignment horizontal="center" wrapText="1"/>
    </xf>
    <xf numFmtId="0" fontId="7" fillId="0" borderId="4" xfId="6" applyFont="1" applyBorder="1" applyAlignment="1">
      <alignment wrapText="1"/>
    </xf>
    <xf numFmtId="167" fontId="7" fillId="0" borderId="4" xfId="6" applyNumberFormat="1" applyFont="1" applyBorder="1" applyAlignment="1">
      <alignment horizontal="center" wrapText="1"/>
    </xf>
    <xf numFmtId="0" fontId="6" fillId="0" borderId="0" xfId="6" applyFont="1" applyAlignment="1">
      <alignment wrapText="1"/>
    </xf>
    <xf numFmtId="42" fontId="6" fillId="0" borderId="0" xfId="6" applyNumberFormat="1" applyFont="1" applyAlignment="1">
      <alignment wrapText="1"/>
    </xf>
    <xf numFmtId="165" fontId="6" fillId="0" borderId="0" xfId="6" applyNumberFormat="1"/>
    <xf numFmtId="41" fontId="6" fillId="0" borderId="0" xfId="6" applyNumberFormat="1" applyAlignment="1">
      <alignment horizontal="center"/>
    </xf>
    <xf numFmtId="41" fontId="6" fillId="0" borderId="0" xfId="6" applyNumberFormat="1"/>
    <xf numFmtId="168" fontId="6" fillId="0" borderId="0" xfId="6" applyNumberFormat="1" applyAlignment="1">
      <alignment horizontal="center"/>
    </xf>
    <xf numFmtId="0" fontId="7" fillId="0" borderId="0" xfId="6" applyFont="1"/>
    <xf numFmtId="0" fontId="6" fillId="4" borderId="0" xfId="6" applyFill="1"/>
    <xf numFmtId="0" fontId="6" fillId="4" borderId="0" xfId="6" applyFill="1" applyAlignment="1">
      <alignment horizontal="center"/>
    </xf>
    <xf numFmtId="167" fontId="6" fillId="4" borderId="0" xfId="6" applyNumberFormat="1" applyFill="1" applyAlignment="1">
      <alignment horizontal="center"/>
    </xf>
    <xf numFmtId="168" fontId="6" fillId="4" borderId="0" xfId="6" applyNumberFormat="1" applyFill="1" applyAlignment="1">
      <alignment horizontal="center"/>
    </xf>
    <xf numFmtId="41" fontId="6" fillId="4" borderId="0" xfId="6" applyNumberFormat="1" applyFill="1" applyAlignment="1">
      <alignment horizontal="center"/>
    </xf>
    <xf numFmtId="41" fontId="6" fillId="4" borderId="0" xfId="6" applyNumberFormat="1" applyFill="1"/>
    <xf numFmtId="0" fontId="0" fillId="0" borderId="0" xfId="0" applyFill="1" applyAlignment="1">
      <alignment horizontal="justify" wrapText="1"/>
    </xf>
    <xf numFmtId="0" fontId="0" fillId="0" borderId="0" xfId="0" applyAlignment="1">
      <alignment horizontal="justify" vertical="center" wrapText="1" readingOrder="1"/>
    </xf>
    <xf numFmtId="0" fontId="0" fillId="0" borderId="0" xfId="0" applyFill="1" applyAlignment="1">
      <alignment horizontal="justify" vertical="center" wrapText="1"/>
    </xf>
    <xf numFmtId="0" fontId="0" fillId="0" borderId="0" xfId="0" applyAlignment="1">
      <alignment horizontal="justify" wrapText="1"/>
    </xf>
    <xf numFmtId="0" fontId="0" fillId="0" borderId="0" xfId="0" applyAlignment="1">
      <alignment horizontal="justify" vertical="center" wrapText="1"/>
    </xf>
    <xf numFmtId="0" fontId="0" fillId="0" borderId="0" xfId="0" applyAlignment="1">
      <alignment horizontal="justify" vertical="top" wrapText="1"/>
    </xf>
    <xf numFmtId="0" fontId="0" fillId="0" borderId="0" xfId="0" applyAlignment="1">
      <alignment vertical="top" wrapText="1"/>
    </xf>
    <xf numFmtId="43" fontId="0" fillId="0" borderId="0" xfId="3" applyNumberFormat="1" applyFont="1"/>
    <xf numFmtId="43" fontId="0" fillId="2" borderId="0" xfId="3" applyNumberFormat="1" applyFont="1" applyFill="1"/>
    <xf numFmtId="42" fontId="6" fillId="3" borderId="0" xfId="6" applyNumberFormat="1" applyFill="1" applyAlignment="1">
      <alignment horizontal="center"/>
    </xf>
    <xf numFmtId="0" fontId="7" fillId="3" borderId="4" xfId="6" applyFont="1" applyFill="1" applyBorder="1" applyAlignment="1">
      <alignment horizontal="center" wrapText="1"/>
    </xf>
    <xf numFmtId="42" fontId="6" fillId="3" borderId="0" xfId="6" applyNumberFormat="1" applyFill="1"/>
    <xf numFmtId="41" fontId="6" fillId="3" borderId="0" xfId="6" applyNumberFormat="1" applyFill="1"/>
    <xf numFmtId="0" fontId="0" fillId="0" borderId="0" xfId="0" applyFill="1" applyAlignment="1">
      <alignment horizontal="left" vertical="center" wrapText="1"/>
    </xf>
    <xf numFmtId="0" fontId="0" fillId="0" borderId="0" xfId="0" applyAlignment="1">
      <alignment vertical="center" wrapText="1"/>
    </xf>
    <xf numFmtId="0" fontId="0" fillId="5" borderId="0" xfId="0" applyFill="1"/>
    <xf numFmtId="0" fontId="1" fillId="0" borderId="0" xfId="0" applyFont="1" applyAlignment="1">
      <alignment horizontal="center"/>
    </xf>
    <xf numFmtId="0" fontId="0" fillId="0" borderId="0" xfId="0" applyAlignment="1">
      <alignment horizontal="center"/>
    </xf>
    <xf numFmtId="0" fontId="4" fillId="0" borderId="0" xfId="0" applyFont="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wrapText="1"/>
    </xf>
    <xf numFmtId="44" fontId="1" fillId="0" borderId="0" xfId="4" applyFont="1" applyFill="1" applyAlignment="1">
      <alignment horizontal="center" vertical="center" wrapText="1"/>
    </xf>
    <xf numFmtId="44" fontId="1" fillId="0" borderId="0" xfId="4" applyFont="1" applyAlignment="1">
      <alignment horizontal="center" vertical="center" wrapText="1"/>
    </xf>
    <xf numFmtId="0" fontId="1" fillId="0" borderId="0" xfId="0" applyFont="1" applyAlignment="1">
      <alignment horizontal="center" wrapText="1"/>
    </xf>
    <xf numFmtId="0" fontId="6" fillId="0" borderId="0" xfId="6" applyAlignment="1">
      <alignment horizontal="center"/>
    </xf>
    <xf numFmtId="14" fontId="6" fillId="0" borderId="4" xfId="6" applyNumberFormat="1" applyBorder="1" applyAlignment="1">
      <alignment horizontal="center"/>
    </xf>
    <xf numFmtId="0" fontId="6" fillId="0" borderId="0" xfId="6" applyAlignment="1">
      <alignment horizontal="left"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left" vertical="center" wrapText="1"/>
    </xf>
    <xf numFmtId="0" fontId="1" fillId="0" borderId="0" xfId="0" applyFont="1" applyBorder="1" applyAlignment="1">
      <alignment horizontal="left" vertical="center"/>
    </xf>
    <xf numFmtId="169" fontId="0" fillId="0" borderId="0" xfId="0" applyNumberFormat="1" applyBorder="1" applyAlignment="1">
      <alignment horizontal="center" vertical="center"/>
    </xf>
    <xf numFmtId="44" fontId="3" fillId="0" borderId="0" xfId="4"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indent="2"/>
    </xf>
    <xf numFmtId="44" fontId="3" fillId="0" borderId="0" xfId="4" applyFont="1" applyBorder="1" applyAlignment="1">
      <alignment horizontal="center" vertical="center"/>
    </xf>
    <xf numFmtId="0" fontId="1" fillId="0" borderId="0" xfId="0" applyFont="1" applyBorder="1"/>
    <xf numFmtId="44" fontId="0" fillId="0" borderId="0" xfId="0" applyNumberFormat="1" applyBorder="1" applyAlignment="1">
      <alignment horizontal="center" vertical="center"/>
    </xf>
    <xf numFmtId="44" fontId="0" fillId="0" borderId="0" xfId="0" applyNumberFormat="1" applyBorder="1" applyAlignment="1">
      <alignment horizontal="right" vertical="center"/>
    </xf>
    <xf numFmtId="44" fontId="1" fillId="0" borderId="0" xfId="0" applyNumberFormat="1" applyFont="1" applyBorder="1" applyAlignment="1">
      <alignment horizontal="center" vertical="center" wrapText="1"/>
    </xf>
    <xf numFmtId="2" fontId="0" fillId="6" borderId="0" xfId="0" applyNumberForma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xf>
    <xf numFmtId="2" fontId="0" fillId="6" borderId="0" xfId="0" applyNumberFormat="1" applyFill="1" applyBorder="1" applyAlignment="1">
      <alignment horizontal="center" vertical="center"/>
    </xf>
    <xf numFmtId="2" fontId="0" fillId="0" borderId="0" xfId="0" applyNumberFormat="1" applyBorder="1" applyAlignment="1">
      <alignment horizontal="center" vertical="center"/>
    </xf>
    <xf numFmtId="0" fontId="0" fillId="0" borderId="0" xfId="0" applyFont="1" applyBorder="1" applyAlignment="1">
      <alignment horizontal="left" vertical="center"/>
    </xf>
    <xf numFmtId="44" fontId="0" fillId="6" borderId="0" xfId="4" applyNumberFormat="1" applyFont="1" applyFill="1" applyBorder="1" applyAlignment="1">
      <alignment horizontal="right" vertical="center"/>
    </xf>
    <xf numFmtId="43" fontId="0" fillId="6" borderId="0" xfId="3" applyFont="1" applyFill="1" applyBorder="1" applyAlignment="1">
      <alignment horizontal="right" vertical="center"/>
    </xf>
    <xf numFmtId="0" fontId="0" fillId="0" borderId="0" xfId="0" applyBorder="1" applyAlignment="1">
      <alignment vertical="center"/>
    </xf>
    <xf numFmtId="44" fontId="0" fillId="0" borderId="0" xfId="4" applyFont="1" applyBorder="1" applyAlignment="1">
      <alignment horizontal="right" vertical="center"/>
    </xf>
    <xf numFmtId="169" fontId="3" fillId="0" borderId="0" xfId="4" applyNumberFormat="1" applyFont="1" applyBorder="1" applyAlignment="1">
      <alignment horizontal="center" vertical="center"/>
    </xf>
    <xf numFmtId="0" fontId="1" fillId="0" borderId="0" xfId="0" applyFont="1" applyBorder="1" applyAlignment="1">
      <alignment horizontal="left"/>
    </xf>
    <xf numFmtId="169" fontId="0" fillId="0" borderId="0" xfId="0" applyNumberFormat="1" applyBorder="1" applyAlignment="1">
      <alignment horizontal="right" vertical="center"/>
    </xf>
    <xf numFmtId="169" fontId="0" fillId="0" borderId="0" xfId="0" applyNumberFormat="1"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cellXfs>
  <cellStyles count="8">
    <cellStyle name="Comma" xfId="3" builtinId="3"/>
    <cellStyle name="Currency" xfId="4" builtinId="4"/>
    <cellStyle name="Currency 2" xfId="7" xr:uid="{DC119271-382D-4977-BB24-7FFC78496431}"/>
    <cellStyle name="Normal" xfId="0" builtinId="0"/>
    <cellStyle name="Normal 2" xfId="2" xr:uid="{00000000-0005-0000-0000-000003000000}"/>
    <cellStyle name="Normal 3" xfId="1" xr:uid="{00000000-0005-0000-0000-000004000000}"/>
    <cellStyle name="Normal 4" xfId="6" xr:uid="{419064E3-0652-4D52-B258-C854C25BDCEC}"/>
    <cellStyle name="Percent" xfId="5" builtinId="5"/>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thy Smith" id="{EEB56EDC-42F5-4F40-A3E7-A064B85F0B79}" userId="S-1-5-21-992625222-2243507594-3629848489-112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5" dT="2022-01-04T18:05:06.03" personId="{EEB56EDC-42F5-4F40-A3E7-A064B85F0B79}" id="{5036AFAC-6766-4D6C-AF7A-DDF069144050}">
    <text>Forfeited Discounts</text>
  </threadedComment>
  <threadedComment ref="C15" dT="2022-01-04T18:50:38.08" personId="{EEB56EDC-42F5-4F40-A3E7-A064B85F0B79}" id="{3CF2B26E-EAA0-4DA0-AC00-C2C92AD18625}">
    <text>Should have been Forfeited Discounts</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2-01-04T15:03:17.59" personId="{EEB56EDC-42F5-4F40-A3E7-A064B85F0B79}" id="{E547C31F-0D0E-4A27-8FE8-E6C3DCB3F06E}">
    <text>Add per Jerry Weutcher</text>
  </threadedComment>
</ThreadedComments>
</file>

<file path=xl/threadedComments/threadedComment3.xml><?xml version="1.0" encoding="utf-8"?>
<ThreadedComments xmlns="http://schemas.microsoft.com/office/spreadsheetml/2018/threadedcomments" xmlns:x="http://schemas.openxmlformats.org/spreadsheetml/2006/main">
  <threadedComment ref="M29" dT="2022-01-04T15:17:18.03" personId="{EEB56EDC-42F5-4F40-A3E7-A064B85F0B79}" id="{1FE664F4-5155-45A5-92AD-1A7910EDA340}">
    <text>Board has awarded bonuses, see minutes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zoomScale="80" zoomScaleNormal="80" workbookViewId="0">
      <selection activeCell="B22" sqref="B22"/>
    </sheetView>
  </sheetViews>
  <sheetFormatPr defaultRowHeight="15" x14ac:dyDescent="0.25"/>
  <cols>
    <col min="1" max="1" width="46.28515625" customWidth="1"/>
    <col min="2" max="2" width="15.42578125" style="26" customWidth="1"/>
    <col min="3" max="3" width="18.5703125" style="8" customWidth="1"/>
    <col min="4" max="4" width="9.140625" style="7"/>
    <col min="5" max="5" width="16.140625" style="26" customWidth="1"/>
    <col min="6" max="6" width="36.7109375" customWidth="1"/>
  </cols>
  <sheetData>
    <row r="1" spans="1:5" x14ac:dyDescent="0.25">
      <c r="A1" s="152" t="s">
        <v>42</v>
      </c>
      <c r="B1" s="153"/>
      <c r="C1" s="153"/>
      <c r="D1" s="153"/>
      <c r="E1" s="153"/>
    </row>
    <row r="2" spans="1:5" x14ac:dyDescent="0.25">
      <c r="A2" s="153" t="s">
        <v>59</v>
      </c>
      <c r="B2" s="153"/>
      <c r="C2" s="153"/>
      <c r="D2" s="153"/>
      <c r="E2" s="153"/>
    </row>
    <row r="3" spans="1:5" x14ac:dyDescent="0.25">
      <c r="A3" s="1"/>
      <c r="B3" s="30"/>
      <c r="C3" s="12"/>
      <c r="E3" s="30"/>
    </row>
    <row r="4" spans="1:5" x14ac:dyDescent="0.25">
      <c r="B4" s="31" t="s">
        <v>0</v>
      </c>
      <c r="C4" s="13" t="s">
        <v>1</v>
      </c>
      <c r="D4" s="6" t="s">
        <v>2</v>
      </c>
      <c r="E4" s="31" t="s">
        <v>3</v>
      </c>
    </row>
    <row r="5" spans="1:5" x14ac:dyDescent="0.25">
      <c r="A5" s="2" t="s">
        <v>4</v>
      </c>
      <c r="B5" s="29"/>
    </row>
    <row r="6" spans="1:5" x14ac:dyDescent="0.25">
      <c r="A6" s="3" t="s">
        <v>5</v>
      </c>
      <c r="B6" s="29"/>
    </row>
    <row r="7" spans="1:5" x14ac:dyDescent="0.25">
      <c r="A7" s="4" t="s">
        <v>6</v>
      </c>
      <c r="B7" s="29"/>
      <c r="E7" s="20">
        <f>B7+C7</f>
        <v>0</v>
      </c>
    </row>
    <row r="8" spans="1:5" s="49" customFormat="1" x14ac:dyDescent="0.25">
      <c r="A8" s="80" t="s">
        <v>44</v>
      </c>
      <c r="B8" s="53">
        <v>2637371</v>
      </c>
      <c r="C8" s="64"/>
      <c r="D8" s="75"/>
      <c r="E8" s="64">
        <f t="shared" ref="E8:E46" si="0">B8+C8</f>
        <v>2637371</v>
      </c>
    </row>
    <row r="9" spans="1:5" x14ac:dyDescent="0.25">
      <c r="A9" s="4" t="s">
        <v>7</v>
      </c>
      <c r="B9" s="45"/>
      <c r="C9" s="20"/>
      <c r="E9" s="20">
        <f t="shared" si="0"/>
        <v>0</v>
      </c>
    </row>
    <row r="10" spans="1:5" x14ac:dyDescent="0.25">
      <c r="A10" s="4" t="s">
        <v>8</v>
      </c>
      <c r="B10" s="45"/>
      <c r="C10" s="20"/>
      <c r="E10" s="20">
        <f t="shared" si="0"/>
        <v>0</v>
      </c>
    </row>
    <row r="11" spans="1:5" x14ac:dyDescent="0.25">
      <c r="A11" s="4" t="s">
        <v>9</v>
      </c>
      <c r="B11" s="45"/>
      <c r="C11" s="20"/>
      <c r="E11" s="20">
        <f t="shared" si="0"/>
        <v>0</v>
      </c>
    </row>
    <row r="12" spans="1:5" x14ac:dyDescent="0.25">
      <c r="A12" s="3" t="s">
        <v>10</v>
      </c>
      <c r="B12" s="45">
        <f>SUM(B7:B11)</f>
        <v>2637371</v>
      </c>
      <c r="C12" s="20">
        <f>SUM(C8:C11)</f>
        <v>0</v>
      </c>
      <c r="E12" s="20">
        <f t="shared" si="0"/>
        <v>2637371</v>
      </c>
    </row>
    <row r="13" spans="1:5" x14ac:dyDescent="0.25">
      <c r="A13" s="3" t="s">
        <v>11</v>
      </c>
      <c r="B13" s="45"/>
      <c r="C13" s="20"/>
      <c r="E13" s="20"/>
    </row>
    <row r="14" spans="1:5" s="74" customFormat="1" x14ac:dyDescent="0.25">
      <c r="A14" s="74" t="s">
        <v>12</v>
      </c>
      <c r="B14" s="53"/>
      <c r="C14" s="77">
        <f>57653.93</f>
        <v>57653.93</v>
      </c>
      <c r="D14" s="75" t="s">
        <v>43</v>
      </c>
      <c r="E14" s="64">
        <f t="shared" si="0"/>
        <v>57653.93</v>
      </c>
    </row>
    <row r="15" spans="1:5" s="5" customFormat="1" x14ac:dyDescent="0.25">
      <c r="A15" s="5" t="s">
        <v>13</v>
      </c>
      <c r="B15" s="45">
        <v>12172</v>
      </c>
      <c r="C15" s="78">
        <v>17604</v>
      </c>
      <c r="D15" s="7" t="s">
        <v>45</v>
      </c>
      <c r="E15" s="20">
        <f t="shared" si="0"/>
        <v>29776</v>
      </c>
    </row>
    <row r="16" spans="1:5" s="5" customFormat="1" x14ac:dyDescent="0.25">
      <c r="A16" s="5" t="s">
        <v>14</v>
      </c>
      <c r="B16" s="45">
        <v>10465</v>
      </c>
      <c r="C16" s="47">
        <v>-10465</v>
      </c>
      <c r="D16" s="7" t="s">
        <v>55</v>
      </c>
      <c r="E16" s="20">
        <f t="shared" si="0"/>
        <v>0</v>
      </c>
    </row>
    <row r="17" spans="1:5" s="5" customFormat="1" x14ac:dyDescent="0.25">
      <c r="A17" s="5" t="s">
        <v>11</v>
      </c>
      <c r="B17" s="45">
        <v>29322</v>
      </c>
      <c r="C17" s="47">
        <v>-5803</v>
      </c>
      <c r="D17" s="7" t="s">
        <v>56</v>
      </c>
      <c r="E17" s="20">
        <f t="shared" si="0"/>
        <v>23519</v>
      </c>
    </row>
    <row r="18" spans="1:5" x14ac:dyDescent="0.25">
      <c r="A18" s="3" t="s">
        <v>15</v>
      </c>
      <c r="B18" s="45">
        <f>SUM(B14:B17)</f>
        <v>51959</v>
      </c>
      <c r="C18" s="46">
        <f>SUM(C14:C17)</f>
        <v>58989.929999999993</v>
      </c>
      <c r="E18" s="20">
        <f t="shared" si="0"/>
        <v>110948.93</v>
      </c>
    </row>
    <row r="19" spans="1:5" x14ac:dyDescent="0.25">
      <c r="A19" s="3"/>
      <c r="B19" s="45"/>
      <c r="C19" s="20"/>
      <c r="E19" s="20">
        <f t="shared" si="0"/>
        <v>0</v>
      </c>
    </row>
    <row r="20" spans="1:5" x14ac:dyDescent="0.25">
      <c r="A20" s="2" t="s">
        <v>16</v>
      </c>
      <c r="B20" s="45">
        <f>B12+B18</f>
        <v>2689330</v>
      </c>
      <c r="C20" s="45">
        <f>C12+C18</f>
        <v>58989.929999999993</v>
      </c>
      <c r="E20" s="20">
        <f t="shared" si="0"/>
        <v>2748319.93</v>
      </c>
    </row>
    <row r="21" spans="1:5" x14ac:dyDescent="0.25">
      <c r="B21" s="45"/>
      <c r="C21" s="20"/>
      <c r="E21" s="20"/>
    </row>
    <row r="22" spans="1:5" x14ac:dyDescent="0.25">
      <c r="A22" s="2" t="s">
        <v>17</v>
      </c>
      <c r="B22" s="45"/>
      <c r="C22" s="20"/>
      <c r="E22" s="20"/>
    </row>
    <row r="23" spans="1:5" s="19" customFormat="1" x14ac:dyDescent="0.25">
      <c r="A23" s="19" t="s">
        <v>18</v>
      </c>
    </row>
    <row r="24" spans="1:5" s="19" customFormat="1" x14ac:dyDescent="0.25">
      <c r="A24" s="19" t="s">
        <v>19</v>
      </c>
      <c r="B24" s="19">
        <v>431241</v>
      </c>
      <c r="C24" s="19">
        <f>'Wage-Benefits'!AD18-(B24+12444.95)</f>
        <v>6292.0099999999511</v>
      </c>
      <c r="D24" s="19" t="s">
        <v>57</v>
      </c>
      <c r="E24" s="19">
        <f t="shared" si="0"/>
        <v>437533.00999999995</v>
      </c>
    </row>
    <row r="25" spans="1:5" s="19" customFormat="1" x14ac:dyDescent="0.25">
      <c r="A25" s="19" t="s">
        <v>20</v>
      </c>
      <c r="B25" s="19">
        <v>28000</v>
      </c>
      <c r="C25" s="19">
        <v>2000</v>
      </c>
      <c r="D25" s="19" t="s">
        <v>58</v>
      </c>
      <c r="E25" s="19">
        <f t="shared" si="0"/>
        <v>30000</v>
      </c>
    </row>
    <row r="26" spans="1:5" s="19" customFormat="1" x14ac:dyDescent="0.25">
      <c r="A26" s="19" t="s">
        <v>21</v>
      </c>
      <c r="B26" s="19">
        <v>241808</v>
      </c>
      <c r="C26" s="19">
        <f>'Wage-Benefits'!AF18-(B26+7904.35)</f>
        <v>-27794.225779999979</v>
      </c>
      <c r="D26" s="19" t="s">
        <v>54</v>
      </c>
      <c r="E26" s="19">
        <f t="shared" si="0"/>
        <v>214013.77422000002</v>
      </c>
    </row>
    <row r="27" spans="1:5" s="19" customFormat="1" x14ac:dyDescent="0.25">
      <c r="A27" s="19" t="s">
        <v>22</v>
      </c>
      <c r="B27" s="19">
        <v>1105518</v>
      </c>
      <c r="C27" s="19">
        <v>-324736.36</v>
      </c>
      <c r="D27" s="19" t="s">
        <v>53</v>
      </c>
      <c r="E27" s="19">
        <f t="shared" si="0"/>
        <v>780781.64</v>
      </c>
    </row>
    <row r="28" spans="1:5" s="5" customFormat="1" x14ac:dyDescent="0.25">
      <c r="A28" s="5" t="s">
        <v>23</v>
      </c>
      <c r="B28" s="45">
        <v>94226</v>
      </c>
      <c r="C28" s="47">
        <v>-21398.28</v>
      </c>
      <c r="D28" s="7" t="s">
        <v>183</v>
      </c>
      <c r="E28" s="20">
        <f t="shared" si="0"/>
        <v>72827.72</v>
      </c>
    </row>
    <row r="29" spans="1:5" s="5" customFormat="1" x14ac:dyDescent="0.25">
      <c r="A29" s="5" t="s">
        <v>24</v>
      </c>
      <c r="B29" s="45">
        <v>0</v>
      </c>
      <c r="C29" s="47">
        <v>0</v>
      </c>
      <c r="D29" s="7"/>
      <c r="E29" s="20">
        <f t="shared" si="0"/>
        <v>0</v>
      </c>
    </row>
    <row r="30" spans="1:5" s="5" customFormat="1" x14ac:dyDescent="0.25">
      <c r="A30" s="5" t="s">
        <v>25</v>
      </c>
      <c r="B30" s="45">
        <v>0</v>
      </c>
      <c r="C30" s="47">
        <v>0</v>
      </c>
      <c r="D30" s="7"/>
      <c r="E30" s="20">
        <f t="shared" si="0"/>
        <v>0</v>
      </c>
    </row>
    <row r="31" spans="1:5" s="5" customFormat="1" x14ac:dyDescent="0.25">
      <c r="A31" s="5" t="s">
        <v>26</v>
      </c>
      <c r="B31" s="45">
        <v>305855</v>
      </c>
      <c r="C31" s="47">
        <f>-(42670.4+56522)</f>
        <v>-99192.4</v>
      </c>
      <c r="D31" s="7" t="s">
        <v>184</v>
      </c>
      <c r="E31" s="20">
        <f t="shared" si="0"/>
        <v>206662.6</v>
      </c>
    </row>
    <row r="32" spans="1:5" s="5" customFormat="1" x14ac:dyDescent="0.25">
      <c r="A32" s="5" t="s">
        <v>27</v>
      </c>
      <c r="B32" s="45">
        <f>79399+6775+11142+69318</f>
        <v>166634</v>
      </c>
      <c r="C32" s="47">
        <v>-10000</v>
      </c>
      <c r="D32" s="7" t="s">
        <v>185</v>
      </c>
      <c r="E32" s="20">
        <f t="shared" si="0"/>
        <v>156634</v>
      </c>
    </row>
    <row r="33" spans="1:6" s="5" customFormat="1" x14ac:dyDescent="0.25">
      <c r="A33" s="5" t="s">
        <v>28</v>
      </c>
      <c r="B33" s="45">
        <v>14158</v>
      </c>
      <c r="C33" s="47"/>
      <c r="D33" s="7"/>
      <c r="E33" s="20">
        <f t="shared" si="0"/>
        <v>14158</v>
      </c>
    </row>
    <row r="34" spans="1:6" s="5" customFormat="1" x14ac:dyDescent="0.25">
      <c r="A34" s="5" t="s">
        <v>29</v>
      </c>
      <c r="B34" s="45">
        <v>0</v>
      </c>
      <c r="C34" s="47">
        <v>0</v>
      </c>
      <c r="D34" s="7"/>
      <c r="E34" s="20">
        <f t="shared" si="0"/>
        <v>0</v>
      </c>
    </row>
    <row r="35" spans="1:6" s="5" customFormat="1" x14ac:dyDescent="0.25">
      <c r="A35" s="5" t="s">
        <v>30</v>
      </c>
      <c r="B35" s="45">
        <v>36425</v>
      </c>
      <c r="C35" s="47">
        <v>0</v>
      </c>
      <c r="D35" s="7"/>
      <c r="E35" s="20">
        <f t="shared" si="0"/>
        <v>36425</v>
      </c>
    </row>
    <row r="36" spans="1:6" s="5" customFormat="1" x14ac:dyDescent="0.25">
      <c r="A36" s="5" t="s">
        <v>31</v>
      </c>
      <c r="B36" s="45">
        <f>20958+6547</f>
        <v>27505</v>
      </c>
      <c r="C36" s="47">
        <f>33059.66-B36</f>
        <v>5554.6600000000035</v>
      </c>
      <c r="D36" s="7" t="s">
        <v>182</v>
      </c>
      <c r="E36" s="20">
        <f t="shared" si="0"/>
        <v>33059.660000000003</v>
      </c>
    </row>
    <row r="37" spans="1:6" s="5" customFormat="1" x14ac:dyDescent="0.25">
      <c r="A37" s="5" t="s">
        <v>32</v>
      </c>
      <c r="B37" s="45">
        <v>0</v>
      </c>
      <c r="C37" s="47">
        <v>0</v>
      </c>
      <c r="D37" s="7"/>
      <c r="E37" s="20">
        <f t="shared" si="0"/>
        <v>0</v>
      </c>
    </row>
    <row r="38" spans="1:6" s="5" customFormat="1" x14ac:dyDescent="0.25">
      <c r="A38" s="5" t="s">
        <v>33</v>
      </c>
      <c r="B38" s="45">
        <v>0</v>
      </c>
      <c r="C38" s="47">
        <v>15486.43</v>
      </c>
      <c r="D38" s="7" t="s">
        <v>253</v>
      </c>
      <c r="E38" s="20">
        <f>B38+C38</f>
        <v>15486.43</v>
      </c>
      <c r="F38" s="5" t="s">
        <v>256</v>
      </c>
    </row>
    <row r="39" spans="1:6" s="5" customFormat="1" x14ac:dyDescent="0.25">
      <c r="A39" s="5" t="s">
        <v>34</v>
      </c>
      <c r="B39" s="45">
        <f>52132+332</f>
        <v>52464</v>
      </c>
      <c r="C39" s="47">
        <v>-4967</v>
      </c>
      <c r="D39" s="7" t="s">
        <v>254</v>
      </c>
      <c r="E39" s="20">
        <f t="shared" si="0"/>
        <v>47497</v>
      </c>
      <c r="F39" s="22"/>
    </row>
    <row r="40" spans="1:6" x14ac:dyDescent="0.25">
      <c r="A40" s="3" t="s">
        <v>35</v>
      </c>
      <c r="B40" s="45">
        <f>SUM(B24:B39)</f>
        <v>2503834</v>
      </c>
      <c r="C40" s="45">
        <f>SUM(C24:C39)</f>
        <v>-458755.16577999998</v>
      </c>
      <c r="E40" s="20">
        <f t="shared" si="0"/>
        <v>2045078.8342200001</v>
      </c>
    </row>
    <row r="41" spans="1:6" x14ac:dyDescent="0.25">
      <c r="A41" s="3" t="s">
        <v>36</v>
      </c>
      <c r="B41" s="45">
        <v>474524</v>
      </c>
      <c r="C41" s="20">
        <f>'Adj Depreciation Schedule'!L4-B41</f>
        <v>-858.91556666669203</v>
      </c>
      <c r="D41" s="7" t="s">
        <v>255</v>
      </c>
      <c r="E41" s="20">
        <f t="shared" si="0"/>
        <v>473665.08443333331</v>
      </c>
    </row>
    <row r="42" spans="1:6" x14ac:dyDescent="0.25">
      <c r="A42" s="3" t="s">
        <v>37</v>
      </c>
      <c r="B42" s="53">
        <v>497</v>
      </c>
      <c r="C42" s="20">
        <v>3000</v>
      </c>
      <c r="D42" s="7" t="s">
        <v>279</v>
      </c>
      <c r="E42" s="20">
        <f t="shared" si="0"/>
        <v>3497</v>
      </c>
    </row>
    <row r="43" spans="1:6" x14ac:dyDescent="0.25">
      <c r="A43" s="3" t="s">
        <v>38</v>
      </c>
      <c r="B43" s="53">
        <f>32081+10635</f>
        <v>42716</v>
      </c>
      <c r="C43" s="20">
        <f>(E20*0.002)+'Wage-Benefits'!AG18+(E25*0.0765)-B43</f>
        <v>-501.04619999999704</v>
      </c>
      <c r="D43" s="7" t="s">
        <v>328</v>
      </c>
      <c r="E43" s="20">
        <f t="shared" si="0"/>
        <v>42214.953800000003</v>
      </c>
    </row>
    <row r="44" spans="1:6" x14ac:dyDescent="0.25">
      <c r="A44" s="3" t="s">
        <v>39</v>
      </c>
      <c r="B44" s="45"/>
      <c r="C44" s="26"/>
      <c r="E44" s="20">
        <f t="shared" si="0"/>
        <v>0</v>
      </c>
    </row>
    <row r="45" spans="1:6" x14ac:dyDescent="0.25">
      <c r="B45" s="45"/>
      <c r="C45" s="20"/>
      <c r="E45" s="20"/>
    </row>
    <row r="46" spans="1:6" x14ac:dyDescent="0.25">
      <c r="A46" s="2" t="s">
        <v>40</v>
      </c>
      <c r="B46" s="45">
        <f>SUM(B40:B44)</f>
        <v>3021571</v>
      </c>
      <c r="C46" s="45">
        <f>SUM(C40:C44)</f>
        <v>-457115.12754666666</v>
      </c>
      <c r="E46" s="20">
        <f t="shared" si="0"/>
        <v>2564455.8724533333</v>
      </c>
    </row>
    <row r="47" spans="1:6" x14ac:dyDescent="0.25">
      <c r="B47" s="45"/>
      <c r="C47" s="20"/>
      <c r="E47" s="20"/>
    </row>
    <row r="48" spans="1:6" x14ac:dyDescent="0.25">
      <c r="A48" s="2" t="s">
        <v>41</v>
      </c>
      <c r="B48" s="45">
        <f>B20-B46</f>
        <v>-332241</v>
      </c>
      <c r="C48" s="45">
        <f>C20-C46</f>
        <v>516105.05754666665</v>
      </c>
      <c r="E48" s="20">
        <f>E20-E46</f>
        <v>183864.05754666682</v>
      </c>
    </row>
  </sheetData>
  <mergeCells count="2">
    <mergeCell ref="A1:E1"/>
    <mergeCell ref="A2:E2"/>
  </mergeCells>
  <printOptions horizontalCentered="1"/>
  <pageMargins left="0.7" right="0.7" top="0.75" bottom="0.75" header="0.3" footer="0.3"/>
  <pageSetup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3D3C-09E2-43BB-AE12-66E989D05222}">
  <dimension ref="A1:N39"/>
  <sheetViews>
    <sheetView zoomScaleNormal="100" workbookViewId="0">
      <pane xSplit="1" ySplit="5" topLeftCell="B6" activePane="bottomRight" state="frozen"/>
      <selection activeCell="K7" sqref="K7"/>
      <selection pane="topRight" activeCell="K7" sqref="K7"/>
      <selection pane="bottomLeft" activeCell="K7" sqref="K7"/>
      <selection pane="bottomRight" activeCell="K7" sqref="K7"/>
    </sheetView>
  </sheetViews>
  <sheetFormatPr defaultRowHeight="12.75" x14ac:dyDescent="0.2"/>
  <cols>
    <col min="1" max="1" width="8.5703125" style="115" customWidth="1"/>
    <col min="2" max="2" width="32.28515625" style="114" customWidth="1"/>
    <col min="3" max="3" width="28.7109375" style="115" bestFit="1" customWidth="1"/>
    <col min="4" max="4" width="11.42578125" style="115" bestFit="1" customWidth="1"/>
    <col min="5" max="5" width="9.7109375" style="116" customWidth="1"/>
    <col min="6" max="6" width="9.5703125" style="115" bestFit="1" customWidth="1"/>
    <col min="7" max="7" width="13.28515625" style="115" customWidth="1"/>
    <col min="8" max="9" width="12.5703125" style="114" bestFit="1" customWidth="1"/>
    <col min="10" max="10" width="12.85546875" style="114" bestFit="1" customWidth="1"/>
    <col min="11" max="11" width="12" style="114" customWidth="1"/>
    <col min="12" max="12" width="12.28515625" style="114" bestFit="1" customWidth="1"/>
    <col min="13" max="13" width="11.28515625" style="114" bestFit="1" customWidth="1"/>
    <col min="14" max="14" width="14" style="114" bestFit="1" customWidth="1"/>
    <col min="15" max="16384" width="9.140625" style="114"/>
  </cols>
  <sheetData>
    <row r="1" spans="1:14" x14ac:dyDescent="0.2">
      <c r="A1" s="161" t="s">
        <v>149</v>
      </c>
      <c r="B1" s="161"/>
      <c r="C1" s="161"/>
      <c r="D1" s="161"/>
      <c r="E1" s="161"/>
      <c r="F1" s="161"/>
      <c r="G1" s="161"/>
      <c r="H1" s="161"/>
      <c r="I1" s="161"/>
      <c r="J1" s="161"/>
      <c r="K1" s="161"/>
    </row>
    <row r="2" spans="1:14" x14ac:dyDescent="0.2">
      <c r="A2" s="161" t="s">
        <v>280</v>
      </c>
      <c r="B2" s="161"/>
      <c r="C2" s="161"/>
      <c r="D2" s="161"/>
      <c r="E2" s="161"/>
      <c r="F2" s="161"/>
      <c r="G2" s="161"/>
      <c r="H2" s="161"/>
      <c r="I2" s="161"/>
      <c r="J2" s="161"/>
      <c r="K2" s="161"/>
    </row>
    <row r="3" spans="1:14" ht="13.5" thickBot="1" x14ac:dyDescent="0.25">
      <c r="A3" s="162">
        <v>44196</v>
      </c>
      <c r="B3" s="162"/>
      <c r="C3" s="162"/>
      <c r="D3" s="162"/>
      <c r="E3" s="162"/>
      <c r="F3" s="162"/>
      <c r="G3" s="162"/>
      <c r="H3" s="162"/>
      <c r="I3" s="162"/>
      <c r="J3" s="162"/>
      <c r="K3" s="162"/>
    </row>
    <row r="4" spans="1:14" ht="22.5" customHeight="1" x14ac:dyDescent="0.25">
      <c r="F4" s="115" t="s">
        <v>164</v>
      </c>
      <c r="G4" s="117">
        <f>SUM(G6:G98)</f>
        <v>23073369</v>
      </c>
      <c r="H4" s="117">
        <f>SUM(H6:H98)</f>
        <v>9379085</v>
      </c>
      <c r="I4" s="117">
        <f>SUM(I6:I98)</f>
        <v>475021</v>
      </c>
      <c r="J4" s="117">
        <f>SUM(J6:J98)</f>
        <v>9854106</v>
      </c>
      <c r="K4" s="117">
        <f>SUM(K6:K98)</f>
        <v>13219263</v>
      </c>
      <c r="L4" s="117"/>
      <c r="M4" s="118"/>
      <c r="N4" s="119"/>
    </row>
    <row r="5" spans="1:14" s="123" customFormat="1" ht="26.25" thickBot="1" x14ac:dyDescent="0.25">
      <c r="A5" s="120" t="s">
        <v>281</v>
      </c>
      <c r="B5" s="121" t="s">
        <v>282</v>
      </c>
      <c r="C5" s="120" t="s">
        <v>283</v>
      </c>
      <c r="D5" s="120" t="s">
        <v>284</v>
      </c>
      <c r="E5" s="122" t="s">
        <v>285</v>
      </c>
      <c r="F5" s="120" t="s">
        <v>286</v>
      </c>
      <c r="G5" s="120" t="s">
        <v>166</v>
      </c>
      <c r="H5" s="120" t="s">
        <v>287</v>
      </c>
      <c r="I5" s="120" t="s">
        <v>288</v>
      </c>
      <c r="J5" s="120" t="s">
        <v>289</v>
      </c>
      <c r="K5" s="120" t="s">
        <v>290</v>
      </c>
      <c r="M5" s="124"/>
      <c r="N5" s="124"/>
    </row>
    <row r="6" spans="1:14" x14ac:dyDescent="0.2">
      <c r="A6" s="115">
        <v>1</v>
      </c>
      <c r="B6" s="114" t="s">
        <v>291</v>
      </c>
      <c r="D6" s="115" t="s">
        <v>292</v>
      </c>
      <c r="F6" s="115">
        <v>9</v>
      </c>
      <c r="G6" s="117"/>
      <c r="H6" s="118"/>
      <c r="I6" s="118"/>
      <c r="J6" s="118">
        <f>+H6+I6</f>
        <v>0</v>
      </c>
      <c r="K6" s="118">
        <f>+G6-J6</f>
        <v>0</v>
      </c>
      <c r="N6" s="125"/>
    </row>
    <row r="7" spans="1:14" x14ac:dyDescent="0.2">
      <c r="A7" s="115">
        <v>2</v>
      </c>
      <c r="B7" s="114" t="s">
        <v>293</v>
      </c>
      <c r="C7" s="115" t="s">
        <v>293</v>
      </c>
      <c r="D7" s="115" t="s">
        <v>294</v>
      </c>
      <c r="E7" s="116">
        <v>18264</v>
      </c>
      <c r="F7" s="115">
        <v>0</v>
      </c>
      <c r="G7" s="126">
        <v>99529</v>
      </c>
      <c r="H7" s="127">
        <v>0</v>
      </c>
      <c r="I7" s="127">
        <v>0</v>
      </c>
      <c r="J7" s="127">
        <f>+H7+I7</f>
        <v>0</v>
      </c>
      <c r="K7" s="127">
        <f t="shared" ref="K7:K29" si="0">+G7-J7</f>
        <v>99529</v>
      </c>
    </row>
    <row r="8" spans="1:14" x14ac:dyDescent="0.2">
      <c r="A8" s="115">
        <v>3</v>
      </c>
      <c r="B8" s="114" t="s">
        <v>168</v>
      </c>
      <c r="C8" s="115" t="s">
        <v>168</v>
      </c>
      <c r="D8" s="115" t="s">
        <v>295</v>
      </c>
      <c r="E8" s="116">
        <v>38718</v>
      </c>
      <c r="F8" s="115">
        <v>10</v>
      </c>
      <c r="G8" s="126">
        <v>64512</v>
      </c>
      <c r="H8" s="127">
        <v>64512</v>
      </c>
      <c r="I8" s="127">
        <v>0</v>
      </c>
      <c r="J8" s="127">
        <f t="shared" ref="J8:J29" si="1">+H8+I8</f>
        <v>64512</v>
      </c>
      <c r="K8" s="127">
        <f t="shared" si="0"/>
        <v>0</v>
      </c>
    </row>
    <row r="9" spans="1:14" x14ac:dyDescent="0.2">
      <c r="A9" s="115">
        <v>4</v>
      </c>
      <c r="B9" s="114" t="s">
        <v>177</v>
      </c>
      <c r="C9" s="115" t="s">
        <v>168</v>
      </c>
      <c r="D9" s="115" t="s">
        <v>295</v>
      </c>
      <c r="E9" s="116">
        <v>38718</v>
      </c>
      <c r="F9" s="115">
        <v>10</v>
      </c>
      <c r="G9" s="126">
        <v>57018</v>
      </c>
      <c r="H9" s="127">
        <v>57018</v>
      </c>
      <c r="I9" s="127">
        <v>0</v>
      </c>
      <c r="J9" s="127">
        <f t="shared" si="1"/>
        <v>57018</v>
      </c>
      <c r="K9" s="127">
        <f t="shared" si="0"/>
        <v>0</v>
      </c>
    </row>
    <row r="10" spans="1:14" x14ac:dyDescent="0.2">
      <c r="A10" s="115">
        <v>5</v>
      </c>
      <c r="B10" s="114" t="s">
        <v>296</v>
      </c>
      <c r="C10" s="115" t="s">
        <v>297</v>
      </c>
      <c r="D10" s="115" t="s">
        <v>295</v>
      </c>
      <c r="E10" s="116">
        <v>38718</v>
      </c>
      <c r="F10" s="115">
        <v>50</v>
      </c>
      <c r="G10" s="126">
        <v>11311096</v>
      </c>
      <c r="H10" s="127">
        <v>4587633</v>
      </c>
      <c r="I10" s="127">
        <v>226222</v>
      </c>
      <c r="J10" s="127">
        <f t="shared" si="1"/>
        <v>4813855</v>
      </c>
      <c r="K10" s="127">
        <f t="shared" si="0"/>
        <v>6497241</v>
      </c>
    </row>
    <row r="11" spans="1:14" x14ac:dyDescent="0.2">
      <c r="A11" s="115">
        <v>6</v>
      </c>
      <c r="B11" s="114" t="s">
        <v>173</v>
      </c>
      <c r="C11" s="115" t="s">
        <v>173</v>
      </c>
      <c r="D11" s="115" t="s">
        <v>295</v>
      </c>
      <c r="E11" s="116">
        <v>38718</v>
      </c>
      <c r="F11" s="115">
        <v>5</v>
      </c>
      <c r="G11" s="126">
        <v>235288</v>
      </c>
      <c r="H11" s="127">
        <v>119935</v>
      </c>
      <c r="I11" s="127">
        <v>47058</v>
      </c>
      <c r="J11" s="127">
        <f t="shared" si="1"/>
        <v>166993</v>
      </c>
      <c r="K11" s="127">
        <f t="shared" si="0"/>
        <v>68295</v>
      </c>
    </row>
    <row r="12" spans="1:14" x14ac:dyDescent="0.2">
      <c r="A12" s="115">
        <v>7</v>
      </c>
      <c r="B12" s="114" t="s">
        <v>298</v>
      </c>
      <c r="C12" s="115" t="s">
        <v>299</v>
      </c>
      <c r="D12" s="115" t="s">
        <v>295</v>
      </c>
      <c r="E12" s="116">
        <v>38718</v>
      </c>
      <c r="F12" s="115">
        <v>20</v>
      </c>
      <c r="G12" s="126">
        <v>1218844</v>
      </c>
      <c r="H12" s="127">
        <v>1104390</v>
      </c>
      <c r="I12" s="127">
        <v>60943</v>
      </c>
      <c r="J12" s="127">
        <f t="shared" si="1"/>
        <v>1165333</v>
      </c>
      <c r="K12" s="127">
        <f t="shared" si="0"/>
        <v>53511</v>
      </c>
    </row>
    <row r="13" spans="1:14" x14ac:dyDescent="0.2">
      <c r="A13" s="115">
        <v>8</v>
      </c>
      <c r="B13" s="114" t="s">
        <v>170</v>
      </c>
      <c r="C13" s="115" t="s">
        <v>170</v>
      </c>
      <c r="D13" s="115" t="s">
        <v>295</v>
      </c>
      <c r="E13" s="116">
        <v>38718</v>
      </c>
      <c r="F13" s="115">
        <v>30</v>
      </c>
      <c r="G13" s="126">
        <v>227402</v>
      </c>
      <c r="H13" s="127">
        <v>88330</v>
      </c>
      <c r="I13" s="127">
        <v>7580</v>
      </c>
      <c r="J13" s="127">
        <f t="shared" si="1"/>
        <v>95910</v>
      </c>
      <c r="K13" s="127">
        <f t="shared" si="0"/>
        <v>131492</v>
      </c>
    </row>
    <row r="14" spans="1:14" x14ac:dyDescent="0.2">
      <c r="A14" s="115">
        <v>9</v>
      </c>
      <c r="B14" s="114" t="s">
        <v>300</v>
      </c>
      <c r="C14" s="115" t="s">
        <v>301</v>
      </c>
      <c r="D14" s="115" t="s">
        <v>295</v>
      </c>
      <c r="E14" s="116">
        <v>38718</v>
      </c>
      <c r="F14" s="115">
        <v>10</v>
      </c>
      <c r="G14" s="126">
        <v>36079</v>
      </c>
      <c r="H14" s="127">
        <v>36079</v>
      </c>
      <c r="I14" s="127">
        <v>0</v>
      </c>
      <c r="J14" s="127">
        <f t="shared" si="1"/>
        <v>36079</v>
      </c>
      <c r="K14" s="127">
        <f t="shared" si="0"/>
        <v>0</v>
      </c>
    </row>
    <row r="15" spans="1:14" x14ac:dyDescent="0.2">
      <c r="A15" s="115">
        <v>10</v>
      </c>
      <c r="B15" s="114" t="s">
        <v>302</v>
      </c>
      <c r="C15" s="115" t="s">
        <v>301</v>
      </c>
      <c r="D15" s="115" t="s">
        <v>295</v>
      </c>
      <c r="E15" s="116">
        <v>38718</v>
      </c>
      <c r="F15" s="115">
        <v>5</v>
      </c>
      <c r="G15" s="126">
        <v>90687</v>
      </c>
      <c r="H15" s="127">
        <v>90687</v>
      </c>
      <c r="I15" s="127">
        <v>0</v>
      </c>
      <c r="J15" s="127">
        <f t="shared" si="1"/>
        <v>90687</v>
      </c>
      <c r="K15" s="127">
        <f t="shared" si="0"/>
        <v>0</v>
      </c>
    </row>
    <row r="16" spans="1:14" x14ac:dyDescent="0.2">
      <c r="A16" s="115">
        <v>11</v>
      </c>
      <c r="B16" s="114" t="s">
        <v>303</v>
      </c>
      <c r="C16" s="115" t="s">
        <v>304</v>
      </c>
      <c r="D16" s="115" t="s">
        <v>295</v>
      </c>
      <c r="E16" s="116">
        <v>38718</v>
      </c>
      <c r="F16" s="115">
        <v>5</v>
      </c>
      <c r="G16" s="126">
        <v>46120</v>
      </c>
      <c r="H16" s="127">
        <v>46120</v>
      </c>
      <c r="I16" s="127">
        <v>0</v>
      </c>
      <c r="J16" s="127">
        <f t="shared" si="1"/>
        <v>46120</v>
      </c>
      <c r="K16" s="127">
        <f t="shared" si="0"/>
        <v>0</v>
      </c>
    </row>
    <row r="17" spans="1:11" x14ac:dyDescent="0.2">
      <c r="A17" s="115">
        <v>12</v>
      </c>
      <c r="B17" s="114" t="s">
        <v>171</v>
      </c>
      <c r="C17" s="115" t="s">
        <v>171</v>
      </c>
      <c r="D17" s="115" t="s">
        <v>295</v>
      </c>
      <c r="E17" s="116">
        <v>38718</v>
      </c>
      <c r="F17" s="115">
        <v>5</v>
      </c>
      <c r="G17" s="126">
        <v>207409</v>
      </c>
      <c r="H17" s="127">
        <v>207409</v>
      </c>
      <c r="I17" s="127">
        <v>0</v>
      </c>
      <c r="J17" s="127">
        <f t="shared" si="1"/>
        <v>207409</v>
      </c>
      <c r="K17" s="127">
        <f t="shared" si="0"/>
        <v>0</v>
      </c>
    </row>
    <row r="18" spans="1:11" x14ac:dyDescent="0.2">
      <c r="A18" s="115">
        <v>13</v>
      </c>
      <c r="B18" s="114" t="s">
        <v>305</v>
      </c>
      <c r="C18" s="115" t="s">
        <v>305</v>
      </c>
      <c r="D18" s="115" t="s">
        <v>295</v>
      </c>
      <c r="E18" s="116">
        <v>38718</v>
      </c>
      <c r="F18" s="115">
        <v>50</v>
      </c>
      <c r="G18" s="126">
        <v>310808</v>
      </c>
      <c r="H18" s="127">
        <v>158291</v>
      </c>
      <c r="I18" s="127">
        <v>6216</v>
      </c>
      <c r="J18" s="127">
        <f t="shared" si="1"/>
        <v>164507</v>
      </c>
      <c r="K18" s="127">
        <f t="shared" si="0"/>
        <v>146301</v>
      </c>
    </row>
    <row r="19" spans="1:11" x14ac:dyDescent="0.2">
      <c r="A19" s="115">
        <v>14</v>
      </c>
      <c r="B19" s="114" t="s">
        <v>172</v>
      </c>
      <c r="C19" s="115" t="s">
        <v>172</v>
      </c>
      <c r="D19" s="115" t="s">
        <v>295</v>
      </c>
      <c r="E19" s="116">
        <v>38718</v>
      </c>
      <c r="F19" s="115">
        <v>5</v>
      </c>
      <c r="G19" s="126">
        <v>6014</v>
      </c>
      <c r="H19" s="127">
        <v>6014</v>
      </c>
      <c r="I19" s="127">
        <v>0</v>
      </c>
      <c r="J19" s="127">
        <f t="shared" si="1"/>
        <v>6014</v>
      </c>
      <c r="K19" s="127">
        <f t="shared" si="0"/>
        <v>0</v>
      </c>
    </row>
    <row r="20" spans="1:11" x14ac:dyDescent="0.2">
      <c r="A20" s="115">
        <v>15</v>
      </c>
      <c r="B20" s="114" t="s">
        <v>306</v>
      </c>
      <c r="C20" s="115" t="s">
        <v>307</v>
      </c>
      <c r="D20" s="115" t="s">
        <v>295</v>
      </c>
      <c r="E20" s="116">
        <v>38718</v>
      </c>
      <c r="F20" s="115">
        <v>5</v>
      </c>
      <c r="G20" s="126">
        <v>14583</v>
      </c>
      <c r="H20" s="127">
        <v>14583</v>
      </c>
      <c r="I20" s="127">
        <v>0</v>
      </c>
      <c r="J20" s="127">
        <f t="shared" si="1"/>
        <v>14583</v>
      </c>
      <c r="K20" s="127">
        <f t="shared" si="0"/>
        <v>0</v>
      </c>
    </row>
    <row r="21" spans="1:11" x14ac:dyDescent="0.2">
      <c r="A21" s="115">
        <v>16</v>
      </c>
      <c r="B21" s="114" t="s">
        <v>175</v>
      </c>
      <c r="C21" s="115" t="s">
        <v>174</v>
      </c>
      <c r="D21" s="115" t="s">
        <v>308</v>
      </c>
      <c r="E21" s="116" t="s">
        <v>308</v>
      </c>
      <c r="F21" s="115">
        <v>0</v>
      </c>
      <c r="G21" s="126">
        <v>954191</v>
      </c>
      <c r="H21" s="127">
        <v>0</v>
      </c>
      <c r="I21" s="127"/>
      <c r="J21" s="127">
        <f t="shared" si="1"/>
        <v>0</v>
      </c>
      <c r="K21" s="127">
        <f t="shared" si="0"/>
        <v>954191</v>
      </c>
    </row>
    <row r="22" spans="1:11" x14ac:dyDescent="0.2">
      <c r="A22" s="115">
        <v>17</v>
      </c>
      <c r="B22" s="114" t="s">
        <v>176</v>
      </c>
      <c r="C22" s="115" t="s">
        <v>174</v>
      </c>
      <c r="D22" s="115" t="s">
        <v>308</v>
      </c>
      <c r="E22" s="116" t="s">
        <v>308</v>
      </c>
      <c r="F22" s="115">
        <v>0</v>
      </c>
      <c r="G22" s="126">
        <v>667005</v>
      </c>
      <c r="H22" s="127">
        <v>0</v>
      </c>
      <c r="I22" s="127">
        <v>0</v>
      </c>
      <c r="J22" s="127">
        <f t="shared" si="1"/>
        <v>0</v>
      </c>
      <c r="K22" s="127">
        <f t="shared" si="0"/>
        <v>667005</v>
      </c>
    </row>
    <row r="23" spans="1:11" x14ac:dyDescent="0.2">
      <c r="A23" s="115">
        <v>18</v>
      </c>
      <c r="B23" s="114" t="s">
        <v>177</v>
      </c>
      <c r="C23" s="115" t="s">
        <v>174</v>
      </c>
      <c r="D23" s="115" t="s">
        <v>308</v>
      </c>
      <c r="E23" s="116" t="s">
        <v>308</v>
      </c>
      <c r="F23" s="115">
        <v>0</v>
      </c>
      <c r="G23" s="126">
        <v>42050</v>
      </c>
      <c r="H23" s="127">
        <v>0</v>
      </c>
      <c r="I23" s="127">
        <v>0</v>
      </c>
      <c r="J23" s="127">
        <f t="shared" si="1"/>
        <v>0</v>
      </c>
      <c r="K23" s="127">
        <f t="shared" si="0"/>
        <v>42050</v>
      </c>
    </row>
    <row r="24" spans="1:11" x14ac:dyDescent="0.2">
      <c r="A24" s="115">
        <v>19</v>
      </c>
      <c r="B24" s="114" t="s">
        <v>175</v>
      </c>
      <c r="C24" s="115" t="s">
        <v>174</v>
      </c>
      <c r="D24" s="115" t="s">
        <v>308</v>
      </c>
      <c r="E24" s="116" t="s">
        <v>308</v>
      </c>
      <c r="F24" s="115">
        <v>0</v>
      </c>
      <c r="G24" s="126">
        <v>968676</v>
      </c>
      <c r="H24" s="127">
        <v>0</v>
      </c>
      <c r="I24" s="127">
        <v>0</v>
      </c>
      <c r="J24" s="127">
        <f t="shared" si="1"/>
        <v>0</v>
      </c>
      <c r="K24" s="127">
        <f t="shared" si="0"/>
        <v>968676</v>
      </c>
    </row>
    <row r="25" spans="1:11" x14ac:dyDescent="0.2">
      <c r="A25" s="115">
        <v>20</v>
      </c>
      <c r="B25" s="114" t="s">
        <v>309</v>
      </c>
      <c r="C25" s="115" t="s">
        <v>310</v>
      </c>
      <c r="D25" s="115" t="s">
        <v>295</v>
      </c>
      <c r="E25" s="116">
        <v>38718</v>
      </c>
      <c r="F25" s="115">
        <v>50</v>
      </c>
      <c r="G25" s="126">
        <v>1223302</v>
      </c>
      <c r="H25" s="127">
        <v>671683</v>
      </c>
      <c r="I25" s="127">
        <v>24466</v>
      </c>
      <c r="J25" s="127">
        <f t="shared" si="1"/>
        <v>696149</v>
      </c>
      <c r="K25" s="127">
        <f t="shared" si="0"/>
        <v>527153</v>
      </c>
    </row>
    <row r="26" spans="1:11" x14ac:dyDescent="0.2">
      <c r="A26" s="115">
        <v>21</v>
      </c>
      <c r="B26" s="114" t="s">
        <v>169</v>
      </c>
      <c r="C26" s="115" t="s">
        <v>169</v>
      </c>
      <c r="D26" s="115" t="s">
        <v>295</v>
      </c>
      <c r="E26" s="116">
        <v>38718</v>
      </c>
      <c r="F26" s="115">
        <v>50</v>
      </c>
      <c r="G26" s="126">
        <v>5101924</v>
      </c>
      <c r="H26" s="127">
        <v>1959602</v>
      </c>
      <c r="I26" s="127">
        <v>102039</v>
      </c>
      <c r="J26" s="127">
        <f t="shared" si="1"/>
        <v>2061641</v>
      </c>
      <c r="K26" s="127">
        <f t="shared" si="0"/>
        <v>3040283</v>
      </c>
    </row>
    <row r="27" spans="1:11" x14ac:dyDescent="0.2">
      <c r="A27" s="115">
        <v>22</v>
      </c>
      <c r="B27" s="114" t="s">
        <v>311</v>
      </c>
      <c r="C27" s="115" t="s">
        <v>312</v>
      </c>
      <c r="D27" s="115" t="s">
        <v>295</v>
      </c>
      <c r="E27" s="116">
        <v>38718</v>
      </c>
      <c r="F27" s="115">
        <v>20</v>
      </c>
      <c r="G27" s="126">
        <v>154543</v>
      </c>
      <c r="H27" s="127">
        <v>154543</v>
      </c>
      <c r="I27" s="127">
        <v>0</v>
      </c>
      <c r="J27" s="127">
        <f t="shared" si="1"/>
        <v>154543</v>
      </c>
      <c r="K27" s="127">
        <f t="shared" si="0"/>
        <v>0</v>
      </c>
    </row>
    <row r="28" spans="1:11" x14ac:dyDescent="0.2">
      <c r="A28" s="115">
        <v>23</v>
      </c>
      <c r="B28" s="114" t="s">
        <v>313</v>
      </c>
      <c r="C28" s="115" t="s">
        <v>314</v>
      </c>
      <c r="D28" s="115" t="s">
        <v>295</v>
      </c>
      <c r="E28" s="116">
        <v>42005</v>
      </c>
      <c r="F28" s="115">
        <v>50</v>
      </c>
      <c r="G28" s="126">
        <v>24805</v>
      </c>
      <c r="H28" s="127">
        <f>1984-1212</f>
        <v>772</v>
      </c>
      <c r="I28" s="127">
        <v>497</v>
      </c>
      <c r="J28" s="127">
        <f t="shared" si="1"/>
        <v>1269</v>
      </c>
      <c r="K28" s="127">
        <f t="shared" si="0"/>
        <v>23536</v>
      </c>
    </row>
    <row r="29" spans="1:11" x14ac:dyDescent="0.2">
      <c r="A29" s="115">
        <v>24</v>
      </c>
      <c r="B29" s="114" t="s">
        <v>167</v>
      </c>
      <c r="C29" s="115" t="s">
        <v>167</v>
      </c>
      <c r="D29" s="115" t="s">
        <v>295</v>
      </c>
      <c r="E29" s="116">
        <v>38718</v>
      </c>
      <c r="F29" s="115">
        <v>5</v>
      </c>
      <c r="G29" s="126">
        <v>11484</v>
      </c>
      <c r="H29" s="127">
        <v>11484</v>
      </c>
      <c r="I29" s="127">
        <v>0</v>
      </c>
      <c r="J29" s="127">
        <f t="shared" si="1"/>
        <v>11484</v>
      </c>
      <c r="K29" s="127">
        <f t="shared" si="0"/>
        <v>0</v>
      </c>
    </row>
    <row r="30" spans="1:11" x14ac:dyDescent="0.2">
      <c r="A30" s="115">
        <v>25</v>
      </c>
      <c r="G30" s="126"/>
      <c r="H30" s="127"/>
      <c r="I30" s="127"/>
      <c r="J30" s="127"/>
      <c r="K30" s="127"/>
    </row>
    <row r="31" spans="1:11" x14ac:dyDescent="0.2">
      <c r="A31" s="115">
        <v>26</v>
      </c>
      <c r="G31" s="126"/>
      <c r="H31" s="127"/>
      <c r="I31" s="127"/>
      <c r="J31" s="127"/>
      <c r="K31" s="127"/>
    </row>
    <row r="32" spans="1:11" x14ac:dyDescent="0.2">
      <c r="A32" s="115">
        <v>27</v>
      </c>
      <c r="G32" s="126"/>
      <c r="H32" s="127"/>
      <c r="I32" s="127"/>
      <c r="J32" s="127"/>
      <c r="K32" s="127"/>
    </row>
    <row r="33" spans="1:11" x14ac:dyDescent="0.2">
      <c r="A33" s="115">
        <v>28</v>
      </c>
      <c r="G33" s="126"/>
      <c r="H33" s="127"/>
      <c r="I33" s="127"/>
      <c r="J33" s="127"/>
      <c r="K33" s="127"/>
    </row>
    <row r="34" spans="1:11" x14ac:dyDescent="0.2">
      <c r="A34" s="115">
        <v>29</v>
      </c>
      <c r="G34" s="126"/>
      <c r="H34" s="127"/>
      <c r="I34" s="127"/>
      <c r="J34" s="127"/>
      <c r="K34" s="127"/>
    </row>
    <row r="35" spans="1:11" x14ac:dyDescent="0.2">
      <c r="A35" s="115">
        <v>30</v>
      </c>
      <c r="G35" s="126"/>
      <c r="H35" s="127"/>
      <c r="I35" s="127"/>
      <c r="J35" s="127"/>
      <c r="K35" s="127"/>
    </row>
    <row r="36" spans="1:11" x14ac:dyDescent="0.2">
      <c r="G36" s="126"/>
      <c r="H36" s="127"/>
      <c r="I36" s="127"/>
      <c r="J36" s="127"/>
      <c r="K36" s="127"/>
    </row>
    <row r="37" spans="1:11" x14ac:dyDescent="0.2">
      <c r="G37" s="126"/>
      <c r="H37" s="127"/>
      <c r="I37" s="127"/>
      <c r="J37" s="127"/>
      <c r="K37" s="127"/>
    </row>
    <row r="38" spans="1:11" x14ac:dyDescent="0.2">
      <c r="G38" s="126"/>
      <c r="H38" s="127"/>
      <c r="I38" s="127"/>
      <c r="J38" s="127"/>
      <c r="K38" s="127"/>
    </row>
    <row r="39" spans="1:11" x14ac:dyDescent="0.2">
      <c r="G39" s="126"/>
      <c r="H39" s="127"/>
      <c r="I39" s="127"/>
      <c r="J39" s="127"/>
      <c r="K39" s="127"/>
    </row>
  </sheetData>
  <mergeCells count="3">
    <mergeCell ref="A1:K1"/>
    <mergeCell ref="A2:K2"/>
    <mergeCell ref="A3:K3"/>
  </mergeCells>
  <conditionalFormatting sqref="A6:K35">
    <cfRule type="expression" dxfId="1" priority="1">
      <formula>MOD(ROW(),2)=1</formula>
    </cfRule>
  </conditionalFormatting>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D66C-5D0E-4C9E-B0FB-DC57E2756941}">
  <dimension ref="A1:P40"/>
  <sheetViews>
    <sheetView zoomScaleNormal="100" workbookViewId="0">
      <pane xSplit="1" ySplit="5" topLeftCell="B12" activePane="bottomRight" state="frozen"/>
      <selection activeCell="K7" sqref="K7"/>
      <selection pane="topRight" activeCell="K7" sqref="K7"/>
      <selection pane="bottomLeft" activeCell="K7" sqref="K7"/>
      <selection pane="bottomRight" activeCell="B40" sqref="B40:G40"/>
    </sheetView>
  </sheetViews>
  <sheetFormatPr defaultRowHeight="12.75" x14ac:dyDescent="0.2"/>
  <cols>
    <col min="1" max="1" width="8.5703125" style="115" customWidth="1"/>
    <col min="2" max="2" width="32.28515625" style="114" customWidth="1"/>
    <col min="3" max="3" width="28.7109375" style="115" bestFit="1" customWidth="1"/>
    <col min="4" max="4" width="11.42578125" style="115" bestFit="1" customWidth="1"/>
    <col min="5" max="5" width="9.7109375" style="116" customWidth="1"/>
    <col min="6" max="6" width="9.5703125" style="115" bestFit="1" customWidth="1"/>
    <col min="7" max="7" width="9.5703125" style="115" customWidth="1"/>
    <col min="8" max="8" width="13.28515625" style="115" customWidth="1"/>
    <col min="9" max="10" width="12.5703125" style="114" bestFit="1" customWidth="1"/>
    <col min="11" max="11" width="12.85546875" style="114" bestFit="1" customWidth="1"/>
    <col min="12" max="12" width="12.85546875" style="114" customWidth="1"/>
    <col min="13" max="13" width="12" style="114" customWidth="1"/>
    <col min="14" max="14" width="12.28515625" style="114" bestFit="1" customWidth="1"/>
    <col min="15" max="15" width="11.28515625" style="114" bestFit="1" customWidth="1"/>
    <col min="16" max="16" width="14" style="114" bestFit="1" customWidth="1"/>
    <col min="17" max="16384" width="9.140625" style="114"/>
  </cols>
  <sheetData>
    <row r="1" spans="1:16" x14ac:dyDescent="0.2">
      <c r="A1" s="161" t="s">
        <v>149</v>
      </c>
      <c r="B1" s="161"/>
      <c r="C1" s="161"/>
      <c r="D1" s="161"/>
      <c r="E1" s="161"/>
      <c r="F1" s="161"/>
      <c r="G1" s="161"/>
      <c r="H1" s="161"/>
      <c r="I1" s="161"/>
      <c r="J1" s="161"/>
      <c r="K1" s="161"/>
      <c r="L1" s="161"/>
      <c r="M1" s="161"/>
    </row>
    <row r="2" spans="1:16" x14ac:dyDescent="0.2">
      <c r="A2" s="161" t="s">
        <v>280</v>
      </c>
      <c r="B2" s="161"/>
      <c r="C2" s="161"/>
      <c r="D2" s="161"/>
      <c r="E2" s="161"/>
      <c r="F2" s="161"/>
      <c r="G2" s="161"/>
      <c r="H2" s="161"/>
      <c r="I2" s="161"/>
      <c r="J2" s="161"/>
      <c r="K2" s="161"/>
      <c r="L2" s="161"/>
      <c r="M2" s="161"/>
    </row>
    <row r="3" spans="1:16" ht="13.5" thickBot="1" x14ac:dyDescent="0.25">
      <c r="A3" s="162" t="s">
        <v>315</v>
      </c>
      <c r="B3" s="162"/>
      <c r="C3" s="162"/>
      <c r="D3" s="162"/>
      <c r="E3" s="162"/>
      <c r="F3" s="162"/>
      <c r="G3" s="162"/>
      <c r="H3" s="162"/>
      <c r="I3" s="162"/>
      <c r="J3" s="162"/>
      <c r="K3" s="162"/>
      <c r="L3" s="162"/>
      <c r="M3" s="162"/>
    </row>
    <row r="4" spans="1:16" ht="22.5" customHeight="1" x14ac:dyDescent="0.25">
      <c r="G4" s="115" t="s">
        <v>164</v>
      </c>
      <c r="H4" s="117">
        <f>SUM(H6:H96)</f>
        <v>26162169.32</v>
      </c>
      <c r="I4" s="117">
        <f>SUM(I6:I96)</f>
        <v>9379085</v>
      </c>
      <c r="J4" s="145">
        <f>SUM(J6:J96)</f>
        <v>475021</v>
      </c>
      <c r="K4" s="117">
        <f>SUM(K6:K96)</f>
        <v>9854106</v>
      </c>
      <c r="L4" s="145">
        <f>SUM(L6:L38)</f>
        <v>473665.08443333331</v>
      </c>
      <c r="M4" s="117">
        <f>SUM(M6:M96)</f>
        <v>13219263</v>
      </c>
      <c r="N4" s="117"/>
      <c r="O4" s="118"/>
      <c r="P4" s="119"/>
    </row>
    <row r="5" spans="1:16" s="123" customFormat="1" ht="39" thickBot="1" x14ac:dyDescent="0.25">
      <c r="A5" s="120" t="s">
        <v>281</v>
      </c>
      <c r="B5" s="121" t="s">
        <v>282</v>
      </c>
      <c r="C5" s="120" t="s">
        <v>283</v>
      </c>
      <c r="D5" s="120" t="s">
        <v>284</v>
      </c>
      <c r="E5" s="122" t="s">
        <v>285</v>
      </c>
      <c r="F5" s="120" t="s">
        <v>322</v>
      </c>
      <c r="G5" s="120" t="s">
        <v>316</v>
      </c>
      <c r="H5" s="120" t="s">
        <v>166</v>
      </c>
      <c r="I5" s="120" t="s">
        <v>287</v>
      </c>
      <c r="J5" s="120" t="s">
        <v>317</v>
      </c>
      <c r="K5" s="120" t="s">
        <v>289</v>
      </c>
      <c r="L5" s="146" t="s">
        <v>318</v>
      </c>
      <c r="M5" s="120" t="s">
        <v>321</v>
      </c>
      <c r="O5" s="124"/>
      <c r="P5" s="124"/>
    </row>
    <row r="6" spans="1:16" x14ac:dyDescent="0.2">
      <c r="A6" s="115">
        <v>1</v>
      </c>
      <c r="B6" s="114" t="s">
        <v>291</v>
      </c>
      <c r="D6" s="115" t="s">
        <v>292</v>
      </c>
      <c r="F6" s="115">
        <v>9</v>
      </c>
      <c r="H6" s="117"/>
      <c r="I6" s="118"/>
      <c r="J6" s="118"/>
      <c r="K6" s="118">
        <f>+I6+J6</f>
        <v>0</v>
      </c>
      <c r="L6" s="147"/>
      <c r="M6" s="118">
        <f>+H6-K6</f>
        <v>0</v>
      </c>
      <c r="P6" s="125"/>
    </row>
    <row r="7" spans="1:16" x14ac:dyDescent="0.2">
      <c r="A7" s="115">
        <v>2</v>
      </c>
      <c r="B7" s="114" t="s">
        <v>293</v>
      </c>
      <c r="C7" s="115" t="s">
        <v>293</v>
      </c>
      <c r="D7" s="115" t="s">
        <v>294</v>
      </c>
      <c r="E7" s="116">
        <v>18264</v>
      </c>
      <c r="F7" s="115">
        <v>0</v>
      </c>
      <c r="H7" s="126">
        <v>99529</v>
      </c>
      <c r="I7" s="127">
        <v>0</v>
      </c>
      <c r="J7" s="127">
        <v>0</v>
      </c>
      <c r="K7" s="127">
        <f>+I7+J7</f>
        <v>0</v>
      </c>
      <c r="L7" s="148"/>
      <c r="M7" s="127">
        <f t="shared" ref="M7:M29" si="0">+H7-K7</f>
        <v>99529</v>
      </c>
    </row>
    <row r="8" spans="1:16" x14ac:dyDescent="0.2">
      <c r="A8" s="115">
        <v>3</v>
      </c>
      <c r="B8" s="114" t="s">
        <v>168</v>
      </c>
      <c r="C8" s="115" t="s">
        <v>168</v>
      </c>
      <c r="D8" s="115" t="s">
        <v>295</v>
      </c>
      <c r="E8" s="116">
        <v>38718</v>
      </c>
      <c r="F8" s="115">
        <v>10</v>
      </c>
      <c r="G8" s="128">
        <v>37.5</v>
      </c>
      <c r="H8" s="126">
        <v>64512</v>
      </c>
      <c r="I8" s="127">
        <v>64512</v>
      </c>
      <c r="J8" s="127">
        <v>0</v>
      </c>
      <c r="K8" s="127">
        <f t="shared" ref="K8:K29" si="1">+I8+J8</f>
        <v>64512</v>
      </c>
      <c r="L8" s="148"/>
      <c r="M8" s="127">
        <f t="shared" si="0"/>
        <v>0</v>
      </c>
    </row>
    <row r="9" spans="1:16" x14ac:dyDescent="0.2">
      <c r="A9" s="115">
        <v>4</v>
      </c>
      <c r="B9" s="114" t="s">
        <v>177</v>
      </c>
      <c r="C9" s="115" t="s">
        <v>168</v>
      </c>
      <c r="D9" s="115" t="s">
        <v>295</v>
      </c>
      <c r="E9" s="116">
        <v>38718</v>
      </c>
      <c r="F9" s="115">
        <v>10</v>
      </c>
      <c r="G9" s="128">
        <v>37.5</v>
      </c>
      <c r="H9" s="126">
        <v>57018</v>
      </c>
      <c r="I9" s="127">
        <v>57018</v>
      </c>
      <c r="J9" s="127">
        <v>0</v>
      </c>
      <c r="K9" s="127">
        <f t="shared" si="1"/>
        <v>57018</v>
      </c>
      <c r="L9" s="148"/>
      <c r="M9" s="127">
        <f t="shared" si="0"/>
        <v>0</v>
      </c>
    </row>
    <row r="10" spans="1:16" x14ac:dyDescent="0.2">
      <c r="A10" s="115">
        <v>5</v>
      </c>
      <c r="B10" s="114" t="s">
        <v>296</v>
      </c>
      <c r="C10" s="115" t="s">
        <v>297</v>
      </c>
      <c r="D10" s="115" t="s">
        <v>295</v>
      </c>
      <c r="E10" s="116">
        <v>38718</v>
      </c>
      <c r="F10" s="115">
        <v>50</v>
      </c>
      <c r="G10" s="128">
        <v>62.5</v>
      </c>
      <c r="H10" s="126">
        <v>11311096</v>
      </c>
      <c r="I10" s="127">
        <v>4587633</v>
      </c>
      <c r="J10" s="127">
        <v>226222</v>
      </c>
      <c r="K10" s="127">
        <f t="shared" si="1"/>
        <v>4813855</v>
      </c>
      <c r="L10" s="148">
        <f>H10/G10</f>
        <v>180977.53599999999</v>
      </c>
      <c r="M10" s="127">
        <f t="shared" si="0"/>
        <v>6497241</v>
      </c>
    </row>
    <row r="11" spans="1:16" x14ac:dyDescent="0.2">
      <c r="A11" s="115">
        <v>6</v>
      </c>
      <c r="B11" s="114" t="s">
        <v>173</v>
      </c>
      <c r="C11" s="115" t="s">
        <v>173</v>
      </c>
      <c r="D11" s="115" t="s">
        <v>295</v>
      </c>
      <c r="E11" s="116">
        <v>38718</v>
      </c>
      <c r="F11" s="115">
        <v>5</v>
      </c>
      <c r="G11" s="128">
        <v>37.5</v>
      </c>
      <c r="H11" s="126">
        <v>235288</v>
      </c>
      <c r="I11" s="127">
        <v>119935</v>
      </c>
      <c r="J11" s="127">
        <v>47058</v>
      </c>
      <c r="K11" s="127">
        <f t="shared" si="1"/>
        <v>166993</v>
      </c>
      <c r="L11" s="148">
        <f t="shared" ref="L11:L38" si="2">H11/G11</f>
        <v>6274.3466666666664</v>
      </c>
      <c r="M11" s="127">
        <f t="shared" si="0"/>
        <v>68295</v>
      </c>
    </row>
    <row r="12" spans="1:16" x14ac:dyDescent="0.2">
      <c r="A12" s="115">
        <v>7</v>
      </c>
      <c r="B12" s="114" t="s">
        <v>298</v>
      </c>
      <c r="C12" s="115" t="s">
        <v>299</v>
      </c>
      <c r="D12" s="115" t="s">
        <v>295</v>
      </c>
      <c r="E12" s="116">
        <v>38718</v>
      </c>
      <c r="F12" s="115">
        <v>20</v>
      </c>
      <c r="G12" s="128">
        <v>37.5</v>
      </c>
      <c r="H12" s="126">
        <v>1218844</v>
      </c>
      <c r="I12" s="127">
        <v>1104390</v>
      </c>
      <c r="J12" s="127">
        <v>60943</v>
      </c>
      <c r="K12" s="127">
        <f t="shared" si="1"/>
        <v>1165333</v>
      </c>
      <c r="L12" s="148">
        <f t="shared" si="2"/>
        <v>32502.506666666668</v>
      </c>
      <c r="M12" s="127">
        <f t="shared" si="0"/>
        <v>53511</v>
      </c>
    </row>
    <row r="13" spans="1:16" x14ac:dyDescent="0.2">
      <c r="A13" s="115">
        <v>8</v>
      </c>
      <c r="B13" s="114" t="s">
        <v>170</v>
      </c>
      <c r="C13" s="115" t="s">
        <v>170</v>
      </c>
      <c r="D13" s="115" t="s">
        <v>295</v>
      </c>
      <c r="E13" s="116">
        <v>38718</v>
      </c>
      <c r="F13" s="115">
        <v>30</v>
      </c>
      <c r="G13" s="128">
        <v>37.5</v>
      </c>
      <c r="H13" s="126">
        <v>227402</v>
      </c>
      <c r="I13" s="127">
        <v>88330</v>
      </c>
      <c r="J13" s="127">
        <v>7580</v>
      </c>
      <c r="K13" s="127">
        <f t="shared" si="1"/>
        <v>95910</v>
      </c>
      <c r="L13" s="148">
        <f t="shared" si="2"/>
        <v>6064.0533333333333</v>
      </c>
      <c r="M13" s="127">
        <f t="shared" si="0"/>
        <v>131492</v>
      </c>
    </row>
    <row r="14" spans="1:16" x14ac:dyDescent="0.2">
      <c r="A14" s="115">
        <v>9</v>
      </c>
      <c r="B14" s="114" t="s">
        <v>300</v>
      </c>
      <c r="C14" s="115" t="s">
        <v>301</v>
      </c>
      <c r="D14" s="115" t="s">
        <v>295</v>
      </c>
      <c r="E14" s="116">
        <v>38718</v>
      </c>
      <c r="F14" s="115">
        <v>10</v>
      </c>
      <c r="G14" s="128">
        <v>37.5</v>
      </c>
      <c r="H14" s="126">
        <v>36079</v>
      </c>
      <c r="I14" s="127">
        <v>36079</v>
      </c>
      <c r="J14" s="127">
        <v>0</v>
      </c>
      <c r="K14" s="127">
        <f t="shared" si="1"/>
        <v>36079</v>
      </c>
      <c r="L14" s="148"/>
      <c r="M14" s="127">
        <f t="shared" si="0"/>
        <v>0</v>
      </c>
    </row>
    <row r="15" spans="1:16" x14ac:dyDescent="0.2">
      <c r="A15" s="115">
        <v>10</v>
      </c>
      <c r="B15" s="114" t="s">
        <v>302</v>
      </c>
      <c r="C15" s="115" t="s">
        <v>301</v>
      </c>
      <c r="D15" s="115" t="s">
        <v>295</v>
      </c>
      <c r="E15" s="116">
        <v>38718</v>
      </c>
      <c r="F15" s="115">
        <v>5</v>
      </c>
      <c r="G15" s="128">
        <v>37.5</v>
      </c>
      <c r="H15" s="126">
        <v>90687</v>
      </c>
      <c r="I15" s="127">
        <v>90687</v>
      </c>
      <c r="J15" s="127">
        <v>0</v>
      </c>
      <c r="K15" s="127">
        <f t="shared" si="1"/>
        <v>90687</v>
      </c>
      <c r="L15" s="148"/>
      <c r="M15" s="127">
        <f t="shared" si="0"/>
        <v>0</v>
      </c>
    </row>
    <row r="16" spans="1:16" x14ac:dyDescent="0.2">
      <c r="A16" s="115">
        <v>11</v>
      </c>
      <c r="B16" s="114" t="s">
        <v>303</v>
      </c>
      <c r="C16" s="115" t="s">
        <v>304</v>
      </c>
      <c r="D16" s="115" t="s">
        <v>295</v>
      </c>
      <c r="E16" s="116">
        <v>38718</v>
      </c>
      <c r="F16" s="115">
        <v>5</v>
      </c>
      <c r="G16" s="128">
        <v>37.5</v>
      </c>
      <c r="H16" s="126">
        <v>46120</v>
      </c>
      <c r="I16" s="127">
        <v>46120</v>
      </c>
      <c r="J16" s="127">
        <v>0</v>
      </c>
      <c r="K16" s="127">
        <f t="shared" si="1"/>
        <v>46120</v>
      </c>
      <c r="L16" s="148"/>
      <c r="M16" s="127">
        <f t="shared" si="0"/>
        <v>0</v>
      </c>
    </row>
    <row r="17" spans="1:13" x14ac:dyDescent="0.2">
      <c r="A17" s="115">
        <v>12</v>
      </c>
      <c r="B17" s="114" t="s">
        <v>171</v>
      </c>
      <c r="C17" s="115" t="s">
        <v>171</v>
      </c>
      <c r="D17" s="115" t="s">
        <v>295</v>
      </c>
      <c r="E17" s="116">
        <v>38718</v>
      </c>
      <c r="F17" s="115">
        <v>5</v>
      </c>
      <c r="G17" s="128">
        <v>37.5</v>
      </c>
      <c r="H17" s="126">
        <v>207409</v>
      </c>
      <c r="I17" s="127">
        <v>207409</v>
      </c>
      <c r="J17" s="127">
        <v>0</v>
      </c>
      <c r="K17" s="127">
        <f t="shared" si="1"/>
        <v>207409</v>
      </c>
      <c r="L17" s="148"/>
      <c r="M17" s="127">
        <f t="shared" si="0"/>
        <v>0</v>
      </c>
    </row>
    <row r="18" spans="1:13" x14ac:dyDescent="0.2">
      <c r="A18" s="115">
        <v>13</v>
      </c>
      <c r="B18" s="114" t="s">
        <v>305</v>
      </c>
      <c r="C18" s="115" t="s">
        <v>305</v>
      </c>
      <c r="D18" s="115" t="s">
        <v>295</v>
      </c>
      <c r="E18" s="116">
        <v>38718</v>
      </c>
      <c r="F18" s="115">
        <v>50</v>
      </c>
      <c r="G18" s="128">
        <v>37.5</v>
      </c>
      <c r="H18" s="126">
        <v>310808</v>
      </c>
      <c r="I18" s="127">
        <v>158291</v>
      </c>
      <c r="J18" s="127">
        <v>6216</v>
      </c>
      <c r="K18" s="127">
        <f t="shared" si="1"/>
        <v>164507</v>
      </c>
      <c r="L18" s="148">
        <f t="shared" si="2"/>
        <v>8288.2133333333331</v>
      </c>
      <c r="M18" s="127">
        <f t="shared" si="0"/>
        <v>146301</v>
      </c>
    </row>
    <row r="19" spans="1:13" x14ac:dyDescent="0.2">
      <c r="A19" s="115">
        <v>14</v>
      </c>
      <c r="B19" s="114" t="s">
        <v>172</v>
      </c>
      <c r="C19" s="115" t="s">
        <v>172</v>
      </c>
      <c r="D19" s="115" t="s">
        <v>295</v>
      </c>
      <c r="E19" s="116">
        <v>38718</v>
      </c>
      <c r="F19" s="115">
        <v>5</v>
      </c>
      <c r="G19" s="128">
        <v>37.5</v>
      </c>
      <c r="H19" s="126">
        <v>6014</v>
      </c>
      <c r="I19" s="127">
        <v>6014</v>
      </c>
      <c r="J19" s="127">
        <v>0</v>
      </c>
      <c r="K19" s="127">
        <f t="shared" si="1"/>
        <v>6014</v>
      </c>
      <c r="L19" s="148"/>
      <c r="M19" s="127">
        <f t="shared" si="0"/>
        <v>0</v>
      </c>
    </row>
    <row r="20" spans="1:13" x14ac:dyDescent="0.2">
      <c r="A20" s="115">
        <v>15</v>
      </c>
      <c r="B20" s="114" t="s">
        <v>306</v>
      </c>
      <c r="C20" s="115" t="s">
        <v>307</v>
      </c>
      <c r="D20" s="115" t="s">
        <v>295</v>
      </c>
      <c r="E20" s="116">
        <v>38718</v>
      </c>
      <c r="F20" s="115">
        <v>5</v>
      </c>
      <c r="G20" s="128">
        <v>37.5</v>
      </c>
      <c r="H20" s="126">
        <v>14583</v>
      </c>
      <c r="I20" s="127">
        <v>14583</v>
      </c>
      <c r="J20" s="127">
        <v>0</v>
      </c>
      <c r="K20" s="127">
        <f t="shared" si="1"/>
        <v>14583</v>
      </c>
      <c r="L20" s="148"/>
      <c r="M20" s="127">
        <f t="shared" si="0"/>
        <v>0</v>
      </c>
    </row>
    <row r="21" spans="1:13" x14ac:dyDescent="0.2">
      <c r="A21" s="115">
        <v>16</v>
      </c>
      <c r="B21" s="114" t="s">
        <v>175</v>
      </c>
      <c r="C21" s="115" t="s">
        <v>174</v>
      </c>
      <c r="D21" s="115" t="s">
        <v>295</v>
      </c>
      <c r="E21" s="116">
        <v>44197</v>
      </c>
      <c r="F21" s="115" t="s">
        <v>308</v>
      </c>
      <c r="G21" s="128"/>
      <c r="H21" s="126">
        <v>954191</v>
      </c>
      <c r="I21" s="127">
        <v>0</v>
      </c>
      <c r="J21" s="127"/>
      <c r="K21" s="127">
        <f t="shared" si="1"/>
        <v>0</v>
      </c>
      <c r="L21" s="148"/>
      <c r="M21" s="127">
        <f t="shared" si="0"/>
        <v>954191</v>
      </c>
    </row>
    <row r="22" spans="1:13" x14ac:dyDescent="0.2">
      <c r="A22" s="115">
        <v>17</v>
      </c>
      <c r="B22" s="114" t="s">
        <v>176</v>
      </c>
      <c r="C22" s="115" t="s">
        <v>174</v>
      </c>
      <c r="D22" s="115" t="s">
        <v>295</v>
      </c>
      <c r="E22" s="116">
        <v>44198</v>
      </c>
      <c r="F22" s="115" t="s">
        <v>308</v>
      </c>
      <c r="G22" s="128"/>
      <c r="H22" s="126">
        <v>667005</v>
      </c>
      <c r="I22" s="127">
        <v>0</v>
      </c>
      <c r="J22" s="127">
        <v>0</v>
      </c>
      <c r="K22" s="127">
        <f t="shared" si="1"/>
        <v>0</v>
      </c>
      <c r="L22" s="148"/>
      <c r="M22" s="127">
        <f t="shared" si="0"/>
        <v>667005</v>
      </c>
    </row>
    <row r="23" spans="1:13" x14ac:dyDescent="0.2">
      <c r="A23" s="115">
        <v>18</v>
      </c>
      <c r="B23" s="114" t="s">
        <v>177</v>
      </c>
      <c r="C23" s="115" t="s">
        <v>174</v>
      </c>
      <c r="D23" s="115" t="s">
        <v>295</v>
      </c>
      <c r="E23" s="116">
        <v>44199</v>
      </c>
      <c r="F23" s="115" t="s">
        <v>308</v>
      </c>
      <c r="G23" s="128"/>
      <c r="H23" s="126">
        <v>42050</v>
      </c>
      <c r="I23" s="127">
        <v>0</v>
      </c>
      <c r="J23" s="127">
        <v>0</v>
      </c>
      <c r="K23" s="127">
        <f t="shared" si="1"/>
        <v>0</v>
      </c>
      <c r="L23" s="148"/>
      <c r="M23" s="127">
        <f t="shared" si="0"/>
        <v>42050</v>
      </c>
    </row>
    <row r="24" spans="1:13" x14ac:dyDescent="0.2">
      <c r="A24" s="115">
        <v>19</v>
      </c>
      <c r="B24" s="114" t="s">
        <v>175</v>
      </c>
      <c r="C24" s="115" t="s">
        <v>174</v>
      </c>
      <c r="D24" s="115" t="s">
        <v>295</v>
      </c>
      <c r="E24" s="116">
        <v>44200</v>
      </c>
      <c r="F24" s="115" t="s">
        <v>308</v>
      </c>
      <c r="G24" s="128"/>
      <c r="H24" s="126">
        <v>968676</v>
      </c>
      <c r="I24" s="127">
        <v>0</v>
      </c>
      <c r="J24" s="127">
        <v>0</v>
      </c>
      <c r="K24" s="127">
        <f t="shared" si="1"/>
        <v>0</v>
      </c>
      <c r="L24" s="148"/>
      <c r="M24" s="127">
        <f t="shared" si="0"/>
        <v>968676</v>
      </c>
    </row>
    <row r="25" spans="1:13" x14ac:dyDescent="0.2">
      <c r="A25" s="115">
        <v>20</v>
      </c>
      <c r="B25" s="114" t="s">
        <v>309</v>
      </c>
      <c r="C25" s="115" t="s">
        <v>310</v>
      </c>
      <c r="D25" s="115" t="s">
        <v>295</v>
      </c>
      <c r="E25" s="116">
        <v>38718</v>
      </c>
      <c r="F25" s="115">
        <v>50</v>
      </c>
      <c r="G25" s="128">
        <v>37.5</v>
      </c>
      <c r="H25" s="126">
        <v>1223302</v>
      </c>
      <c r="I25" s="127">
        <v>671683</v>
      </c>
      <c r="J25" s="127">
        <v>24466</v>
      </c>
      <c r="K25" s="127">
        <f t="shared" si="1"/>
        <v>696149</v>
      </c>
      <c r="L25" s="148">
        <f t="shared" si="2"/>
        <v>32621.386666666665</v>
      </c>
      <c r="M25" s="127">
        <f t="shared" si="0"/>
        <v>527153</v>
      </c>
    </row>
    <row r="26" spans="1:13" x14ac:dyDescent="0.2">
      <c r="A26" s="115">
        <v>21</v>
      </c>
      <c r="B26" s="114" t="s">
        <v>169</v>
      </c>
      <c r="C26" s="115" t="s">
        <v>169</v>
      </c>
      <c r="D26" s="115" t="s">
        <v>295</v>
      </c>
      <c r="E26" s="116">
        <v>38718</v>
      </c>
      <c r="F26" s="115">
        <v>50</v>
      </c>
      <c r="G26" s="128">
        <v>37.5</v>
      </c>
      <c r="H26" s="126">
        <v>5101924</v>
      </c>
      <c r="I26" s="127">
        <v>1959602</v>
      </c>
      <c r="J26" s="127">
        <v>102039</v>
      </c>
      <c r="K26" s="127">
        <f t="shared" si="1"/>
        <v>2061641</v>
      </c>
      <c r="L26" s="148">
        <f t="shared" si="2"/>
        <v>136051.30666666667</v>
      </c>
      <c r="M26" s="127">
        <f t="shared" si="0"/>
        <v>3040283</v>
      </c>
    </row>
    <row r="27" spans="1:13" x14ac:dyDescent="0.2">
      <c r="A27" s="115">
        <v>22</v>
      </c>
      <c r="B27" s="114" t="s">
        <v>311</v>
      </c>
      <c r="C27" s="115" t="s">
        <v>312</v>
      </c>
      <c r="D27" s="115" t="s">
        <v>295</v>
      </c>
      <c r="E27" s="116">
        <v>38718</v>
      </c>
      <c r="F27" s="115">
        <v>20</v>
      </c>
      <c r="G27" s="128">
        <v>10</v>
      </c>
      <c r="H27" s="126">
        <v>154543</v>
      </c>
      <c r="I27" s="127">
        <v>154543</v>
      </c>
      <c r="J27" s="127">
        <v>0</v>
      </c>
      <c r="K27" s="127">
        <f t="shared" si="1"/>
        <v>154543</v>
      </c>
      <c r="L27" s="148"/>
      <c r="M27" s="127">
        <f t="shared" si="0"/>
        <v>0</v>
      </c>
    </row>
    <row r="28" spans="1:13" x14ac:dyDescent="0.2">
      <c r="A28" s="115">
        <v>23</v>
      </c>
      <c r="B28" s="114" t="s">
        <v>313</v>
      </c>
      <c r="C28" s="115" t="s">
        <v>314</v>
      </c>
      <c r="D28" s="115" t="s">
        <v>295</v>
      </c>
      <c r="E28" s="116">
        <v>42005</v>
      </c>
      <c r="F28" s="115">
        <v>50</v>
      </c>
      <c r="G28" s="128">
        <v>50</v>
      </c>
      <c r="H28" s="126">
        <v>24805</v>
      </c>
      <c r="I28" s="127">
        <f>1984-1212</f>
        <v>772</v>
      </c>
      <c r="J28" s="127">
        <v>497</v>
      </c>
      <c r="K28" s="127">
        <f t="shared" si="1"/>
        <v>1269</v>
      </c>
      <c r="L28" s="148">
        <f t="shared" si="2"/>
        <v>496.1</v>
      </c>
      <c r="M28" s="127">
        <f t="shared" si="0"/>
        <v>23536</v>
      </c>
    </row>
    <row r="29" spans="1:13" x14ac:dyDescent="0.2">
      <c r="A29" s="115">
        <v>24</v>
      </c>
      <c r="B29" s="114" t="s">
        <v>167</v>
      </c>
      <c r="C29" s="115" t="s">
        <v>167</v>
      </c>
      <c r="D29" s="115" t="s">
        <v>295</v>
      </c>
      <c r="E29" s="116">
        <v>38718</v>
      </c>
      <c r="F29" s="115">
        <v>5</v>
      </c>
      <c r="G29" s="128">
        <v>5</v>
      </c>
      <c r="H29" s="126">
        <v>11484</v>
      </c>
      <c r="I29" s="127">
        <v>11484</v>
      </c>
      <c r="J29" s="127">
        <v>0</v>
      </c>
      <c r="K29" s="127">
        <f t="shared" si="1"/>
        <v>11484</v>
      </c>
      <c r="L29" s="148"/>
      <c r="M29" s="127">
        <f t="shared" si="0"/>
        <v>0</v>
      </c>
    </row>
    <row r="30" spans="1:13" x14ac:dyDescent="0.2">
      <c r="A30" s="115">
        <v>25</v>
      </c>
      <c r="G30" s="128"/>
      <c r="H30" s="126"/>
      <c r="I30" s="127"/>
      <c r="J30" s="127"/>
      <c r="K30" s="127"/>
      <c r="L30" s="148"/>
      <c r="M30" s="127"/>
    </row>
    <row r="31" spans="1:13" x14ac:dyDescent="0.2">
      <c r="A31" s="115">
        <v>26</v>
      </c>
      <c r="B31" s="129" t="s">
        <v>319</v>
      </c>
      <c r="H31" s="126"/>
      <c r="I31" s="127"/>
      <c r="J31" s="127"/>
      <c r="K31" s="127"/>
      <c r="L31" s="148"/>
      <c r="M31" s="127"/>
    </row>
    <row r="32" spans="1:13" x14ac:dyDescent="0.2">
      <c r="A32" s="115">
        <v>27</v>
      </c>
      <c r="B32" s="114" t="s">
        <v>169</v>
      </c>
      <c r="C32" s="115" t="s">
        <v>169</v>
      </c>
      <c r="D32" s="115" t="s">
        <v>295</v>
      </c>
      <c r="E32" s="116">
        <v>44196</v>
      </c>
      <c r="G32" s="128">
        <v>37.5</v>
      </c>
      <c r="H32" s="126">
        <v>63020</v>
      </c>
      <c r="I32" s="127"/>
      <c r="J32" s="127"/>
      <c r="K32" s="127"/>
      <c r="L32" s="148">
        <f t="shared" si="2"/>
        <v>1680.5333333333333</v>
      </c>
      <c r="M32" s="127"/>
    </row>
    <row r="33" spans="1:13" x14ac:dyDescent="0.2">
      <c r="A33" s="115">
        <v>28</v>
      </c>
      <c r="B33" s="114" t="s">
        <v>177</v>
      </c>
      <c r="C33" s="115" t="s">
        <v>330</v>
      </c>
      <c r="D33" s="115" t="s">
        <v>295</v>
      </c>
      <c r="E33" s="116">
        <v>44561</v>
      </c>
      <c r="G33" s="128">
        <v>37.5</v>
      </c>
      <c r="H33" s="126">
        <v>573082.68000000005</v>
      </c>
      <c r="I33" s="127"/>
      <c r="J33" s="127"/>
      <c r="K33" s="127"/>
      <c r="L33" s="148">
        <f t="shared" si="2"/>
        <v>15282.204800000001</v>
      </c>
      <c r="M33" s="127"/>
    </row>
    <row r="34" spans="1:13" x14ac:dyDescent="0.2">
      <c r="A34" s="115">
        <v>29</v>
      </c>
      <c r="B34" s="114" t="s">
        <v>305</v>
      </c>
      <c r="C34" s="115" t="s">
        <v>331</v>
      </c>
      <c r="D34" s="115" t="s">
        <v>295</v>
      </c>
      <c r="E34" s="116">
        <v>44561</v>
      </c>
      <c r="G34" s="128">
        <v>37.5</v>
      </c>
      <c r="H34" s="126">
        <v>12120.19</v>
      </c>
      <c r="I34" s="127"/>
      <c r="J34" s="127"/>
      <c r="K34" s="127"/>
      <c r="L34" s="148">
        <f t="shared" si="2"/>
        <v>323.20506666666665</v>
      </c>
      <c r="M34" s="127"/>
    </row>
    <row r="35" spans="1:13" x14ac:dyDescent="0.2">
      <c r="A35" s="115">
        <v>30</v>
      </c>
      <c r="B35" s="114" t="s">
        <v>320</v>
      </c>
      <c r="C35" s="115" t="s">
        <v>332</v>
      </c>
      <c r="D35" s="115" t="s">
        <v>295</v>
      </c>
      <c r="E35" s="116">
        <v>44561</v>
      </c>
      <c r="G35" s="128">
        <v>62.5</v>
      </c>
      <c r="H35" s="126">
        <f>2131400.9</f>
        <v>2131400.9</v>
      </c>
      <c r="I35" s="127"/>
      <c r="J35" s="127"/>
      <c r="K35" s="127"/>
      <c r="L35" s="148">
        <f t="shared" si="2"/>
        <v>34102.414400000001</v>
      </c>
      <c r="M35" s="127"/>
    </row>
    <row r="36" spans="1:13" x14ac:dyDescent="0.2">
      <c r="A36" s="115">
        <v>31</v>
      </c>
      <c r="B36" s="130" t="s">
        <v>298</v>
      </c>
      <c r="C36" s="131" t="s">
        <v>333</v>
      </c>
      <c r="D36" s="131" t="s">
        <v>295</v>
      </c>
      <c r="E36" s="132">
        <v>44561</v>
      </c>
      <c r="F36" s="131"/>
      <c r="G36" s="133">
        <v>20</v>
      </c>
      <c r="H36" s="134">
        <f>36605.55+216122</f>
        <v>252727.55</v>
      </c>
      <c r="I36" s="135"/>
      <c r="J36" s="135"/>
      <c r="K36" s="135"/>
      <c r="L36" s="148">
        <f t="shared" si="2"/>
        <v>12636.377499999999</v>
      </c>
      <c r="M36" s="135"/>
    </row>
    <row r="37" spans="1:13" x14ac:dyDescent="0.2">
      <c r="A37" s="115">
        <v>32</v>
      </c>
      <c r="B37" s="114" t="s">
        <v>167</v>
      </c>
      <c r="C37" s="115" t="s">
        <v>335</v>
      </c>
      <c r="D37" s="115" t="s">
        <v>295</v>
      </c>
      <c r="E37" s="116">
        <v>44561</v>
      </c>
      <c r="G37" s="128">
        <v>5</v>
      </c>
      <c r="H37" s="126">
        <v>7200</v>
      </c>
      <c r="I37" s="127"/>
      <c r="J37" s="127"/>
      <c r="K37" s="127"/>
      <c r="L37" s="148">
        <f t="shared" si="2"/>
        <v>1440</v>
      </c>
      <c r="M37" s="127"/>
    </row>
    <row r="38" spans="1:13" x14ac:dyDescent="0.2">
      <c r="A38" s="115">
        <v>33</v>
      </c>
      <c r="B38" s="114" t="s">
        <v>311</v>
      </c>
      <c r="C38" s="131" t="s">
        <v>336</v>
      </c>
      <c r="D38" s="131" t="s">
        <v>295</v>
      </c>
      <c r="E38" s="132">
        <v>44561</v>
      </c>
      <c r="F38" s="131"/>
      <c r="G38" s="133">
        <v>10</v>
      </c>
      <c r="H38" s="134">
        <v>49249</v>
      </c>
      <c r="I38" s="135"/>
      <c r="J38" s="135"/>
      <c r="K38" s="135"/>
      <c r="L38" s="148">
        <f t="shared" si="2"/>
        <v>4924.8999999999996</v>
      </c>
      <c r="M38" s="135"/>
    </row>
    <row r="39" spans="1:13" x14ac:dyDescent="0.2">
      <c r="H39" s="126"/>
      <c r="I39" s="127"/>
      <c r="J39" s="127"/>
      <c r="K39" s="127"/>
      <c r="L39" s="127"/>
      <c r="M39" s="127"/>
    </row>
    <row r="40" spans="1:13" ht="36.75" customHeight="1" x14ac:dyDescent="0.2">
      <c r="B40" s="163" t="s">
        <v>337</v>
      </c>
      <c r="C40" s="163"/>
      <c r="D40" s="163"/>
      <c r="E40" s="163"/>
      <c r="F40" s="163"/>
      <c r="G40" s="163"/>
      <c r="H40" s="114"/>
    </row>
  </sheetData>
  <mergeCells count="4">
    <mergeCell ref="A1:M1"/>
    <mergeCell ref="A2:M2"/>
    <mergeCell ref="A3:M3"/>
    <mergeCell ref="B40:G40"/>
  </mergeCells>
  <conditionalFormatting sqref="B33:K35 M33:M35 L33:L38 B36:B38 A6:M29 A30:A38 B30:M32">
    <cfRule type="expression" dxfId="0" priority="1">
      <formula>MOD(ROW(),2)=1</formula>
    </cfRule>
  </conditionalFormatting>
  <pageMargins left="0.7" right="0.7" top="0.75" bottom="0.75" header="0.3" footer="0.3"/>
  <pageSetup paperSize="5"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7E9F-4E78-4769-8D72-0F2F003942C9}">
  <dimension ref="A1:H48"/>
  <sheetViews>
    <sheetView tabSelected="1" topLeftCell="A35" workbookViewId="0">
      <selection activeCell="A48" sqref="A48:D48"/>
    </sheetView>
  </sheetViews>
  <sheetFormatPr defaultRowHeight="15" x14ac:dyDescent="0.25"/>
  <cols>
    <col min="1" max="1" width="33.140625" style="15" customWidth="1"/>
    <col min="2" max="2" width="13.5703125" style="15" customWidth="1"/>
    <col min="3" max="5" width="9.140625" style="15"/>
    <col min="6" max="6" width="12.5703125" style="15" bestFit="1" customWidth="1"/>
    <col min="7" max="7" width="11.5703125" style="15" bestFit="1" customWidth="1"/>
    <col min="8" max="8" width="10" style="15" bestFit="1" customWidth="1"/>
    <col min="9" max="9" width="10.5703125" style="15" bestFit="1" customWidth="1"/>
    <col min="10" max="16384" width="9.140625" style="15"/>
  </cols>
  <sheetData>
    <row r="1" spans="1:8" ht="45" x14ac:dyDescent="0.25">
      <c r="A1" s="164" t="s">
        <v>348</v>
      </c>
      <c r="B1" s="165" t="s">
        <v>349</v>
      </c>
      <c r="C1" s="165" t="s">
        <v>350</v>
      </c>
      <c r="D1" s="165" t="s">
        <v>351</v>
      </c>
    </row>
    <row r="2" spans="1:8" x14ac:dyDescent="0.25">
      <c r="A2" s="166"/>
      <c r="B2" s="167"/>
      <c r="C2" s="166"/>
      <c r="D2" s="166"/>
    </row>
    <row r="3" spans="1:8" x14ac:dyDescent="0.25">
      <c r="A3" s="164" t="s">
        <v>352</v>
      </c>
      <c r="B3" s="167"/>
      <c r="C3" s="166"/>
      <c r="D3" s="166"/>
      <c r="F3" s="38"/>
      <c r="G3" s="38"/>
      <c r="H3" s="38"/>
    </row>
    <row r="4" spans="1:8" x14ac:dyDescent="0.25">
      <c r="A4" s="168" t="s">
        <v>146</v>
      </c>
      <c r="B4" s="167">
        <v>22.41</v>
      </c>
      <c r="C4" s="166"/>
      <c r="D4" s="166"/>
    </row>
    <row r="5" spans="1:8" x14ac:dyDescent="0.25">
      <c r="A5" s="168" t="s">
        <v>147</v>
      </c>
      <c r="B5" s="167">
        <v>17.5</v>
      </c>
      <c r="C5" s="166"/>
      <c r="D5" s="166"/>
    </row>
    <row r="6" spans="1:8" x14ac:dyDescent="0.25">
      <c r="A6" s="168" t="s">
        <v>147</v>
      </c>
      <c r="B6" s="167">
        <v>17.5</v>
      </c>
      <c r="C6" s="166"/>
      <c r="D6" s="166"/>
    </row>
    <row r="7" spans="1:8" x14ac:dyDescent="0.25">
      <c r="A7" s="168" t="s">
        <v>147</v>
      </c>
      <c r="B7" s="167">
        <v>13.5</v>
      </c>
      <c r="C7" s="166"/>
      <c r="D7" s="166"/>
    </row>
    <row r="8" spans="1:8" x14ac:dyDescent="0.25">
      <c r="A8" s="169" t="s">
        <v>62</v>
      </c>
      <c r="B8" s="170">
        <f>SUM(B4:B7)</f>
        <v>70.91</v>
      </c>
      <c r="C8" s="171">
        <f>B8/4</f>
        <v>17.727499999999999</v>
      </c>
      <c r="D8" s="171">
        <f>C8*1.5</f>
        <v>26.591249999999999</v>
      </c>
    </row>
    <row r="9" spans="1:8" x14ac:dyDescent="0.25">
      <c r="A9" s="172"/>
      <c r="B9" s="170"/>
      <c r="C9" s="173"/>
      <c r="D9" s="173"/>
    </row>
    <row r="10" spans="1:8" x14ac:dyDescent="0.25">
      <c r="A10" s="164" t="s">
        <v>353</v>
      </c>
      <c r="B10" s="167"/>
      <c r="C10" s="173"/>
      <c r="D10" s="173"/>
    </row>
    <row r="11" spans="1:8" x14ac:dyDescent="0.25">
      <c r="A11" s="174" t="s">
        <v>136</v>
      </c>
      <c r="B11" s="175">
        <v>22</v>
      </c>
      <c r="C11" s="173"/>
      <c r="D11" s="173"/>
    </row>
    <row r="12" spans="1:8" x14ac:dyDescent="0.25">
      <c r="A12" s="174" t="s">
        <v>265</v>
      </c>
      <c r="B12" s="175">
        <v>17.5</v>
      </c>
      <c r="C12" s="173"/>
      <c r="D12" s="173" t="s">
        <v>354</v>
      </c>
    </row>
    <row r="13" spans="1:8" x14ac:dyDescent="0.25">
      <c r="A13" s="174" t="s">
        <v>143</v>
      </c>
      <c r="B13" s="175">
        <v>12.5</v>
      </c>
      <c r="C13" s="173"/>
      <c r="D13" s="173"/>
    </row>
    <row r="14" spans="1:8" x14ac:dyDescent="0.25">
      <c r="A14" s="176" t="s">
        <v>62</v>
      </c>
      <c r="B14" s="177">
        <f>SUM(B11:B13)</f>
        <v>52</v>
      </c>
      <c r="C14" s="178">
        <f>B14/3</f>
        <v>17.333333333333332</v>
      </c>
      <c r="D14" s="178">
        <f>C14*1.5</f>
        <v>26</v>
      </c>
    </row>
    <row r="15" spans="1:8" x14ac:dyDescent="0.25">
      <c r="A15" s="19"/>
      <c r="B15" s="177"/>
      <c r="C15" s="177"/>
      <c r="D15" s="177"/>
    </row>
    <row r="16" spans="1:8" x14ac:dyDescent="0.25">
      <c r="A16" s="19"/>
      <c r="B16" s="177"/>
      <c r="C16" s="177"/>
      <c r="D16" s="177"/>
    </row>
    <row r="17" spans="1:4" x14ac:dyDescent="0.25">
      <c r="A17" s="176" t="s">
        <v>355</v>
      </c>
      <c r="B17" s="177"/>
      <c r="C17" s="177"/>
      <c r="D17" s="177"/>
    </row>
    <row r="18" spans="1:4" x14ac:dyDescent="0.25">
      <c r="A18" s="176" t="s">
        <v>356</v>
      </c>
      <c r="B18" s="179" t="s">
        <v>357</v>
      </c>
      <c r="C18" s="177"/>
      <c r="D18" s="177"/>
    </row>
    <row r="19" spans="1:4" x14ac:dyDescent="0.25">
      <c r="A19" s="168" t="s">
        <v>358</v>
      </c>
      <c r="B19" s="180">
        <f>(8592.64/428866.04)*100</f>
        <v>2.0035720244951079</v>
      </c>
      <c r="C19" s="181"/>
      <c r="D19" s="181"/>
    </row>
    <row r="20" spans="1:4" x14ac:dyDescent="0.25">
      <c r="A20" s="182" t="s">
        <v>359</v>
      </c>
      <c r="B20" s="183">
        <v>6.2</v>
      </c>
      <c r="C20" s="181"/>
      <c r="D20" s="181"/>
    </row>
    <row r="21" spans="1:4" x14ac:dyDescent="0.25">
      <c r="A21" s="182" t="s">
        <v>360</v>
      </c>
      <c r="B21" s="183">
        <v>1.45</v>
      </c>
      <c r="C21" s="181"/>
      <c r="D21" s="181"/>
    </row>
    <row r="22" spans="1:4" x14ac:dyDescent="0.25">
      <c r="A22" s="182" t="s">
        <v>148</v>
      </c>
      <c r="B22" s="183">
        <v>26.95</v>
      </c>
      <c r="C22" s="181"/>
      <c r="D22" s="181"/>
    </row>
    <row r="23" spans="1:4" x14ac:dyDescent="0.25">
      <c r="A23" s="169" t="s">
        <v>361</v>
      </c>
      <c r="B23" s="184">
        <f>SUM(B19:B22)</f>
        <v>36.603572024495108</v>
      </c>
      <c r="C23" s="181"/>
      <c r="D23" s="181"/>
    </row>
    <row r="24" spans="1:4" x14ac:dyDescent="0.25">
      <c r="A24" s="169"/>
      <c r="B24" s="184"/>
      <c r="C24" s="181"/>
      <c r="D24" s="181"/>
    </row>
    <row r="25" spans="1:4" x14ac:dyDescent="0.25">
      <c r="A25" s="169" t="s">
        <v>362</v>
      </c>
      <c r="B25" s="184"/>
      <c r="C25" s="181"/>
      <c r="D25" s="181"/>
    </row>
    <row r="26" spans="1:4" x14ac:dyDescent="0.25">
      <c r="A26" s="185" t="s">
        <v>363</v>
      </c>
      <c r="B26" s="186">
        <v>97421</v>
      </c>
      <c r="C26" s="181"/>
      <c r="D26" s="181"/>
    </row>
    <row r="27" spans="1:4" x14ac:dyDescent="0.25">
      <c r="A27" s="185" t="s">
        <v>364</v>
      </c>
      <c r="B27" s="187">
        <f>10*2080</f>
        <v>20800</v>
      </c>
      <c r="C27" s="181"/>
      <c r="D27" s="181"/>
    </row>
    <row r="28" spans="1:4" x14ac:dyDescent="0.25">
      <c r="A28" s="188" t="s">
        <v>365</v>
      </c>
      <c r="B28" s="19"/>
      <c r="C28" s="189">
        <f>B26/B27</f>
        <v>4.6837019230769235</v>
      </c>
      <c r="D28" s="170" t="s">
        <v>256</v>
      </c>
    </row>
    <row r="29" spans="1:4" x14ac:dyDescent="0.25">
      <c r="A29" s="188"/>
      <c r="B29" s="19"/>
      <c r="C29" s="189"/>
      <c r="D29" s="170"/>
    </row>
    <row r="30" spans="1:4" x14ac:dyDescent="0.25">
      <c r="A30" s="169" t="s">
        <v>366</v>
      </c>
      <c r="B30" s="184"/>
      <c r="C30" s="181"/>
      <c r="D30" s="170"/>
    </row>
    <row r="31" spans="1:4" x14ac:dyDescent="0.25">
      <c r="A31" s="185" t="s">
        <v>367</v>
      </c>
      <c r="B31" s="186">
        <v>1477.95</v>
      </c>
      <c r="C31" s="181"/>
      <c r="D31" s="170"/>
    </row>
    <row r="32" spans="1:4" x14ac:dyDescent="0.25">
      <c r="A32" s="185" t="s">
        <v>364</v>
      </c>
      <c r="B32" s="187">
        <f>10*2080</f>
        <v>20800</v>
      </c>
      <c r="C32" s="181"/>
      <c r="D32" s="170"/>
    </row>
    <row r="33" spans="1:7" x14ac:dyDescent="0.25">
      <c r="A33" s="188" t="s">
        <v>368</v>
      </c>
      <c r="B33" s="19"/>
      <c r="C33" s="189">
        <f>B31/B32</f>
        <v>7.1055288461538468E-2</v>
      </c>
      <c r="D33" s="190"/>
    </row>
    <row r="34" spans="1:7" x14ac:dyDescent="0.25">
      <c r="A34" s="188"/>
      <c r="B34" s="19"/>
      <c r="C34" s="189"/>
      <c r="D34" s="170"/>
      <c r="F34" s="38"/>
    </row>
    <row r="35" spans="1:7" x14ac:dyDescent="0.25">
      <c r="A35" s="169" t="s">
        <v>369</v>
      </c>
      <c r="B35" s="184"/>
      <c r="C35" s="181"/>
      <c r="D35" s="170"/>
    </row>
    <row r="36" spans="1:7" x14ac:dyDescent="0.25">
      <c r="A36" s="185" t="s">
        <v>370</v>
      </c>
      <c r="B36" s="186">
        <v>1172</v>
      </c>
      <c r="C36" s="181"/>
      <c r="D36" s="170"/>
    </row>
    <row r="37" spans="1:7" x14ac:dyDescent="0.25">
      <c r="A37" s="185" t="s">
        <v>364</v>
      </c>
      <c r="B37" s="187">
        <f>10*2080</f>
        <v>20800</v>
      </c>
      <c r="C37" s="181"/>
      <c r="D37" s="170"/>
    </row>
    <row r="38" spans="1:7" x14ac:dyDescent="0.25">
      <c r="A38" s="188" t="s">
        <v>368</v>
      </c>
      <c r="B38" s="19"/>
      <c r="C38" s="189">
        <f>B36/B37</f>
        <v>5.6346153846153844E-2</v>
      </c>
      <c r="D38" s="190"/>
    </row>
    <row r="39" spans="1:7" x14ac:dyDescent="0.25">
      <c r="A39" s="188"/>
      <c r="B39" s="19"/>
      <c r="C39" s="189"/>
      <c r="D39" s="170" t="s">
        <v>256</v>
      </c>
      <c r="G39" s="38"/>
    </row>
    <row r="40" spans="1:7" x14ac:dyDescent="0.25">
      <c r="A40" s="191" t="s">
        <v>371</v>
      </c>
      <c r="B40" s="181"/>
      <c r="C40" s="190"/>
      <c r="D40" s="170"/>
    </row>
    <row r="41" spans="1:7" x14ac:dyDescent="0.25">
      <c r="A41" s="172" t="s">
        <v>372</v>
      </c>
      <c r="B41" s="181"/>
      <c r="C41" s="192">
        <f>C8*(B23/100)</f>
        <v>6.4888982306423699</v>
      </c>
      <c r="D41" s="170"/>
    </row>
    <row r="42" spans="1:7" x14ac:dyDescent="0.25">
      <c r="A42" s="188" t="s">
        <v>373</v>
      </c>
      <c r="B42" s="181"/>
      <c r="C42" s="192">
        <f>C14*(B23/100)</f>
        <v>6.344619150912485</v>
      </c>
      <c r="D42" s="170"/>
    </row>
    <row r="43" spans="1:7" x14ac:dyDescent="0.25">
      <c r="A43" s="19"/>
      <c r="B43" s="181"/>
      <c r="C43" s="170"/>
      <c r="D43" s="170"/>
    </row>
    <row r="44" spans="1:7" x14ac:dyDescent="0.25">
      <c r="A44" s="19" t="s">
        <v>374</v>
      </c>
      <c r="B44" s="181"/>
      <c r="C44" s="170"/>
      <c r="D44" s="170"/>
    </row>
    <row r="45" spans="1:7" x14ac:dyDescent="0.25">
      <c r="A45" s="19" t="s">
        <v>375</v>
      </c>
      <c r="B45" s="181"/>
      <c r="C45" s="193">
        <f>C8+C28+C33+C38+C41</f>
        <v>29.027501596026983</v>
      </c>
      <c r="D45" s="193">
        <f>((C8+C41)*1.5)</f>
        <v>36.324597345963554</v>
      </c>
    </row>
    <row r="46" spans="1:7" x14ac:dyDescent="0.25">
      <c r="A46" s="19" t="s">
        <v>376</v>
      </c>
      <c r="B46" s="181"/>
      <c r="C46" s="170">
        <f>C14+C28+C42</f>
        <v>28.361654407322742</v>
      </c>
      <c r="D46" s="170">
        <f>((C14+C42)*1.5)</f>
        <v>35.516928726368725</v>
      </c>
    </row>
    <row r="47" spans="1:7" x14ac:dyDescent="0.25">
      <c r="A47" s="19"/>
      <c r="B47" s="19"/>
      <c r="C47" s="19"/>
      <c r="D47" s="19"/>
    </row>
    <row r="48" spans="1:7" ht="52.5" customHeight="1" x14ac:dyDescent="0.25">
      <c r="A48" s="194" t="s">
        <v>377</v>
      </c>
      <c r="B48" s="195"/>
      <c r="C48" s="195"/>
      <c r="D48" s="195"/>
    </row>
  </sheetData>
  <mergeCells count="1">
    <mergeCell ref="A48:D48"/>
  </mergeCells>
  <pageMargins left="2.1" right="1.3" top="1.25" bottom="0.75" header="0.73" footer="0.5"/>
  <pageSetup scale="85" orientation="portrait" horizontalDpi="4294967293" r:id="rId1"/>
  <headerFooter>
    <oddHeader>&amp;C&amp;"-,Bold"&amp;14Employee Wage Cost Calculations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9655-384B-4FAD-B82C-88A570E3C9BB}">
  <dimension ref="A1:B34"/>
  <sheetViews>
    <sheetView topLeftCell="A28" workbookViewId="0">
      <selection activeCell="B28" sqref="B28"/>
    </sheetView>
  </sheetViews>
  <sheetFormatPr defaultRowHeight="15" x14ac:dyDescent="0.25"/>
  <cols>
    <col min="1" max="1" width="12.5703125" style="7" customWidth="1"/>
    <col min="2" max="2" width="94.140625" customWidth="1"/>
  </cols>
  <sheetData>
    <row r="1" spans="1:2" x14ac:dyDescent="0.25">
      <c r="A1" s="6" t="s">
        <v>70</v>
      </c>
      <c r="B1" s="6" t="s">
        <v>71</v>
      </c>
    </row>
    <row r="2" spans="1:2" s="49" customFormat="1" ht="105" x14ac:dyDescent="0.25">
      <c r="A2" s="75" t="s">
        <v>43</v>
      </c>
      <c r="B2" s="138" t="s">
        <v>186</v>
      </c>
    </row>
    <row r="4" spans="1:2" ht="390" x14ac:dyDescent="0.25">
      <c r="A4" s="7" t="s">
        <v>45</v>
      </c>
      <c r="B4" s="21" t="s">
        <v>341</v>
      </c>
    </row>
    <row r="6" spans="1:2" s="49" customFormat="1" ht="45" x14ac:dyDescent="0.25">
      <c r="A6" s="75" t="s">
        <v>55</v>
      </c>
      <c r="B6" s="149" t="s">
        <v>323</v>
      </c>
    </row>
    <row r="8" spans="1:2" s="49" customFormat="1" ht="30" x14ac:dyDescent="0.25">
      <c r="A8" s="75" t="s">
        <v>56</v>
      </c>
      <c r="B8" s="79" t="s">
        <v>324</v>
      </c>
    </row>
    <row r="9" spans="1:2" s="15" customFormat="1" x14ac:dyDescent="0.25">
      <c r="A9" s="24"/>
    </row>
    <row r="10" spans="1:2" s="49" customFormat="1" ht="301.5" customHeight="1" x14ac:dyDescent="0.25">
      <c r="A10" s="75" t="s">
        <v>57</v>
      </c>
      <c r="B10" s="136" t="s">
        <v>342</v>
      </c>
    </row>
    <row r="11" spans="1:2" s="15" customFormat="1" x14ac:dyDescent="0.25">
      <c r="A11" s="24"/>
      <c r="B11" s="11"/>
    </row>
    <row r="12" spans="1:2" s="15" customFormat="1" ht="105" x14ac:dyDescent="0.25">
      <c r="A12" s="24" t="s">
        <v>58</v>
      </c>
      <c r="B12" s="137" t="s">
        <v>343</v>
      </c>
    </row>
    <row r="13" spans="1:2" s="15" customFormat="1" x14ac:dyDescent="0.25">
      <c r="A13" s="27"/>
      <c r="B13" s="11"/>
    </row>
    <row r="14" spans="1:2" ht="409.5" x14ac:dyDescent="0.25">
      <c r="A14" s="7" t="s">
        <v>54</v>
      </c>
      <c r="B14" s="141" t="s">
        <v>344</v>
      </c>
    </row>
    <row r="15" spans="1:2" x14ac:dyDescent="0.25">
      <c r="B15" s="11"/>
    </row>
    <row r="16" spans="1:2" ht="252.75" customHeight="1" x14ac:dyDescent="0.25">
      <c r="A16" s="7" t="s">
        <v>53</v>
      </c>
      <c r="B16" s="142" t="s">
        <v>345</v>
      </c>
    </row>
    <row r="17" spans="1:2" x14ac:dyDescent="0.25">
      <c r="B17" s="11"/>
    </row>
    <row r="18" spans="1:2" ht="225" x14ac:dyDescent="0.25">
      <c r="A18" s="7" t="s">
        <v>183</v>
      </c>
      <c r="B18" s="28" t="s">
        <v>340</v>
      </c>
    </row>
    <row r="19" spans="1:2" x14ac:dyDescent="0.25">
      <c r="B19" s="28"/>
    </row>
    <row r="20" spans="1:2" ht="174" customHeight="1" x14ac:dyDescent="0.25">
      <c r="A20" s="7" t="s">
        <v>184</v>
      </c>
      <c r="B20" s="140" t="s">
        <v>346</v>
      </c>
    </row>
    <row r="21" spans="1:2" x14ac:dyDescent="0.25">
      <c r="B21" s="139"/>
    </row>
    <row r="22" spans="1:2" ht="90" x14ac:dyDescent="0.25">
      <c r="A22" s="7" t="s">
        <v>185</v>
      </c>
      <c r="B22" s="140" t="s">
        <v>325</v>
      </c>
    </row>
    <row r="24" spans="1:2" ht="90" x14ac:dyDescent="0.25">
      <c r="A24" s="7" t="s">
        <v>182</v>
      </c>
      <c r="B24" s="11" t="s">
        <v>334</v>
      </c>
    </row>
    <row r="26" spans="1:2" ht="150" x14ac:dyDescent="0.25">
      <c r="A26" s="7" t="s">
        <v>253</v>
      </c>
      <c r="B26" s="11" t="s">
        <v>347</v>
      </c>
    </row>
    <row r="28" spans="1:2" ht="45" x14ac:dyDescent="0.25">
      <c r="A28" s="7" t="s">
        <v>254</v>
      </c>
      <c r="B28" s="150" t="s">
        <v>326</v>
      </c>
    </row>
    <row r="29" spans="1:2" x14ac:dyDescent="0.25">
      <c r="B29" s="11"/>
    </row>
    <row r="30" spans="1:2" ht="75" x14ac:dyDescent="0.25">
      <c r="A30" s="7" t="s">
        <v>255</v>
      </c>
      <c r="B30" s="11" t="s">
        <v>339</v>
      </c>
    </row>
    <row r="32" spans="1:2" ht="30" x14ac:dyDescent="0.25">
      <c r="A32" s="7" t="s">
        <v>279</v>
      </c>
      <c r="B32" s="139" t="s">
        <v>327</v>
      </c>
    </row>
    <row r="34" spans="1:2" ht="135" x14ac:dyDescent="0.25">
      <c r="A34" s="7" t="s">
        <v>328</v>
      </c>
      <c r="B34" s="11" t="s">
        <v>338</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topLeftCell="A4" workbookViewId="0">
      <selection activeCell="B14" sqref="B14"/>
    </sheetView>
  </sheetViews>
  <sheetFormatPr defaultColWidth="9.140625" defaultRowHeight="15" x14ac:dyDescent="0.25"/>
  <cols>
    <col min="1" max="1" width="54.85546875" style="9" customWidth="1"/>
    <col min="2" max="2" width="18.140625" style="9" customWidth="1"/>
    <col min="3" max="16384" width="9.140625" style="9"/>
  </cols>
  <sheetData>
    <row r="1" spans="1:2" x14ac:dyDescent="0.25">
      <c r="A1" s="152" t="s">
        <v>60</v>
      </c>
      <c r="B1" s="152"/>
    </row>
    <row r="3" spans="1:2" x14ac:dyDescent="0.25">
      <c r="A3" s="9" t="s">
        <v>46</v>
      </c>
      <c r="B3" s="23">
        <f>'Schedule Of Adjusted Operations'!E46</f>
        <v>2564455.8724533333</v>
      </c>
    </row>
    <row r="4" spans="1:2" x14ac:dyDescent="0.25">
      <c r="A4" s="9" t="s">
        <v>47</v>
      </c>
      <c r="B4" s="23">
        <f>DebtServiceRequirements!D15</f>
        <v>298534.76199999999</v>
      </c>
    </row>
    <row r="5" spans="1:2" x14ac:dyDescent="0.25">
      <c r="A5" s="10" t="s">
        <v>48</v>
      </c>
      <c r="B5" s="23">
        <f>B4*0.2</f>
        <v>59706.952400000002</v>
      </c>
    </row>
    <row r="6" spans="1:2" x14ac:dyDescent="0.25">
      <c r="A6" s="9" t="s">
        <v>49</v>
      </c>
      <c r="B6" s="23">
        <f>SUM(B3:B5)</f>
        <v>2922697.5868533333</v>
      </c>
    </row>
    <row r="7" spans="1:2" x14ac:dyDescent="0.25">
      <c r="A7" s="9" t="s">
        <v>72</v>
      </c>
      <c r="B7" s="23">
        <f>'Schedule Of Adjusted Operations'!E18</f>
        <v>110948.93</v>
      </c>
    </row>
    <row r="8" spans="1:2" x14ac:dyDescent="0.25">
      <c r="A8" s="10" t="s">
        <v>50</v>
      </c>
      <c r="B8" s="23">
        <v>0</v>
      </c>
    </row>
    <row r="9" spans="1:2" x14ac:dyDescent="0.25">
      <c r="A9" s="10" t="s">
        <v>51</v>
      </c>
      <c r="B9" s="23">
        <v>751</v>
      </c>
    </row>
    <row r="10" spans="1:2" x14ac:dyDescent="0.25">
      <c r="A10" s="9" t="s">
        <v>73</v>
      </c>
      <c r="B10" s="23">
        <f>B6-(B7+B8+B9)</f>
        <v>2810997.6568533331</v>
      </c>
    </row>
    <row r="11" spans="1:2" s="15" customFormat="1" x14ac:dyDescent="0.25">
      <c r="A11" s="15" t="s">
        <v>74</v>
      </c>
      <c r="B11" s="23">
        <f>'Schedule Of Adjusted Operations'!E12</f>
        <v>2637371</v>
      </c>
    </row>
    <row r="12" spans="1:2" x14ac:dyDescent="0.25">
      <c r="A12" s="9" t="s">
        <v>52</v>
      </c>
      <c r="B12" s="23">
        <f>B10-B11</f>
        <v>173626.65685333312</v>
      </c>
    </row>
    <row r="14" spans="1:2" ht="30" x14ac:dyDescent="0.25">
      <c r="A14" s="11" t="s">
        <v>75</v>
      </c>
      <c r="B14" s="32">
        <f>(B12/'Schedule Of Adjusted Operations'!E12)*100</f>
        <v>6.5833231977349085</v>
      </c>
    </row>
  </sheetData>
  <mergeCells count="1">
    <mergeCell ref="A1:B1"/>
  </mergeCells>
  <pageMargins left="1.45" right="0.7" top="2"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FEB36-C501-4BAF-83AB-6BB87B960D4C}">
  <dimension ref="A1:AP83"/>
  <sheetViews>
    <sheetView zoomScale="75" zoomScaleNormal="75" workbookViewId="0">
      <selection activeCell="A2" sqref="A2"/>
    </sheetView>
  </sheetViews>
  <sheetFormatPr defaultRowHeight="15" x14ac:dyDescent="0.25"/>
  <cols>
    <col min="1" max="1" width="6" style="15" bestFit="1" customWidth="1"/>
    <col min="2" max="2" width="2.7109375" style="15" customWidth="1"/>
    <col min="3" max="3" width="10.42578125" style="15" customWidth="1"/>
    <col min="4" max="4" width="12.7109375" style="15" customWidth="1"/>
    <col min="5" max="5" width="2.5703125" style="15" customWidth="1"/>
    <col min="6" max="7" width="10.5703125" style="15" customWidth="1"/>
    <col min="8" max="8" width="2.5703125" style="15" customWidth="1"/>
    <col min="9" max="10" width="10.5703125" style="15" customWidth="1"/>
    <col min="11" max="11" width="2.5703125" style="15" customWidth="1"/>
    <col min="12" max="12" width="12.140625" style="15" bestFit="1" customWidth="1"/>
    <col min="13" max="13" width="10.5703125" style="15" customWidth="1"/>
    <col min="14" max="14" width="2.5703125" style="15" customWidth="1"/>
    <col min="15" max="16" width="9.28515625" style="15" bestFit="1" customWidth="1"/>
    <col min="17" max="17" width="2.7109375" style="15" customWidth="1"/>
    <col min="18" max="18" width="10.42578125" style="15" bestFit="1" customWidth="1"/>
    <col min="19" max="19" width="12.42578125" style="15" customWidth="1"/>
    <col min="20" max="20" width="2.5703125" style="15" customWidth="1"/>
    <col min="21" max="21" width="10.85546875" style="15" customWidth="1"/>
    <col min="22" max="22" width="11.5703125" style="15" customWidth="1"/>
    <col min="23" max="23" width="2.5703125" style="15" customWidth="1"/>
    <col min="24" max="25" width="10.42578125" style="15" bestFit="1" customWidth="1"/>
    <col min="26" max="26" width="11.5703125" style="15" bestFit="1" customWidth="1"/>
    <col min="27" max="27" width="16.85546875" style="15" customWidth="1"/>
    <col min="28" max="28" width="18.5703125" style="15" customWidth="1"/>
    <col min="29" max="30" width="10.42578125" style="15" customWidth="1"/>
    <col min="31" max="31" width="3.7109375" style="15" customWidth="1"/>
    <col min="32" max="32" width="10.42578125" style="15" customWidth="1"/>
    <col min="33" max="33" width="11.42578125" style="15" customWidth="1"/>
    <col min="34" max="34" width="4.5703125" style="15" customWidth="1"/>
    <col min="35" max="36" width="10.42578125" style="15" customWidth="1"/>
    <col min="37" max="37" width="3.5703125" style="15" customWidth="1"/>
    <col min="38" max="38" width="12.85546875" style="15" customWidth="1"/>
    <col min="39" max="39" width="13.28515625" style="15" customWidth="1"/>
    <col min="40" max="40" width="4.85546875" style="15" customWidth="1"/>
    <col min="41" max="42" width="2.7109375" style="15" customWidth="1"/>
    <col min="43" max="43" width="16" style="15" customWidth="1"/>
    <col min="44" max="44" width="21.7109375" style="15" bestFit="1" customWidth="1"/>
    <col min="45" max="45" width="9.140625" style="15"/>
    <col min="46" max="46" width="10.7109375" style="15" customWidth="1"/>
    <col min="47" max="47" width="10" style="15" bestFit="1" customWidth="1"/>
    <col min="48" max="256" width="9.140625" style="15"/>
    <col min="257" max="257" width="6.42578125" style="15" bestFit="1" customWidth="1"/>
    <col min="258" max="258" width="6" style="15" bestFit="1" customWidth="1"/>
    <col min="259" max="259" width="2.7109375" style="15" customWidth="1"/>
    <col min="260" max="261" width="10.42578125" style="15" customWidth="1"/>
    <col min="262" max="262" width="2.5703125" style="15" customWidth="1"/>
    <col min="263" max="264" width="10.5703125" style="15" customWidth="1"/>
    <col min="265" max="265" width="2.5703125" style="15" customWidth="1"/>
    <col min="266" max="267" width="10.5703125" style="15" customWidth="1"/>
    <col min="268" max="268" width="2.5703125" style="15" customWidth="1"/>
    <col min="269" max="269" width="12.140625" style="15" bestFit="1" customWidth="1"/>
    <col min="270" max="270" width="10.5703125" style="15" customWidth="1"/>
    <col min="271" max="271" width="2.5703125" style="15" customWidth="1"/>
    <col min="272" max="273" width="10.5703125" style="15" customWidth="1"/>
    <col min="274" max="274" width="2.7109375" style="15" customWidth="1"/>
    <col min="275" max="276" width="9.28515625" style="15" bestFit="1" customWidth="1"/>
    <col min="277" max="277" width="2.7109375" style="15" customWidth="1"/>
    <col min="278" max="279" width="10.42578125" style="15" bestFit="1" customWidth="1"/>
    <col min="280" max="280" width="2.5703125" style="15" customWidth="1"/>
    <col min="281" max="282" width="10.42578125" style="15" customWidth="1"/>
    <col min="283" max="283" width="2.5703125" style="15" customWidth="1"/>
    <col min="284" max="285" width="10.42578125" style="15" customWidth="1"/>
    <col min="286" max="286" width="2.7109375" style="15" customWidth="1"/>
    <col min="287" max="287" width="11.5703125" style="15" bestFit="1" customWidth="1"/>
    <col min="288" max="288" width="10.42578125" style="15" bestFit="1" customWidth="1"/>
    <col min="289" max="289" width="6.42578125" style="15" bestFit="1" customWidth="1"/>
    <col min="290" max="290" width="5.85546875" style="15" bestFit="1" customWidth="1"/>
    <col min="291" max="291" width="10.42578125" style="15" bestFit="1" customWidth="1"/>
    <col min="292" max="292" width="8.7109375" style="15" bestFit="1" customWidth="1"/>
    <col min="293" max="293" width="2.7109375" style="15" customWidth="1"/>
    <col min="294" max="294" width="5.85546875" style="15" bestFit="1" customWidth="1"/>
    <col min="295" max="295" width="12.7109375" style="15" bestFit="1" customWidth="1"/>
    <col min="296" max="296" width="11.5703125" style="15" bestFit="1" customWidth="1"/>
    <col min="297" max="297" width="2.7109375" style="15" customWidth="1"/>
    <col min="298" max="298" width="12.7109375" style="15" bestFit="1" customWidth="1"/>
    <col min="299" max="299" width="9.140625" style="15"/>
    <col min="300" max="300" width="21.7109375" style="15" bestFit="1" customWidth="1"/>
    <col min="301" max="301" width="9.140625" style="15"/>
    <col min="302" max="302" width="10.7109375" style="15" customWidth="1"/>
    <col min="303" max="303" width="10" style="15" bestFit="1" customWidth="1"/>
    <col min="304" max="512" width="9.140625" style="15"/>
    <col min="513" max="513" width="6.42578125" style="15" bestFit="1" customWidth="1"/>
    <col min="514" max="514" width="6" style="15" bestFit="1" customWidth="1"/>
    <col min="515" max="515" width="2.7109375" style="15" customWidth="1"/>
    <col min="516" max="517" width="10.42578125" style="15" customWidth="1"/>
    <col min="518" max="518" width="2.5703125" style="15" customWidth="1"/>
    <col min="519" max="520" width="10.5703125" style="15" customWidth="1"/>
    <col min="521" max="521" width="2.5703125" style="15" customWidth="1"/>
    <col min="522" max="523" width="10.5703125" style="15" customWidth="1"/>
    <col min="524" max="524" width="2.5703125" style="15" customWidth="1"/>
    <col min="525" max="525" width="12.140625" style="15" bestFit="1" customWidth="1"/>
    <col min="526" max="526" width="10.5703125" style="15" customWidth="1"/>
    <col min="527" max="527" width="2.5703125" style="15" customWidth="1"/>
    <col min="528" max="529" width="10.5703125" style="15" customWidth="1"/>
    <col min="530" max="530" width="2.7109375" style="15" customWidth="1"/>
    <col min="531" max="532" width="9.28515625" style="15" bestFit="1" customWidth="1"/>
    <col min="533" max="533" width="2.7109375" style="15" customWidth="1"/>
    <col min="534" max="535" width="10.42578125" style="15" bestFit="1" customWidth="1"/>
    <col min="536" max="536" width="2.5703125" style="15" customWidth="1"/>
    <col min="537" max="538" width="10.42578125" style="15" customWidth="1"/>
    <col min="539" max="539" width="2.5703125" style="15" customWidth="1"/>
    <col min="540" max="541" width="10.42578125" style="15" customWidth="1"/>
    <col min="542" max="542" width="2.7109375" style="15" customWidth="1"/>
    <col min="543" max="543" width="11.5703125" style="15" bestFit="1" customWidth="1"/>
    <col min="544" max="544" width="10.42578125" style="15" bestFit="1" customWidth="1"/>
    <col min="545" max="545" width="6.42578125" style="15" bestFit="1" customWidth="1"/>
    <col min="546" max="546" width="5.85546875" style="15" bestFit="1" customWidth="1"/>
    <col min="547" max="547" width="10.42578125" style="15" bestFit="1" customWidth="1"/>
    <col min="548" max="548" width="8.7109375" style="15" bestFit="1" customWidth="1"/>
    <col min="549" max="549" width="2.7109375" style="15" customWidth="1"/>
    <col min="550" max="550" width="5.85546875" style="15" bestFit="1" customWidth="1"/>
    <col min="551" max="551" width="12.7109375" style="15" bestFit="1" customWidth="1"/>
    <col min="552" max="552" width="11.5703125" style="15" bestFit="1" customWidth="1"/>
    <col min="553" max="553" width="2.7109375" style="15" customWidth="1"/>
    <col min="554" max="554" width="12.7109375" style="15" bestFit="1" customWidth="1"/>
    <col min="555" max="555" width="9.140625" style="15"/>
    <col min="556" max="556" width="21.7109375" style="15" bestFit="1" customWidth="1"/>
    <col min="557" max="557" width="9.140625" style="15"/>
    <col min="558" max="558" width="10.7109375" style="15" customWidth="1"/>
    <col min="559" max="559" width="10" style="15" bestFit="1" customWidth="1"/>
    <col min="560" max="768" width="9.140625" style="15"/>
    <col min="769" max="769" width="6.42578125" style="15" bestFit="1" customWidth="1"/>
    <col min="770" max="770" width="6" style="15" bestFit="1" customWidth="1"/>
    <col min="771" max="771" width="2.7109375" style="15" customWidth="1"/>
    <col min="772" max="773" width="10.42578125" style="15" customWidth="1"/>
    <col min="774" max="774" width="2.5703125" style="15" customWidth="1"/>
    <col min="775" max="776" width="10.5703125" style="15" customWidth="1"/>
    <col min="777" max="777" width="2.5703125" style="15" customWidth="1"/>
    <col min="778" max="779" width="10.5703125" style="15" customWidth="1"/>
    <col min="780" max="780" width="2.5703125" style="15" customWidth="1"/>
    <col min="781" max="781" width="12.140625" style="15" bestFit="1" customWidth="1"/>
    <col min="782" max="782" width="10.5703125" style="15" customWidth="1"/>
    <col min="783" max="783" width="2.5703125" style="15" customWidth="1"/>
    <col min="784" max="785" width="10.5703125" style="15" customWidth="1"/>
    <col min="786" max="786" width="2.7109375" style="15" customWidth="1"/>
    <col min="787" max="788" width="9.28515625" style="15" bestFit="1" customWidth="1"/>
    <col min="789" max="789" width="2.7109375" style="15" customWidth="1"/>
    <col min="790" max="791" width="10.42578125" style="15" bestFit="1" customWidth="1"/>
    <col min="792" max="792" width="2.5703125" style="15" customWidth="1"/>
    <col min="793" max="794" width="10.42578125" style="15" customWidth="1"/>
    <col min="795" max="795" width="2.5703125" style="15" customWidth="1"/>
    <col min="796" max="797" width="10.42578125" style="15" customWidth="1"/>
    <col min="798" max="798" width="2.7109375" style="15" customWidth="1"/>
    <col min="799" max="799" width="11.5703125" style="15" bestFit="1" customWidth="1"/>
    <col min="800" max="800" width="10.42578125" style="15" bestFit="1" customWidth="1"/>
    <col min="801" max="801" width="6.42578125" style="15" bestFit="1" customWidth="1"/>
    <col min="802" max="802" width="5.85546875" style="15" bestFit="1" customWidth="1"/>
    <col min="803" max="803" width="10.42578125" style="15" bestFit="1" customWidth="1"/>
    <col min="804" max="804" width="8.7109375" style="15" bestFit="1" customWidth="1"/>
    <col min="805" max="805" width="2.7109375" style="15" customWidth="1"/>
    <col min="806" max="806" width="5.85546875" style="15" bestFit="1" customWidth="1"/>
    <col min="807" max="807" width="12.7109375" style="15" bestFit="1" customWidth="1"/>
    <col min="808" max="808" width="11.5703125" style="15" bestFit="1" customWidth="1"/>
    <col min="809" max="809" width="2.7109375" style="15" customWidth="1"/>
    <col min="810" max="810" width="12.7109375" style="15" bestFit="1" customWidth="1"/>
    <col min="811" max="811" width="9.140625" style="15"/>
    <col min="812" max="812" width="21.7109375" style="15" bestFit="1" customWidth="1"/>
    <col min="813" max="813" width="9.140625" style="15"/>
    <col min="814" max="814" width="10.7109375" style="15" customWidth="1"/>
    <col min="815" max="815" width="10" style="15" bestFit="1" customWidth="1"/>
    <col min="816" max="1024" width="9.140625" style="15"/>
    <col min="1025" max="1025" width="6.42578125" style="15" bestFit="1" customWidth="1"/>
    <col min="1026" max="1026" width="6" style="15" bestFit="1" customWidth="1"/>
    <col min="1027" max="1027" width="2.7109375" style="15" customWidth="1"/>
    <col min="1028" max="1029" width="10.42578125" style="15" customWidth="1"/>
    <col min="1030" max="1030" width="2.5703125" style="15" customWidth="1"/>
    <col min="1031" max="1032" width="10.5703125" style="15" customWidth="1"/>
    <col min="1033" max="1033" width="2.5703125" style="15" customWidth="1"/>
    <col min="1034" max="1035" width="10.5703125" style="15" customWidth="1"/>
    <col min="1036" max="1036" width="2.5703125" style="15" customWidth="1"/>
    <col min="1037" max="1037" width="12.140625" style="15" bestFit="1" customWidth="1"/>
    <col min="1038" max="1038" width="10.5703125" style="15" customWidth="1"/>
    <col min="1039" max="1039" width="2.5703125" style="15" customWidth="1"/>
    <col min="1040" max="1041" width="10.5703125" style="15" customWidth="1"/>
    <col min="1042" max="1042" width="2.7109375" style="15" customWidth="1"/>
    <col min="1043" max="1044" width="9.28515625" style="15" bestFit="1" customWidth="1"/>
    <col min="1045" max="1045" width="2.7109375" style="15" customWidth="1"/>
    <col min="1046" max="1047" width="10.42578125" style="15" bestFit="1" customWidth="1"/>
    <col min="1048" max="1048" width="2.5703125" style="15" customWidth="1"/>
    <col min="1049" max="1050" width="10.42578125" style="15" customWidth="1"/>
    <col min="1051" max="1051" width="2.5703125" style="15" customWidth="1"/>
    <col min="1052" max="1053" width="10.42578125" style="15" customWidth="1"/>
    <col min="1054" max="1054" width="2.7109375" style="15" customWidth="1"/>
    <col min="1055" max="1055" width="11.5703125" style="15" bestFit="1" customWidth="1"/>
    <col min="1056" max="1056" width="10.42578125" style="15" bestFit="1" customWidth="1"/>
    <col min="1057" max="1057" width="6.42578125" style="15" bestFit="1" customWidth="1"/>
    <col min="1058" max="1058" width="5.85546875" style="15" bestFit="1" customWidth="1"/>
    <col min="1059" max="1059" width="10.42578125" style="15" bestFit="1" customWidth="1"/>
    <col min="1060" max="1060" width="8.7109375" style="15" bestFit="1" customWidth="1"/>
    <col min="1061" max="1061" width="2.7109375" style="15" customWidth="1"/>
    <col min="1062" max="1062" width="5.85546875" style="15" bestFit="1" customWidth="1"/>
    <col min="1063" max="1063" width="12.7109375" style="15" bestFit="1" customWidth="1"/>
    <col min="1064" max="1064" width="11.5703125" style="15" bestFit="1" customWidth="1"/>
    <col min="1065" max="1065" width="2.7109375" style="15" customWidth="1"/>
    <col min="1066" max="1066" width="12.7109375" style="15" bestFit="1" customWidth="1"/>
    <col min="1067" max="1067" width="9.140625" style="15"/>
    <col min="1068" max="1068" width="21.7109375" style="15" bestFit="1" customWidth="1"/>
    <col min="1069" max="1069" width="9.140625" style="15"/>
    <col min="1070" max="1070" width="10.7109375" style="15" customWidth="1"/>
    <col min="1071" max="1071" width="10" style="15" bestFit="1" customWidth="1"/>
    <col min="1072" max="1280" width="9.140625" style="15"/>
    <col min="1281" max="1281" width="6.42578125" style="15" bestFit="1" customWidth="1"/>
    <col min="1282" max="1282" width="6" style="15" bestFit="1" customWidth="1"/>
    <col min="1283" max="1283" width="2.7109375" style="15" customWidth="1"/>
    <col min="1284" max="1285" width="10.42578125" style="15" customWidth="1"/>
    <col min="1286" max="1286" width="2.5703125" style="15" customWidth="1"/>
    <col min="1287" max="1288" width="10.5703125" style="15" customWidth="1"/>
    <col min="1289" max="1289" width="2.5703125" style="15" customWidth="1"/>
    <col min="1290" max="1291" width="10.5703125" style="15" customWidth="1"/>
    <col min="1292" max="1292" width="2.5703125" style="15" customWidth="1"/>
    <col min="1293" max="1293" width="12.140625" style="15" bestFit="1" customWidth="1"/>
    <col min="1294" max="1294" width="10.5703125" style="15" customWidth="1"/>
    <col min="1295" max="1295" width="2.5703125" style="15" customWidth="1"/>
    <col min="1296" max="1297" width="10.5703125" style="15" customWidth="1"/>
    <col min="1298" max="1298" width="2.7109375" style="15" customWidth="1"/>
    <col min="1299" max="1300" width="9.28515625" style="15" bestFit="1" customWidth="1"/>
    <col min="1301" max="1301" width="2.7109375" style="15" customWidth="1"/>
    <col min="1302" max="1303" width="10.42578125" style="15" bestFit="1" customWidth="1"/>
    <col min="1304" max="1304" width="2.5703125" style="15" customWidth="1"/>
    <col min="1305" max="1306" width="10.42578125" style="15" customWidth="1"/>
    <col min="1307" max="1307" width="2.5703125" style="15" customWidth="1"/>
    <col min="1308" max="1309" width="10.42578125" style="15" customWidth="1"/>
    <col min="1310" max="1310" width="2.7109375" style="15" customWidth="1"/>
    <col min="1311" max="1311" width="11.5703125" style="15" bestFit="1" customWidth="1"/>
    <col min="1312" max="1312" width="10.42578125" style="15" bestFit="1" customWidth="1"/>
    <col min="1313" max="1313" width="6.42578125" style="15" bestFit="1" customWidth="1"/>
    <col min="1314" max="1314" width="5.85546875" style="15" bestFit="1" customWidth="1"/>
    <col min="1315" max="1315" width="10.42578125" style="15" bestFit="1" customWidth="1"/>
    <col min="1316" max="1316" width="8.7109375" style="15" bestFit="1" customWidth="1"/>
    <col min="1317" max="1317" width="2.7109375" style="15" customWidth="1"/>
    <col min="1318" max="1318" width="5.85546875" style="15" bestFit="1" customWidth="1"/>
    <col min="1319" max="1319" width="12.7109375" style="15" bestFit="1" customWidth="1"/>
    <col min="1320" max="1320" width="11.5703125" style="15" bestFit="1" customWidth="1"/>
    <col min="1321" max="1321" width="2.7109375" style="15" customWidth="1"/>
    <col min="1322" max="1322" width="12.7109375" style="15" bestFit="1" customWidth="1"/>
    <col min="1323" max="1323" width="9.140625" style="15"/>
    <col min="1324" max="1324" width="21.7109375" style="15" bestFit="1" customWidth="1"/>
    <col min="1325" max="1325" width="9.140625" style="15"/>
    <col min="1326" max="1326" width="10.7109375" style="15" customWidth="1"/>
    <col min="1327" max="1327" width="10" style="15" bestFit="1" customWidth="1"/>
    <col min="1328" max="1536" width="9.140625" style="15"/>
    <col min="1537" max="1537" width="6.42578125" style="15" bestFit="1" customWidth="1"/>
    <col min="1538" max="1538" width="6" style="15" bestFit="1" customWidth="1"/>
    <col min="1539" max="1539" width="2.7109375" style="15" customWidth="1"/>
    <col min="1540" max="1541" width="10.42578125" style="15" customWidth="1"/>
    <col min="1542" max="1542" width="2.5703125" style="15" customWidth="1"/>
    <col min="1543" max="1544" width="10.5703125" style="15" customWidth="1"/>
    <col min="1545" max="1545" width="2.5703125" style="15" customWidth="1"/>
    <col min="1546" max="1547" width="10.5703125" style="15" customWidth="1"/>
    <col min="1548" max="1548" width="2.5703125" style="15" customWidth="1"/>
    <col min="1549" max="1549" width="12.140625" style="15" bestFit="1" customWidth="1"/>
    <col min="1550" max="1550" width="10.5703125" style="15" customWidth="1"/>
    <col min="1551" max="1551" width="2.5703125" style="15" customWidth="1"/>
    <col min="1552" max="1553" width="10.5703125" style="15" customWidth="1"/>
    <col min="1554" max="1554" width="2.7109375" style="15" customWidth="1"/>
    <col min="1555" max="1556" width="9.28515625" style="15" bestFit="1" customWidth="1"/>
    <col min="1557" max="1557" width="2.7109375" style="15" customWidth="1"/>
    <col min="1558" max="1559" width="10.42578125" style="15" bestFit="1" customWidth="1"/>
    <col min="1560" max="1560" width="2.5703125" style="15" customWidth="1"/>
    <col min="1561" max="1562" width="10.42578125" style="15" customWidth="1"/>
    <col min="1563" max="1563" width="2.5703125" style="15" customWidth="1"/>
    <col min="1564" max="1565" width="10.42578125" style="15" customWidth="1"/>
    <col min="1566" max="1566" width="2.7109375" style="15" customWidth="1"/>
    <col min="1567" max="1567" width="11.5703125" style="15" bestFit="1" customWidth="1"/>
    <col min="1568" max="1568" width="10.42578125" style="15" bestFit="1" customWidth="1"/>
    <col min="1569" max="1569" width="6.42578125" style="15" bestFit="1" customWidth="1"/>
    <col min="1570" max="1570" width="5.85546875" style="15" bestFit="1" customWidth="1"/>
    <col min="1571" max="1571" width="10.42578125" style="15" bestFit="1" customWidth="1"/>
    <col min="1572" max="1572" width="8.7109375" style="15" bestFit="1" customWidth="1"/>
    <col min="1573" max="1573" width="2.7109375" style="15" customWidth="1"/>
    <col min="1574" max="1574" width="5.85546875" style="15" bestFit="1" customWidth="1"/>
    <col min="1575" max="1575" width="12.7109375" style="15" bestFit="1" customWidth="1"/>
    <col min="1576" max="1576" width="11.5703125" style="15" bestFit="1" customWidth="1"/>
    <col min="1577" max="1577" width="2.7109375" style="15" customWidth="1"/>
    <col min="1578" max="1578" width="12.7109375" style="15" bestFit="1" customWidth="1"/>
    <col min="1579" max="1579" width="9.140625" style="15"/>
    <col min="1580" max="1580" width="21.7109375" style="15" bestFit="1" customWidth="1"/>
    <col min="1581" max="1581" width="9.140625" style="15"/>
    <col min="1582" max="1582" width="10.7109375" style="15" customWidth="1"/>
    <col min="1583" max="1583" width="10" style="15" bestFit="1" customWidth="1"/>
    <col min="1584" max="1792" width="9.140625" style="15"/>
    <col min="1793" max="1793" width="6.42578125" style="15" bestFit="1" customWidth="1"/>
    <col min="1794" max="1794" width="6" style="15" bestFit="1" customWidth="1"/>
    <col min="1795" max="1795" width="2.7109375" style="15" customWidth="1"/>
    <col min="1796" max="1797" width="10.42578125" style="15" customWidth="1"/>
    <col min="1798" max="1798" width="2.5703125" style="15" customWidth="1"/>
    <col min="1799" max="1800" width="10.5703125" style="15" customWidth="1"/>
    <col min="1801" max="1801" width="2.5703125" style="15" customWidth="1"/>
    <col min="1802" max="1803" width="10.5703125" style="15" customWidth="1"/>
    <col min="1804" max="1804" width="2.5703125" style="15" customWidth="1"/>
    <col min="1805" max="1805" width="12.140625" style="15" bestFit="1" customWidth="1"/>
    <col min="1806" max="1806" width="10.5703125" style="15" customWidth="1"/>
    <col min="1807" max="1807" width="2.5703125" style="15" customWidth="1"/>
    <col min="1808" max="1809" width="10.5703125" style="15" customWidth="1"/>
    <col min="1810" max="1810" width="2.7109375" style="15" customWidth="1"/>
    <col min="1811" max="1812" width="9.28515625" style="15" bestFit="1" customWidth="1"/>
    <col min="1813" max="1813" width="2.7109375" style="15" customWidth="1"/>
    <col min="1814" max="1815" width="10.42578125" style="15" bestFit="1" customWidth="1"/>
    <col min="1816" max="1816" width="2.5703125" style="15" customWidth="1"/>
    <col min="1817" max="1818" width="10.42578125" style="15" customWidth="1"/>
    <col min="1819" max="1819" width="2.5703125" style="15" customWidth="1"/>
    <col min="1820" max="1821" width="10.42578125" style="15" customWidth="1"/>
    <col min="1822" max="1822" width="2.7109375" style="15" customWidth="1"/>
    <col min="1823" max="1823" width="11.5703125" style="15" bestFit="1" customWidth="1"/>
    <col min="1824" max="1824" width="10.42578125" style="15" bestFit="1" customWidth="1"/>
    <col min="1825" max="1825" width="6.42578125" style="15" bestFit="1" customWidth="1"/>
    <col min="1826" max="1826" width="5.85546875" style="15" bestFit="1" customWidth="1"/>
    <col min="1827" max="1827" width="10.42578125" style="15" bestFit="1" customWidth="1"/>
    <col min="1828" max="1828" width="8.7109375" style="15" bestFit="1" customWidth="1"/>
    <col min="1829" max="1829" width="2.7109375" style="15" customWidth="1"/>
    <col min="1830" max="1830" width="5.85546875" style="15" bestFit="1" customWidth="1"/>
    <col min="1831" max="1831" width="12.7109375" style="15" bestFit="1" customWidth="1"/>
    <col min="1832" max="1832" width="11.5703125" style="15" bestFit="1" customWidth="1"/>
    <col min="1833" max="1833" width="2.7109375" style="15" customWidth="1"/>
    <col min="1834" max="1834" width="12.7109375" style="15" bestFit="1" customWidth="1"/>
    <col min="1835" max="1835" width="9.140625" style="15"/>
    <col min="1836" max="1836" width="21.7109375" style="15" bestFit="1" customWidth="1"/>
    <col min="1837" max="1837" width="9.140625" style="15"/>
    <col min="1838" max="1838" width="10.7109375" style="15" customWidth="1"/>
    <col min="1839" max="1839" width="10" style="15" bestFit="1" customWidth="1"/>
    <col min="1840" max="2048" width="9.140625" style="15"/>
    <col min="2049" max="2049" width="6.42578125" style="15" bestFit="1" customWidth="1"/>
    <col min="2050" max="2050" width="6" style="15" bestFit="1" customWidth="1"/>
    <col min="2051" max="2051" width="2.7109375" style="15" customWidth="1"/>
    <col min="2052" max="2053" width="10.42578125" style="15" customWidth="1"/>
    <col min="2054" max="2054" width="2.5703125" style="15" customWidth="1"/>
    <col min="2055" max="2056" width="10.5703125" style="15" customWidth="1"/>
    <col min="2057" max="2057" width="2.5703125" style="15" customWidth="1"/>
    <col min="2058" max="2059" width="10.5703125" style="15" customWidth="1"/>
    <col min="2060" max="2060" width="2.5703125" style="15" customWidth="1"/>
    <col min="2061" max="2061" width="12.140625" style="15" bestFit="1" customWidth="1"/>
    <col min="2062" max="2062" width="10.5703125" style="15" customWidth="1"/>
    <col min="2063" max="2063" width="2.5703125" style="15" customWidth="1"/>
    <col min="2064" max="2065" width="10.5703125" style="15" customWidth="1"/>
    <col min="2066" max="2066" width="2.7109375" style="15" customWidth="1"/>
    <col min="2067" max="2068" width="9.28515625" style="15" bestFit="1" customWidth="1"/>
    <col min="2069" max="2069" width="2.7109375" style="15" customWidth="1"/>
    <col min="2070" max="2071" width="10.42578125" style="15" bestFit="1" customWidth="1"/>
    <col min="2072" max="2072" width="2.5703125" style="15" customWidth="1"/>
    <col min="2073" max="2074" width="10.42578125" style="15" customWidth="1"/>
    <col min="2075" max="2075" width="2.5703125" style="15" customWidth="1"/>
    <col min="2076" max="2077" width="10.42578125" style="15" customWidth="1"/>
    <col min="2078" max="2078" width="2.7109375" style="15" customWidth="1"/>
    <col min="2079" max="2079" width="11.5703125" style="15" bestFit="1" customWidth="1"/>
    <col min="2080" max="2080" width="10.42578125" style="15" bestFit="1" customWidth="1"/>
    <col min="2081" max="2081" width="6.42578125" style="15" bestFit="1" customWidth="1"/>
    <col min="2082" max="2082" width="5.85546875" style="15" bestFit="1" customWidth="1"/>
    <col min="2083" max="2083" width="10.42578125" style="15" bestFit="1" customWidth="1"/>
    <col min="2084" max="2084" width="8.7109375" style="15" bestFit="1" customWidth="1"/>
    <col min="2085" max="2085" width="2.7109375" style="15" customWidth="1"/>
    <col min="2086" max="2086" width="5.85546875" style="15" bestFit="1" customWidth="1"/>
    <col min="2087" max="2087" width="12.7109375" style="15" bestFit="1" customWidth="1"/>
    <col min="2088" max="2088" width="11.5703125" style="15" bestFit="1" customWidth="1"/>
    <col min="2089" max="2089" width="2.7109375" style="15" customWidth="1"/>
    <col min="2090" max="2090" width="12.7109375" style="15" bestFit="1" customWidth="1"/>
    <col min="2091" max="2091" width="9.140625" style="15"/>
    <col min="2092" max="2092" width="21.7109375" style="15" bestFit="1" customWidth="1"/>
    <col min="2093" max="2093" width="9.140625" style="15"/>
    <col min="2094" max="2094" width="10.7109375" style="15" customWidth="1"/>
    <col min="2095" max="2095" width="10" style="15" bestFit="1" customWidth="1"/>
    <col min="2096" max="2304" width="9.140625" style="15"/>
    <col min="2305" max="2305" width="6.42578125" style="15" bestFit="1" customWidth="1"/>
    <col min="2306" max="2306" width="6" style="15" bestFit="1" customWidth="1"/>
    <col min="2307" max="2307" width="2.7109375" style="15" customWidth="1"/>
    <col min="2308" max="2309" width="10.42578125" style="15" customWidth="1"/>
    <col min="2310" max="2310" width="2.5703125" style="15" customWidth="1"/>
    <col min="2311" max="2312" width="10.5703125" style="15" customWidth="1"/>
    <col min="2313" max="2313" width="2.5703125" style="15" customWidth="1"/>
    <col min="2314" max="2315" width="10.5703125" style="15" customWidth="1"/>
    <col min="2316" max="2316" width="2.5703125" style="15" customWidth="1"/>
    <col min="2317" max="2317" width="12.140625" style="15" bestFit="1" customWidth="1"/>
    <col min="2318" max="2318" width="10.5703125" style="15" customWidth="1"/>
    <col min="2319" max="2319" width="2.5703125" style="15" customWidth="1"/>
    <col min="2320" max="2321" width="10.5703125" style="15" customWidth="1"/>
    <col min="2322" max="2322" width="2.7109375" style="15" customWidth="1"/>
    <col min="2323" max="2324" width="9.28515625" style="15" bestFit="1" customWidth="1"/>
    <col min="2325" max="2325" width="2.7109375" style="15" customWidth="1"/>
    <col min="2326" max="2327" width="10.42578125" style="15" bestFit="1" customWidth="1"/>
    <col min="2328" max="2328" width="2.5703125" style="15" customWidth="1"/>
    <col min="2329" max="2330" width="10.42578125" style="15" customWidth="1"/>
    <col min="2331" max="2331" width="2.5703125" style="15" customWidth="1"/>
    <col min="2332" max="2333" width="10.42578125" style="15" customWidth="1"/>
    <col min="2334" max="2334" width="2.7109375" style="15" customWidth="1"/>
    <col min="2335" max="2335" width="11.5703125" style="15" bestFit="1" customWidth="1"/>
    <col min="2336" max="2336" width="10.42578125" style="15" bestFit="1" customWidth="1"/>
    <col min="2337" max="2337" width="6.42578125" style="15" bestFit="1" customWidth="1"/>
    <col min="2338" max="2338" width="5.85546875" style="15" bestFit="1" customWidth="1"/>
    <col min="2339" max="2339" width="10.42578125" style="15" bestFit="1" customWidth="1"/>
    <col min="2340" max="2340" width="8.7109375" style="15" bestFit="1" customWidth="1"/>
    <col min="2341" max="2341" width="2.7109375" style="15" customWidth="1"/>
    <col min="2342" max="2342" width="5.85546875" style="15" bestFit="1" customWidth="1"/>
    <col min="2343" max="2343" width="12.7109375" style="15" bestFit="1" customWidth="1"/>
    <col min="2344" max="2344" width="11.5703125" style="15" bestFit="1" customWidth="1"/>
    <col min="2345" max="2345" width="2.7109375" style="15" customWidth="1"/>
    <col min="2346" max="2346" width="12.7109375" style="15" bestFit="1" customWidth="1"/>
    <col min="2347" max="2347" width="9.140625" style="15"/>
    <col min="2348" max="2348" width="21.7109375" style="15" bestFit="1" customWidth="1"/>
    <col min="2349" max="2349" width="9.140625" style="15"/>
    <col min="2350" max="2350" width="10.7109375" style="15" customWidth="1"/>
    <col min="2351" max="2351" width="10" style="15" bestFit="1" customWidth="1"/>
    <col min="2352" max="2560" width="9.140625" style="15"/>
    <col min="2561" max="2561" width="6.42578125" style="15" bestFit="1" customWidth="1"/>
    <col min="2562" max="2562" width="6" style="15" bestFit="1" customWidth="1"/>
    <col min="2563" max="2563" width="2.7109375" style="15" customWidth="1"/>
    <col min="2564" max="2565" width="10.42578125" style="15" customWidth="1"/>
    <col min="2566" max="2566" width="2.5703125" style="15" customWidth="1"/>
    <col min="2567" max="2568" width="10.5703125" style="15" customWidth="1"/>
    <col min="2569" max="2569" width="2.5703125" style="15" customWidth="1"/>
    <col min="2570" max="2571" width="10.5703125" style="15" customWidth="1"/>
    <col min="2572" max="2572" width="2.5703125" style="15" customWidth="1"/>
    <col min="2573" max="2573" width="12.140625" style="15" bestFit="1" customWidth="1"/>
    <col min="2574" max="2574" width="10.5703125" style="15" customWidth="1"/>
    <col min="2575" max="2575" width="2.5703125" style="15" customWidth="1"/>
    <col min="2576" max="2577" width="10.5703125" style="15" customWidth="1"/>
    <col min="2578" max="2578" width="2.7109375" style="15" customWidth="1"/>
    <col min="2579" max="2580" width="9.28515625" style="15" bestFit="1" customWidth="1"/>
    <col min="2581" max="2581" width="2.7109375" style="15" customWidth="1"/>
    <col min="2582" max="2583" width="10.42578125" style="15" bestFit="1" customWidth="1"/>
    <col min="2584" max="2584" width="2.5703125" style="15" customWidth="1"/>
    <col min="2585" max="2586" width="10.42578125" style="15" customWidth="1"/>
    <col min="2587" max="2587" width="2.5703125" style="15" customWidth="1"/>
    <col min="2588" max="2589" width="10.42578125" style="15" customWidth="1"/>
    <col min="2590" max="2590" width="2.7109375" style="15" customWidth="1"/>
    <col min="2591" max="2591" width="11.5703125" style="15" bestFit="1" customWidth="1"/>
    <col min="2592" max="2592" width="10.42578125" style="15" bestFit="1" customWidth="1"/>
    <col min="2593" max="2593" width="6.42578125" style="15" bestFit="1" customWidth="1"/>
    <col min="2594" max="2594" width="5.85546875" style="15" bestFit="1" customWidth="1"/>
    <col min="2595" max="2595" width="10.42578125" style="15" bestFit="1" customWidth="1"/>
    <col min="2596" max="2596" width="8.7109375" style="15" bestFit="1" customWidth="1"/>
    <col min="2597" max="2597" width="2.7109375" style="15" customWidth="1"/>
    <col min="2598" max="2598" width="5.85546875" style="15" bestFit="1" customWidth="1"/>
    <col min="2599" max="2599" width="12.7109375" style="15" bestFit="1" customWidth="1"/>
    <col min="2600" max="2600" width="11.5703125" style="15" bestFit="1" customWidth="1"/>
    <col min="2601" max="2601" width="2.7109375" style="15" customWidth="1"/>
    <col min="2602" max="2602" width="12.7109375" style="15" bestFit="1" customWidth="1"/>
    <col min="2603" max="2603" width="9.140625" style="15"/>
    <col min="2604" max="2604" width="21.7109375" style="15" bestFit="1" customWidth="1"/>
    <col min="2605" max="2605" width="9.140625" style="15"/>
    <col min="2606" max="2606" width="10.7109375" style="15" customWidth="1"/>
    <col min="2607" max="2607" width="10" style="15" bestFit="1" customWidth="1"/>
    <col min="2608" max="2816" width="9.140625" style="15"/>
    <col min="2817" max="2817" width="6.42578125" style="15" bestFit="1" customWidth="1"/>
    <col min="2818" max="2818" width="6" style="15" bestFit="1" customWidth="1"/>
    <col min="2819" max="2819" width="2.7109375" style="15" customWidth="1"/>
    <col min="2820" max="2821" width="10.42578125" style="15" customWidth="1"/>
    <col min="2822" max="2822" width="2.5703125" style="15" customWidth="1"/>
    <col min="2823" max="2824" width="10.5703125" style="15" customWidth="1"/>
    <col min="2825" max="2825" width="2.5703125" style="15" customWidth="1"/>
    <col min="2826" max="2827" width="10.5703125" style="15" customWidth="1"/>
    <col min="2828" max="2828" width="2.5703125" style="15" customWidth="1"/>
    <col min="2829" max="2829" width="12.140625" style="15" bestFit="1" customWidth="1"/>
    <col min="2830" max="2830" width="10.5703125" style="15" customWidth="1"/>
    <col min="2831" max="2831" width="2.5703125" style="15" customWidth="1"/>
    <col min="2832" max="2833" width="10.5703125" style="15" customWidth="1"/>
    <col min="2834" max="2834" width="2.7109375" style="15" customWidth="1"/>
    <col min="2835" max="2836" width="9.28515625" style="15" bestFit="1" customWidth="1"/>
    <col min="2837" max="2837" width="2.7109375" style="15" customWidth="1"/>
    <col min="2838" max="2839" width="10.42578125" style="15" bestFit="1" customWidth="1"/>
    <col min="2840" max="2840" width="2.5703125" style="15" customWidth="1"/>
    <col min="2841" max="2842" width="10.42578125" style="15" customWidth="1"/>
    <col min="2843" max="2843" width="2.5703125" style="15" customWidth="1"/>
    <col min="2844" max="2845" width="10.42578125" style="15" customWidth="1"/>
    <col min="2846" max="2846" width="2.7109375" style="15" customWidth="1"/>
    <col min="2847" max="2847" width="11.5703125" style="15" bestFit="1" customWidth="1"/>
    <col min="2848" max="2848" width="10.42578125" style="15" bestFit="1" customWidth="1"/>
    <col min="2849" max="2849" width="6.42578125" style="15" bestFit="1" customWidth="1"/>
    <col min="2850" max="2850" width="5.85546875" style="15" bestFit="1" customWidth="1"/>
    <col min="2851" max="2851" width="10.42578125" style="15" bestFit="1" customWidth="1"/>
    <col min="2852" max="2852" width="8.7109375" style="15" bestFit="1" customWidth="1"/>
    <col min="2853" max="2853" width="2.7109375" style="15" customWidth="1"/>
    <col min="2854" max="2854" width="5.85546875" style="15" bestFit="1" customWidth="1"/>
    <col min="2855" max="2855" width="12.7109375" style="15" bestFit="1" customWidth="1"/>
    <col min="2856" max="2856" width="11.5703125" style="15" bestFit="1" customWidth="1"/>
    <col min="2857" max="2857" width="2.7109375" style="15" customWidth="1"/>
    <col min="2858" max="2858" width="12.7109375" style="15" bestFit="1" customWidth="1"/>
    <col min="2859" max="2859" width="9.140625" style="15"/>
    <col min="2860" max="2860" width="21.7109375" style="15" bestFit="1" customWidth="1"/>
    <col min="2861" max="2861" width="9.140625" style="15"/>
    <col min="2862" max="2862" width="10.7109375" style="15" customWidth="1"/>
    <col min="2863" max="2863" width="10" style="15" bestFit="1" customWidth="1"/>
    <col min="2864" max="3072" width="9.140625" style="15"/>
    <col min="3073" max="3073" width="6.42578125" style="15" bestFit="1" customWidth="1"/>
    <col min="3074" max="3074" width="6" style="15" bestFit="1" customWidth="1"/>
    <col min="3075" max="3075" width="2.7109375" style="15" customWidth="1"/>
    <col min="3076" max="3077" width="10.42578125" style="15" customWidth="1"/>
    <col min="3078" max="3078" width="2.5703125" style="15" customWidth="1"/>
    <col min="3079" max="3080" width="10.5703125" style="15" customWidth="1"/>
    <col min="3081" max="3081" width="2.5703125" style="15" customWidth="1"/>
    <col min="3082" max="3083" width="10.5703125" style="15" customWidth="1"/>
    <col min="3084" max="3084" width="2.5703125" style="15" customWidth="1"/>
    <col min="3085" max="3085" width="12.140625" style="15" bestFit="1" customWidth="1"/>
    <col min="3086" max="3086" width="10.5703125" style="15" customWidth="1"/>
    <col min="3087" max="3087" width="2.5703125" style="15" customWidth="1"/>
    <col min="3088" max="3089" width="10.5703125" style="15" customWidth="1"/>
    <col min="3090" max="3090" width="2.7109375" style="15" customWidth="1"/>
    <col min="3091" max="3092" width="9.28515625" style="15" bestFit="1" customWidth="1"/>
    <col min="3093" max="3093" width="2.7109375" style="15" customWidth="1"/>
    <col min="3094" max="3095" width="10.42578125" style="15" bestFit="1" customWidth="1"/>
    <col min="3096" max="3096" width="2.5703125" style="15" customWidth="1"/>
    <col min="3097" max="3098" width="10.42578125" style="15" customWidth="1"/>
    <col min="3099" max="3099" width="2.5703125" style="15" customWidth="1"/>
    <col min="3100" max="3101" width="10.42578125" style="15" customWidth="1"/>
    <col min="3102" max="3102" width="2.7109375" style="15" customWidth="1"/>
    <col min="3103" max="3103" width="11.5703125" style="15" bestFit="1" customWidth="1"/>
    <col min="3104" max="3104" width="10.42578125" style="15" bestFit="1" customWidth="1"/>
    <col min="3105" max="3105" width="6.42578125" style="15" bestFit="1" customWidth="1"/>
    <col min="3106" max="3106" width="5.85546875" style="15" bestFit="1" customWidth="1"/>
    <col min="3107" max="3107" width="10.42578125" style="15" bestFit="1" customWidth="1"/>
    <col min="3108" max="3108" width="8.7109375" style="15" bestFit="1" customWidth="1"/>
    <col min="3109" max="3109" width="2.7109375" style="15" customWidth="1"/>
    <col min="3110" max="3110" width="5.85546875" style="15" bestFit="1" customWidth="1"/>
    <col min="3111" max="3111" width="12.7109375" style="15" bestFit="1" customWidth="1"/>
    <col min="3112" max="3112" width="11.5703125" style="15" bestFit="1" customWidth="1"/>
    <col min="3113" max="3113" width="2.7109375" style="15" customWidth="1"/>
    <col min="3114" max="3114" width="12.7109375" style="15" bestFit="1" customWidth="1"/>
    <col min="3115" max="3115" width="9.140625" style="15"/>
    <col min="3116" max="3116" width="21.7109375" style="15" bestFit="1" customWidth="1"/>
    <col min="3117" max="3117" width="9.140625" style="15"/>
    <col min="3118" max="3118" width="10.7109375" style="15" customWidth="1"/>
    <col min="3119" max="3119" width="10" style="15" bestFit="1" customWidth="1"/>
    <col min="3120" max="3328" width="9.140625" style="15"/>
    <col min="3329" max="3329" width="6.42578125" style="15" bestFit="1" customWidth="1"/>
    <col min="3330" max="3330" width="6" style="15" bestFit="1" customWidth="1"/>
    <col min="3331" max="3331" width="2.7109375" style="15" customWidth="1"/>
    <col min="3332" max="3333" width="10.42578125" style="15" customWidth="1"/>
    <col min="3334" max="3334" width="2.5703125" style="15" customWidth="1"/>
    <col min="3335" max="3336" width="10.5703125" style="15" customWidth="1"/>
    <col min="3337" max="3337" width="2.5703125" style="15" customWidth="1"/>
    <col min="3338" max="3339" width="10.5703125" style="15" customWidth="1"/>
    <col min="3340" max="3340" width="2.5703125" style="15" customWidth="1"/>
    <col min="3341" max="3341" width="12.140625" style="15" bestFit="1" customWidth="1"/>
    <col min="3342" max="3342" width="10.5703125" style="15" customWidth="1"/>
    <col min="3343" max="3343" width="2.5703125" style="15" customWidth="1"/>
    <col min="3344" max="3345" width="10.5703125" style="15" customWidth="1"/>
    <col min="3346" max="3346" width="2.7109375" style="15" customWidth="1"/>
    <col min="3347" max="3348" width="9.28515625" style="15" bestFit="1" customWidth="1"/>
    <col min="3349" max="3349" width="2.7109375" style="15" customWidth="1"/>
    <col min="3350" max="3351" width="10.42578125" style="15" bestFit="1" customWidth="1"/>
    <col min="3352" max="3352" width="2.5703125" style="15" customWidth="1"/>
    <col min="3353" max="3354" width="10.42578125" style="15" customWidth="1"/>
    <col min="3355" max="3355" width="2.5703125" style="15" customWidth="1"/>
    <col min="3356" max="3357" width="10.42578125" style="15" customWidth="1"/>
    <col min="3358" max="3358" width="2.7109375" style="15" customWidth="1"/>
    <col min="3359" max="3359" width="11.5703125" style="15" bestFit="1" customWidth="1"/>
    <col min="3360" max="3360" width="10.42578125" style="15" bestFit="1" customWidth="1"/>
    <col min="3361" max="3361" width="6.42578125" style="15" bestFit="1" customWidth="1"/>
    <col min="3362" max="3362" width="5.85546875" style="15" bestFit="1" customWidth="1"/>
    <col min="3363" max="3363" width="10.42578125" style="15" bestFit="1" customWidth="1"/>
    <col min="3364" max="3364" width="8.7109375" style="15" bestFit="1" customWidth="1"/>
    <col min="3365" max="3365" width="2.7109375" style="15" customWidth="1"/>
    <col min="3366" max="3366" width="5.85546875" style="15" bestFit="1" customWidth="1"/>
    <col min="3367" max="3367" width="12.7109375" style="15" bestFit="1" customWidth="1"/>
    <col min="3368" max="3368" width="11.5703125" style="15" bestFit="1" customWidth="1"/>
    <col min="3369" max="3369" width="2.7109375" style="15" customWidth="1"/>
    <col min="3370" max="3370" width="12.7109375" style="15" bestFit="1" customWidth="1"/>
    <col min="3371" max="3371" width="9.140625" style="15"/>
    <col min="3372" max="3372" width="21.7109375" style="15" bestFit="1" customWidth="1"/>
    <col min="3373" max="3373" width="9.140625" style="15"/>
    <col min="3374" max="3374" width="10.7109375" style="15" customWidth="1"/>
    <col min="3375" max="3375" width="10" style="15" bestFit="1" customWidth="1"/>
    <col min="3376" max="3584" width="9.140625" style="15"/>
    <col min="3585" max="3585" width="6.42578125" style="15" bestFit="1" customWidth="1"/>
    <col min="3586" max="3586" width="6" style="15" bestFit="1" customWidth="1"/>
    <col min="3587" max="3587" width="2.7109375" style="15" customWidth="1"/>
    <col min="3588" max="3589" width="10.42578125" style="15" customWidth="1"/>
    <col min="3590" max="3590" width="2.5703125" style="15" customWidth="1"/>
    <col min="3591" max="3592" width="10.5703125" style="15" customWidth="1"/>
    <col min="3593" max="3593" width="2.5703125" style="15" customWidth="1"/>
    <col min="3594" max="3595" width="10.5703125" style="15" customWidth="1"/>
    <col min="3596" max="3596" width="2.5703125" style="15" customWidth="1"/>
    <col min="3597" max="3597" width="12.140625" style="15" bestFit="1" customWidth="1"/>
    <col min="3598" max="3598" width="10.5703125" style="15" customWidth="1"/>
    <col min="3599" max="3599" width="2.5703125" style="15" customWidth="1"/>
    <col min="3600" max="3601" width="10.5703125" style="15" customWidth="1"/>
    <col min="3602" max="3602" width="2.7109375" style="15" customWidth="1"/>
    <col min="3603" max="3604" width="9.28515625" style="15" bestFit="1" customWidth="1"/>
    <col min="3605" max="3605" width="2.7109375" style="15" customWidth="1"/>
    <col min="3606" max="3607" width="10.42578125" style="15" bestFit="1" customWidth="1"/>
    <col min="3608" max="3608" width="2.5703125" style="15" customWidth="1"/>
    <col min="3609" max="3610" width="10.42578125" style="15" customWidth="1"/>
    <col min="3611" max="3611" width="2.5703125" style="15" customWidth="1"/>
    <col min="3612" max="3613" width="10.42578125" style="15" customWidth="1"/>
    <col min="3614" max="3614" width="2.7109375" style="15" customWidth="1"/>
    <col min="3615" max="3615" width="11.5703125" style="15" bestFit="1" customWidth="1"/>
    <col min="3616" max="3616" width="10.42578125" style="15" bestFit="1" customWidth="1"/>
    <col min="3617" max="3617" width="6.42578125" style="15" bestFit="1" customWidth="1"/>
    <col min="3618" max="3618" width="5.85546875" style="15" bestFit="1" customWidth="1"/>
    <col min="3619" max="3619" width="10.42578125" style="15" bestFit="1" customWidth="1"/>
    <col min="3620" max="3620" width="8.7109375" style="15" bestFit="1" customWidth="1"/>
    <col min="3621" max="3621" width="2.7109375" style="15" customWidth="1"/>
    <col min="3622" max="3622" width="5.85546875" style="15" bestFit="1" customWidth="1"/>
    <col min="3623" max="3623" width="12.7109375" style="15" bestFit="1" customWidth="1"/>
    <col min="3624" max="3624" width="11.5703125" style="15" bestFit="1" customWidth="1"/>
    <col min="3625" max="3625" width="2.7109375" style="15" customWidth="1"/>
    <col min="3626" max="3626" width="12.7109375" style="15" bestFit="1" customWidth="1"/>
    <col min="3627" max="3627" width="9.140625" style="15"/>
    <col min="3628" max="3628" width="21.7109375" style="15" bestFit="1" customWidth="1"/>
    <col min="3629" max="3629" width="9.140625" style="15"/>
    <col min="3630" max="3630" width="10.7109375" style="15" customWidth="1"/>
    <col min="3631" max="3631" width="10" style="15" bestFit="1" customWidth="1"/>
    <col min="3632" max="3840" width="9.140625" style="15"/>
    <col min="3841" max="3841" width="6.42578125" style="15" bestFit="1" customWidth="1"/>
    <col min="3842" max="3842" width="6" style="15" bestFit="1" customWidth="1"/>
    <col min="3843" max="3843" width="2.7109375" style="15" customWidth="1"/>
    <col min="3844" max="3845" width="10.42578125" style="15" customWidth="1"/>
    <col min="3846" max="3846" width="2.5703125" style="15" customWidth="1"/>
    <col min="3847" max="3848" width="10.5703125" style="15" customWidth="1"/>
    <col min="3849" max="3849" width="2.5703125" style="15" customWidth="1"/>
    <col min="3850" max="3851" width="10.5703125" style="15" customWidth="1"/>
    <col min="3852" max="3852" width="2.5703125" style="15" customWidth="1"/>
    <col min="3853" max="3853" width="12.140625" style="15" bestFit="1" customWidth="1"/>
    <col min="3854" max="3854" width="10.5703125" style="15" customWidth="1"/>
    <col min="3855" max="3855" width="2.5703125" style="15" customWidth="1"/>
    <col min="3856" max="3857" width="10.5703125" style="15" customWidth="1"/>
    <col min="3858" max="3858" width="2.7109375" style="15" customWidth="1"/>
    <col min="3859" max="3860" width="9.28515625" style="15" bestFit="1" customWidth="1"/>
    <col min="3861" max="3861" width="2.7109375" style="15" customWidth="1"/>
    <col min="3862" max="3863" width="10.42578125" style="15" bestFit="1" customWidth="1"/>
    <col min="3864" max="3864" width="2.5703125" style="15" customWidth="1"/>
    <col min="3865" max="3866" width="10.42578125" style="15" customWidth="1"/>
    <col min="3867" max="3867" width="2.5703125" style="15" customWidth="1"/>
    <col min="3868" max="3869" width="10.42578125" style="15" customWidth="1"/>
    <col min="3870" max="3870" width="2.7109375" style="15" customWidth="1"/>
    <col min="3871" max="3871" width="11.5703125" style="15" bestFit="1" customWidth="1"/>
    <col min="3872" max="3872" width="10.42578125" style="15" bestFit="1" customWidth="1"/>
    <col min="3873" max="3873" width="6.42578125" style="15" bestFit="1" customWidth="1"/>
    <col min="3874" max="3874" width="5.85546875" style="15" bestFit="1" customWidth="1"/>
    <col min="3875" max="3875" width="10.42578125" style="15" bestFit="1" customWidth="1"/>
    <col min="3876" max="3876" width="8.7109375" style="15" bestFit="1" customWidth="1"/>
    <col min="3877" max="3877" width="2.7109375" style="15" customWidth="1"/>
    <col min="3878" max="3878" width="5.85546875" style="15" bestFit="1" customWidth="1"/>
    <col min="3879" max="3879" width="12.7109375" style="15" bestFit="1" customWidth="1"/>
    <col min="3880" max="3880" width="11.5703125" style="15" bestFit="1" customWidth="1"/>
    <col min="3881" max="3881" width="2.7109375" style="15" customWidth="1"/>
    <col min="3882" max="3882" width="12.7109375" style="15" bestFit="1" customWidth="1"/>
    <col min="3883" max="3883" width="9.140625" style="15"/>
    <col min="3884" max="3884" width="21.7109375" style="15" bestFit="1" customWidth="1"/>
    <col min="3885" max="3885" width="9.140625" style="15"/>
    <col min="3886" max="3886" width="10.7109375" style="15" customWidth="1"/>
    <col min="3887" max="3887" width="10" style="15" bestFit="1" customWidth="1"/>
    <col min="3888" max="4096" width="9.140625" style="15"/>
    <col min="4097" max="4097" width="6.42578125" style="15" bestFit="1" customWidth="1"/>
    <col min="4098" max="4098" width="6" style="15" bestFit="1" customWidth="1"/>
    <col min="4099" max="4099" width="2.7109375" style="15" customWidth="1"/>
    <col min="4100" max="4101" width="10.42578125" style="15" customWidth="1"/>
    <col min="4102" max="4102" width="2.5703125" style="15" customWidth="1"/>
    <col min="4103" max="4104" width="10.5703125" style="15" customWidth="1"/>
    <col min="4105" max="4105" width="2.5703125" style="15" customWidth="1"/>
    <col min="4106" max="4107" width="10.5703125" style="15" customWidth="1"/>
    <col min="4108" max="4108" width="2.5703125" style="15" customWidth="1"/>
    <col min="4109" max="4109" width="12.140625" style="15" bestFit="1" customWidth="1"/>
    <col min="4110" max="4110" width="10.5703125" style="15" customWidth="1"/>
    <col min="4111" max="4111" width="2.5703125" style="15" customWidth="1"/>
    <col min="4112" max="4113" width="10.5703125" style="15" customWidth="1"/>
    <col min="4114" max="4114" width="2.7109375" style="15" customWidth="1"/>
    <col min="4115" max="4116" width="9.28515625" style="15" bestFit="1" customWidth="1"/>
    <col min="4117" max="4117" width="2.7109375" style="15" customWidth="1"/>
    <col min="4118" max="4119" width="10.42578125" style="15" bestFit="1" customWidth="1"/>
    <col min="4120" max="4120" width="2.5703125" style="15" customWidth="1"/>
    <col min="4121" max="4122" width="10.42578125" style="15" customWidth="1"/>
    <col min="4123" max="4123" width="2.5703125" style="15" customWidth="1"/>
    <col min="4124" max="4125" width="10.42578125" style="15" customWidth="1"/>
    <col min="4126" max="4126" width="2.7109375" style="15" customWidth="1"/>
    <col min="4127" max="4127" width="11.5703125" style="15" bestFit="1" customWidth="1"/>
    <col min="4128" max="4128" width="10.42578125" style="15" bestFit="1" customWidth="1"/>
    <col min="4129" max="4129" width="6.42578125" style="15" bestFit="1" customWidth="1"/>
    <col min="4130" max="4130" width="5.85546875" style="15" bestFit="1" customWidth="1"/>
    <col min="4131" max="4131" width="10.42578125" style="15" bestFit="1" customWidth="1"/>
    <col min="4132" max="4132" width="8.7109375" style="15" bestFit="1" customWidth="1"/>
    <col min="4133" max="4133" width="2.7109375" style="15" customWidth="1"/>
    <col min="4134" max="4134" width="5.85546875" style="15" bestFit="1" customWidth="1"/>
    <col min="4135" max="4135" width="12.7109375" style="15" bestFit="1" customWidth="1"/>
    <col min="4136" max="4136" width="11.5703125" style="15" bestFit="1" customWidth="1"/>
    <col min="4137" max="4137" width="2.7109375" style="15" customWidth="1"/>
    <col min="4138" max="4138" width="12.7109375" style="15" bestFit="1" customWidth="1"/>
    <col min="4139" max="4139" width="9.140625" style="15"/>
    <col min="4140" max="4140" width="21.7109375" style="15" bestFit="1" customWidth="1"/>
    <col min="4141" max="4141" width="9.140625" style="15"/>
    <col min="4142" max="4142" width="10.7109375" style="15" customWidth="1"/>
    <col min="4143" max="4143" width="10" style="15" bestFit="1" customWidth="1"/>
    <col min="4144" max="4352" width="9.140625" style="15"/>
    <col min="4353" max="4353" width="6.42578125" style="15" bestFit="1" customWidth="1"/>
    <col min="4354" max="4354" width="6" style="15" bestFit="1" customWidth="1"/>
    <col min="4355" max="4355" width="2.7109375" style="15" customWidth="1"/>
    <col min="4356" max="4357" width="10.42578125" style="15" customWidth="1"/>
    <col min="4358" max="4358" width="2.5703125" style="15" customWidth="1"/>
    <col min="4359" max="4360" width="10.5703125" style="15" customWidth="1"/>
    <col min="4361" max="4361" width="2.5703125" style="15" customWidth="1"/>
    <col min="4362" max="4363" width="10.5703125" style="15" customWidth="1"/>
    <col min="4364" max="4364" width="2.5703125" style="15" customWidth="1"/>
    <col min="4365" max="4365" width="12.140625" style="15" bestFit="1" customWidth="1"/>
    <col min="4366" max="4366" width="10.5703125" style="15" customWidth="1"/>
    <col min="4367" max="4367" width="2.5703125" style="15" customWidth="1"/>
    <col min="4368" max="4369" width="10.5703125" style="15" customWidth="1"/>
    <col min="4370" max="4370" width="2.7109375" style="15" customWidth="1"/>
    <col min="4371" max="4372" width="9.28515625" style="15" bestFit="1" customWidth="1"/>
    <col min="4373" max="4373" width="2.7109375" style="15" customWidth="1"/>
    <col min="4374" max="4375" width="10.42578125" style="15" bestFit="1" customWidth="1"/>
    <col min="4376" max="4376" width="2.5703125" style="15" customWidth="1"/>
    <col min="4377" max="4378" width="10.42578125" style="15" customWidth="1"/>
    <col min="4379" max="4379" width="2.5703125" style="15" customWidth="1"/>
    <col min="4380" max="4381" width="10.42578125" style="15" customWidth="1"/>
    <col min="4382" max="4382" width="2.7109375" style="15" customWidth="1"/>
    <col min="4383" max="4383" width="11.5703125" style="15" bestFit="1" customWidth="1"/>
    <col min="4384" max="4384" width="10.42578125" style="15" bestFit="1" customWidth="1"/>
    <col min="4385" max="4385" width="6.42578125" style="15" bestFit="1" customWidth="1"/>
    <col min="4386" max="4386" width="5.85546875" style="15" bestFit="1" customWidth="1"/>
    <col min="4387" max="4387" width="10.42578125" style="15" bestFit="1" customWidth="1"/>
    <col min="4388" max="4388" width="8.7109375" style="15" bestFit="1" customWidth="1"/>
    <col min="4389" max="4389" width="2.7109375" style="15" customWidth="1"/>
    <col min="4390" max="4390" width="5.85546875" style="15" bestFit="1" customWidth="1"/>
    <col min="4391" max="4391" width="12.7109375" style="15" bestFit="1" customWidth="1"/>
    <col min="4392" max="4392" width="11.5703125" style="15" bestFit="1" customWidth="1"/>
    <col min="4393" max="4393" width="2.7109375" style="15" customWidth="1"/>
    <col min="4394" max="4394" width="12.7109375" style="15" bestFit="1" customWidth="1"/>
    <col min="4395" max="4395" width="9.140625" style="15"/>
    <col min="4396" max="4396" width="21.7109375" style="15" bestFit="1" customWidth="1"/>
    <col min="4397" max="4397" width="9.140625" style="15"/>
    <col min="4398" max="4398" width="10.7109375" style="15" customWidth="1"/>
    <col min="4399" max="4399" width="10" style="15" bestFit="1" customWidth="1"/>
    <col min="4400" max="4608" width="9.140625" style="15"/>
    <col min="4609" max="4609" width="6.42578125" style="15" bestFit="1" customWidth="1"/>
    <col min="4610" max="4610" width="6" style="15" bestFit="1" customWidth="1"/>
    <col min="4611" max="4611" width="2.7109375" style="15" customWidth="1"/>
    <col min="4612" max="4613" width="10.42578125" style="15" customWidth="1"/>
    <col min="4614" max="4614" width="2.5703125" style="15" customWidth="1"/>
    <col min="4615" max="4616" width="10.5703125" style="15" customWidth="1"/>
    <col min="4617" max="4617" width="2.5703125" style="15" customWidth="1"/>
    <col min="4618" max="4619" width="10.5703125" style="15" customWidth="1"/>
    <col min="4620" max="4620" width="2.5703125" style="15" customWidth="1"/>
    <col min="4621" max="4621" width="12.140625" style="15" bestFit="1" customWidth="1"/>
    <col min="4622" max="4622" width="10.5703125" style="15" customWidth="1"/>
    <col min="4623" max="4623" width="2.5703125" style="15" customWidth="1"/>
    <col min="4624" max="4625" width="10.5703125" style="15" customWidth="1"/>
    <col min="4626" max="4626" width="2.7109375" style="15" customWidth="1"/>
    <col min="4627" max="4628" width="9.28515625" style="15" bestFit="1" customWidth="1"/>
    <col min="4629" max="4629" width="2.7109375" style="15" customWidth="1"/>
    <col min="4630" max="4631" width="10.42578125" style="15" bestFit="1" customWidth="1"/>
    <col min="4632" max="4632" width="2.5703125" style="15" customWidth="1"/>
    <col min="4633" max="4634" width="10.42578125" style="15" customWidth="1"/>
    <col min="4635" max="4635" width="2.5703125" style="15" customWidth="1"/>
    <col min="4636" max="4637" width="10.42578125" style="15" customWidth="1"/>
    <col min="4638" max="4638" width="2.7109375" style="15" customWidth="1"/>
    <col min="4639" max="4639" width="11.5703125" style="15" bestFit="1" customWidth="1"/>
    <col min="4640" max="4640" width="10.42578125" style="15" bestFit="1" customWidth="1"/>
    <col min="4641" max="4641" width="6.42578125" style="15" bestFit="1" customWidth="1"/>
    <col min="4642" max="4642" width="5.85546875" style="15" bestFit="1" customWidth="1"/>
    <col min="4643" max="4643" width="10.42578125" style="15" bestFit="1" customWidth="1"/>
    <col min="4644" max="4644" width="8.7109375" style="15" bestFit="1" customWidth="1"/>
    <col min="4645" max="4645" width="2.7109375" style="15" customWidth="1"/>
    <col min="4646" max="4646" width="5.85546875" style="15" bestFit="1" customWidth="1"/>
    <col min="4647" max="4647" width="12.7109375" style="15" bestFit="1" customWidth="1"/>
    <col min="4648" max="4648" width="11.5703125" style="15" bestFit="1" customWidth="1"/>
    <col min="4649" max="4649" width="2.7109375" style="15" customWidth="1"/>
    <col min="4650" max="4650" width="12.7109375" style="15" bestFit="1" customWidth="1"/>
    <col min="4651" max="4651" width="9.140625" style="15"/>
    <col min="4652" max="4652" width="21.7109375" style="15" bestFit="1" customWidth="1"/>
    <col min="4653" max="4653" width="9.140625" style="15"/>
    <col min="4654" max="4654" width="10.7109375" style="15" customWidth="1"/>
    <col min="4655" max="4655" width="10" style="15" bestFit="1" customWidth="1"/>
    <col min="4656" max="4864" width="9.140625" style="15"/>
    <col min="4865" max="4865" width="6.42578125" style="15" bestFit="1" customWidth="1"/>
    <col min="4866" max="4866" width="6" style="15" bestFit="1" customWidth="1"/>
    <col min="4867" max="4867" width="2.7109375" style="15" customWidth="1"/>
    <col min="4868" max="4869" width="10.42578125" style="15" customWidth="1"/>
    <col min="4870" max="4870" width="2.5703125" style="15" customWidth="1"/>
    <col min="4871" max="4872" width="10.5703125" style="15" customWidth="1"/>
    <col min="4873" max="4873" width="2.5703125" style="15" customWidth="1"/>
    <col min="4874" max="4875" width="10.5703125" style="15" customWidth="1"/>
    <col min="4876" max="4876" width="2.5703125" style="15" customWidth="1"/>
    <col min="4877" max="4877" width="12.140625" style="15" bestFit="1" customWidth="1"/>
    <col min="4878" max="4878" width="10.5703125" style="15" customWidth="1"/>
    <col min="4879" max="4879" width="2.5703125" style="15" customWidth="1"/>
    <col min="4880" max="4881" width="10.5703125" style="15" customWidth="1"/>
    <col min="4882" max="4882" width="2.7109375" style="15" customWidth="1"/>
    <col min="4883" max="4884" width="9.28515625" style="15" bestFit="1" customWidth="1"/>
    <col min="4885" max="4885" width="2.7109375" style="15" customWidth="1"/>
    <col min="4886" max="4887" width="10.42578125" style="15" bestFit="1" customWidth="1"/>
    <col min="4888" max="4888" width="2.5703125" style="15" customWidth="1"/>
    <col min="4889" max="4890" width="10.42578125" style="15" customWidth="1"/>
    <col min="4891" max="4891" width="2.5703125" style="15" customWidth="1"/>
    <col min="4892" max="4893" width="10.42578125" style="15" customWidth="1"/>
    <col min="4894" max="4894" width="2.7109375" style="15" customWidth="1"/>
    <col min="4895" max="4895" width="11.5703125" style="15" bestFit="1" customWidth="1"/>
    <col min="4896" max="4896" width="10.42578125" style="15" bestFit="1" customWidth="1"/>
    <col min="4897" max="4897" width="6.42578125" style="15" bestFit="1" customWidth="1"/>
    <col min="4898" max="4898" width="5.85546875" style="15" bestFit="1" customWidth="1"/>
    <col min="4899" max="4899" width="10.42578125" style="15" bestFit="1" customWidth="1"/>
    <col min="4900" max="4900" width="8.7109375" style="15" bestFit="1" customWidth="1"/>
    <col min="4901" max="4901" width="2.7109375" style="15" customWidth="1"/>
    <col min="4902" max="4902" width="5.85546875" style="15" bestFit="1" customWidth="1"/>
    <col min="4903" max="4903" width="12.7109375" style="15" bestFit="1" customWidth="1"/>
    <col min="4904" max="4904" width="11.5703125" style="15" bestFit="1" customWidth="1"/>
    <col min="4905" max="4905" width="2.7109375" style="15" customWidth="1"/>
    <col min="4906" max="4906" width="12.7109375" style="15" bestFit="1" customWidth="1"/>
    <col min="4907" max="4907" width="9.140625" style="15"/>
    <col min="4908" max="4908" width="21.7109375" style="15" bestFit="1" customWidth="1"/>
    <col min="4909" max="4909" width="9.140625" style="15"/>
    <col min="4910" max="4910" width="10.7109375" style="15" customWidth="1"/>
    <col min="4911" max="4911" width="10" style="15" bestFit="1" customWidth="1"/>
    <col min="4912" max="5120" width="9.140625" style="15"/>
    <col min="5121" max="5121" width="6.42578125" style="15" bestFit="1" customWidth="1"/>
    <col min="5122" max="5122" width="6" style="15" bestFit="1" customWidth="1"/>
    <col min="5123" max="5123" width="2.7109375" style="15" customWidth="1"/>
    <col min="5124" max="5125" width="10.42578125" style="15" customWidth="1"/>
    <col min="5126" max="5126" width="2.5703125" style="15" customWidth="1"/>
    <col min="5127" max="5128" width="10.5703125" style="15" customWidth="1"/>
    <col min="5129" max="5129" width="2.5703125" style="15" customWidth="1"/>
    <col min="5130" max="5131" width="10.5703125" style="15" customWidth="1"/>
    <col min="5132" max="5132" width="2.5703125" style="15" customWidth="1"/>
    <col min="5133" max="5133" width="12.140625" style="15" bestFit="1" customWidth="1"/>
    <col min="5134" max="5134" width="10.5703125" style="15" customWidth="1"/>
    <col min="5135" max="5135" width="2.5703125" style="15" customWidth="1"/>
    <col min="5136" max="5137" width="10.5703125" style="15" customWidth="1"/>
    <col min="5138" max="5138" width="2.7109375" style="15" customWidth="1"/>
    <col min="5139" max="5140" width="9.28515625" style="15" bestFit="1" customWidth="1"/>
    <col min="5141" max="5141" width="2.7109375" style="15" customWidth="1"/>
    <col min="5142" max="5143" width="10.42578125" style="15" bestFit="1" customWidth="1"/>
    <col min="5144" max="5144" width="2.5703125" style="15" customWidth="1"/>
    <col min="5145" max="5146" width="10.42578125" style="15" customWidth="1"/>
    <col min="5147" max="5147" width="2.5703125" style="15" customWidth="1"/>
    <col min="5148" max="5149" width="10.42578125" style="15" customWidth="1"/>
    <col min="5150" max="5150" width="2.7109375" style="15" customWidth="1"/>
    <col min="5151" max="5151" width="11.5703125" style="15" bestFit="1" customWidth="1"/>
    <col min="5152" max="5152" width="10.42578125" style="15" bestFit="1" customWidth="1"/>
    <col min="5153" max="5153" width="6.42578125" style="15" bestFit="1" customWidth="1"/>
    <col min="5154" max="5154" width="5.85546875" style="15" bestFit="1" customWidth="1"/>
    <col min="5155" max="5155" width="10.42578125" style="15" bestFit="1" customWidth="1"/>
    <col min="5156" max="5156" width="8.7109375" style="15" bestFit="1" customWidth="1"/>
    <col min="5157" max="5157" width="2.7109375" style="15" customWidth="1"/>
    <col min="5158" max="5158" width="5.85546875" style="15" bestFit="1" customWidth="1"/>
    <col min="5159" max="5159" width="12.7109375" style="15" bestFit="1" customWidth="1"/>
    <col min="5160" max="5160" width="11.5703125" style="15" bestFit="1" customWidth="1"/>
    <col min="5161" max="5161" width="2.7109375" style="15" customWidth="1"/>
    <col min="5162" max="5162" width="12.7109375" style="15" bestFit="1" customWidth="1"/>
    <col min="5163" max="5163" width="9.140625" style="15"/>
    <col min="5164" max="5164" width="21.7109375" style="15" bestFit="1" customWidth="1"/>
    <col min="5165" max="5165" width="9.140625" style="15"/>
    <col min="5166" max="5166" width="10.7109375" style="15" customWidth="1"/>
    <col min="5167" max="5167" width="10" style="15" bestFit="1" customWidth="1"/>
    <col min="5168" max="5376" width="9.140625" style="15"/>
    <col min="5377" max="5377" width="6.42578125" style="15" bestFit="1" customWidth="1"/>
    <col min="5378" max="5378" width="6" style="15" bestFit="1" customWidth="1"/>
    <col min="5379" max="5379" width="2.7109375" style="15" customWidth="1"/>
    <col min="5380" max="5381" width="10.42578125" style="15" customWidth="1"/>
    <col min="5382" max="5382" width="2.5703125" style="15" customWidth="1"/>
    <col min="5383" max="5384" width="10.5703125" style="15" customWidth="1"/>
    <col min="5385" max="5385" width="2.5703125" style="15" customWidth="1"/>
    <col min="5386" max="5387" width="10.5703125" style="15" customWidth="1"/>
    <col min="5388" max="5388" width="2.5703125" style="15" customWidth="1"/>
    <col min="5389" max="5389" width="12.140625" style="15" bestFit="1" customWidth="1"/>
    <col min="5390" max="5390" width="10.5703125" style="15" customWidth="1"/>
    <col min="5391" max="5391" width="2.5703125" style="15" customWidth="1"/>
    <col min="5392" max="5393" width="10.5703125" style="15" customWidth="1"/>
    <col min="5394" max="5394" width="2.7109375" style="15" customWidth="1"/>
    <col min="5395" max="5396" width="9.28515625" style="15" bestFit="1" customWidth="1"/>
    <col min="5397" max="5397" width="2.7109375" style="15" customWidth="1"/>
    <col min="5398" max="5399" width="10.42578125" style="15" bestFit="1" customWidth="1"/>
    <col min="5400" max="5400" width="2.5703125" style="15" customWidth="1"/>
    <col min="5401" max="5402" width="10.42578125" style="15" customWidth="1"/>
    <col min="5403" max="5403" width="2.5703125" style="15" customWidth="1"/>
    <col min="5404" max="5405" width="10.42578125" style="15" customWidth="1"/>
    <col min="5406" max="5406" width="2.7109375" style="15" customWidth="1"/>
    <col min="5407" max="5407" width="11.5703125" style="15" bestFit="1" customWidth="1"/>
    <col min="5408" max="5408" width="10.42578125" style="15" bestFit="1" customWidth="1"/>
    <col min="5409" max="5409" width="6.42578125" style="15" bestFit="1" customWidth="1"/>
    <col min="5410" max="5410" width="5.85546875" style="15" bestFit="1" customWidth="1"/>
    <col min="5411" max="5411" width="10.42578125" style="15" bestFit="1" customWidth="1"/>
    <col min="5412" max="5412" width="8.7109375" style="15" bestFit="1" customWidth="1"/>
    <col min="5413" max="5413" width="2.7109375" style="15" customWidth="1"/>
    <col min="5414" max="5414" width="5.85546875" style="15" bestFit="1" customWidth="1"/>
    <col min="5415" max="5415" width="12.7109375" style="15" bestFit="1" customWidth="1"/>
    <col min="5416" max="5416" width="11.5703125" style="15" bestFit="1" customWidth="1"/>
    <col min="5417" max="5417" width="2.7109375" style="15" customWidth="1"/>
    <col min="5418" max="5418" width="12.7109375" style="15" bestFit="1" customWidth="1"/>
    <col min="5419" max="5419" width="9.140625" style="15"/>
    <col min="5420" max="5420" width="21.7109375" style="15" bestFit="1" customWidth="1"/>
    <col min="5421" max="5421" width="9.140625" style="15"/>
    <col min="5422" max="5422" width="10.7109375" style="15" customWidth="1"/>
    <col min="5423" max="5423" width="10" style="15" bestFit="1" customWidth="1"/>
    <col min="5424" max="5632" width="9.140625" style="15"/>
    <col min="5633" max="5633" width="6.42578125" style="15" bestFit="1" customWidth="1"/>
    <col min="5634" max="5634" width="6" style="15" bestFit="1" customWidth="1"/>
    <col min="5635" max="5635" width="2.7109375" style="15" customWidth="1"/>
    <col min="5636" max="5637" width="10.42578125" style="15" customWidth="1"/>
    <col min="5638" max="5638" width="2.5703125" style="15" customWidth="1"/>
    <col min="5639" max="5640" width="10.5703125" style="15" customWidth="1"/>
    <col min="5641" max="5641" width="2.5703125" style="15" customWidth="1"/>
    <col min="5642" max="5643" width="10.5703125" style="15" customWidth="1"/>
    <col min="5644" max="5644" width="2.5703125" style="15" customWidth="1"/>
    <col min="5645" max="5645" width="12.140625" style="15" bestFit="1" customWidth="1"/>
    <col min="5646" max="5646" width="10.5703125" style="15" customWidth="1"/>
    <col min="5647" max="5647" width="2.5703125" style="15" customWidth="1"/>
    <col min="5648" max="5649" width="10.5703125" style="15" customWidth="1"/>
    <col min="5650" max="5650" width="2.7109375" style="15" customWidth="1"/>
    <col min="5651" max="5652" width="9.28515625" style="15" bestFit="1" customWidth="1"/>
    <col min="5653" max="5653" width="2.7109375" style="15" customWidth="1"/>
    <col min="5654" max="5655" width="10.42578125" style="15" bestFit="1" customWidth="1"/>
    <col min="5656" max="5656" width="2.5703125" style="15" customWidth="1"/>
    <col min="5657" max="5658" width="10.42578125" style="15" customWidth="1"/>
    <col min="5659" max="5659" width="2.5703125" style="15" customWidth="1"/>
    <col min="5660" max="5661" width="10.42578125" style="15" customWidth="1"/>
    <col min="5662" max="5662" width="2.7109375" style="15" customWidth="1"/>
    <col min="5663" max="5663" width="11.5703125" style="15" bestFit="1" customWidth="1"/>
    <col min="5664" max="5664" width="10.42578125" style="15" bestFit="1" customWidth="1"/>
    <col min="5665" max="5665" width="6.42578125" style="15" bestFit="1" customWidth="1"/>
    <col min="5666" max="5666" width="5.85546875" style="15" bestFit="1" customWidth="1"/>
    <col min="5667" max="5667" width="10.42578125" style="15" bestFit="1" customWidth="1"/>
    <col min="5668" max="5668" width="8.7109375" style="15" bestFit="1" customWidth="1"/>
    <col min="5669" max="5669" width="2.7109375" style="15" customWidth="1"/>
    <col min="5670" max="5670" width="5.85546875" style="15" bestFit="1" customWidth="1"/>
    <col min="5671" max="5671" width="12.7109375" style="15" bestFit="1" customWidth="1"/>
    <col min="5672" max="5672" width="11.5703125" style="15" bestFit="1" customWidth="1"/>
    <col min="5673" max="5673" width="2.7109375" style="15" customWidth="1"/>
    <col min="5674" max="5674" width="12.7109375" style="15" bestFit="1" customWidth="1"/>
    <col min="5675" max="5675" width="9.140625" style="15"/>
    <col min="5676" max="5676" width="21.7109375" style="15" bestFit="1" customWidth="1"/>
    <col min="5677" max="5677" width="9.140625" style="15"/>
    <col min="5678" max="5678" width="10.7109375" style="15" customWidth="1"/>
    <col min="5679" max="5679" width="10" style="15" bestFit="1" customWidth="1"/>
    <col min="5680" max="5888" width="9.140625" style="15"/>
    <col min="5889" max="5889" width="6.42578125" style="15" bestFit="1" customWidth="1"/>
    <col min="5890" max="5890" width="6" style="15" bestFit="1" customWidth="1"/>
    <col min="5891" max="5891" width="2.7109375" style="15" customWidth="1"/>
    <col min="5892" max="5893" width="10.42578125" style="15" customWidth="1"/>
    <col min="5894" max="5894" width="2.5703125" style="15" customWidth="1"/>
    <col min="5895" max="5896" width="10.5703125" style="15" customWidth="1"/>
    <col min="5897" max="5897" width="2.5703125" style="15" customWidth="1"/>
    <col min="5898" max="5899" width="10.5703125" style="15" customWidth="1"/>
    <col min="5900" max="5900" width="2.5703125" style="15" customWidth="1"/>
    <col min="5901" max="5901" width="12.140625" style="15" bestFit="1" customWidth="1"/>
    <col min="5902" max="5902" width="10.5703125" style="15" customWidth="1"/>
    <col min="5903" max="5903" width="2.5703125" style="15" customWidth="1"/>
    <col min="5904" max="5905" width="10.5703125" style="15" customWidth="1"/>
    <col min="5906" max="5906" width="2.7109375" style="15" customWidth="1"/>
    <col min="5907" max="5908" width="9.28515625" style="15" bestFit="1" customWidth="1"/>
    <col min="5909" max="5909" width="2.7109375" style="15" customWidth="1"/>
    <col min="5910" max="5911" width="10.42578125" style="15" bestFit="1" customWidth="1"/>
    <col min="5912" max="5912" width="2.5703125" style="15" customWidth="1"/>
    <col min="5913" max="5914" width="10.42578125" style="15" customWidth="1"/>
    <col min="5915" max="5915" width="2.5703125" style="15" customWidth="1"/>
    <col min="5916" max="5917" width="10.42578125" style="15" customWidth="1"/>
    <col min="5918" max="5918" width="2.7109375" style="15" customWidth="1"/>
    <col min="5919" max="5919" width="11.5703125" style="15" bestFit="1" customWidth="1"/>
    <col min="5920" max="5920" width="10.42578125" style="15" bestFit="1" customWidth="1"/>
    <col min="5921" max="5921" width="6.42578125" style="15" bestFit="1" customWidth="1"/>
    <col min="5922" max="5922" width="5.85546875" style="15" bestFit="1" customWidth="1"/>
    <col min="5923" max="5923" width="10.42578125" style="15" bestFit="1" customWidth="1"/>
    <col min="5924" max="5924" width="8.7109375" style="15" bestFit="1" customWidth="1"/>
    <col min="5925" max="5925" width="2.7109375" style="15" customWidth="1"/>
    <col min="5926" max="5926" width="5.85546875" style="15" bestFit="1" customWidth="1"/>
    <col min="5927" max="5927" width="12.7109375" style="15" bestFit="1" customWidth="1"/>
    <col min="5928" max="5928" width="11.5703125" style="15" bestFit="1" customWidth="1"/>
    <col min="5929" max="5929" width="2.7109375" style="15" customWidth="1"/>
    <col min="5930" max="5930" width="12.7109375" style="15" bestFit="1" customWidth="1"/>
    <col min="5931" max="5931" width="9.140625" style="15"/>
    <col min="5932" max="5932" width="21.7109375" style="15" bestFit="1" customWidth="1"/>
    <col min="5933" max="5933" width="9.140625" style="15"/>
    <col min="5934" max="5934" width="10.7109375" style="15" customWidth="1"/>
    <col min="5935" max="5935" width="10" style="15" bestFit="1" customWidth="1"/>
    <col min="5936" max="6144" width="9.140625" style="15"/>
    <col min="6145" max="6145" width="6.42578125" style="15" bestFit="1" customWidth="1"/>
    <col min="6146" max="6146" width="6" style="15" bestFit="1" customWidth="1"/>
    <col min="6147" max="6147" width="2.7109375" style="15" customWidth="1"/>
    <col min="6148" max="6149" width="10.42578125" style="15" customWidth="1"/>
    <col min="6150" max="6150" width="2.5703125" style="15" customWidth="1"/>
    <col min="6151" max="6152" width="10.5703125" style="15" customWidth="1"/>
    <col min="6153" max="6153" width="2.5703125" style="15" customWidth="1"/>
    <col min="6154" max="6155" width="10.5703125" style="15" customWidth="1"/>
    <col min="6156" max="6156" width="2.5703125" style="15" customWidth="1"/>
    <col min="6157" max="6157" width="12.140625" style="15" bestFit="1" customWidth="1"/>
    <col min="6158" max="6158" width="10.5703125" style="15" customWidth="1"/>
    <col min="6159" max="6159" width="2.5703125" style="15" customWidth="1"/>
    <col min="6160" max="6161" width="10.5703125" style="15" customWidth="1"/>
    <col min="6162" max="6162" width="2.7109375" style="15" customWidth="1"/>
    <col min="6163" max="6164" width="9.28515625" style="15" bestFit="1" customWidth="1"/>
    <col min="6165" max="6165" width="2.7109375" style="15" customWidth="1"/>
    <col min="6166" max="6167" width="10.42578125" style="15" bestFit="1" customWidth="1"/>
    <col min="6168" max="6168" width="2.5703125" style="15" customWidth="1"/>
    <col min="6169" max="6170" width="10.42578125" style="15" customWidth="1"/>
    <col min="6171" max="6171" width="2.5703125" style="15" customWidth="1"/>
    <col min="6172" max="6173" width="10.42578125" style="15" customWidth="1"/>
    <col min="6174" max="6174" width="2.7109375" style="15" customWidth="1"/>
    <col min="6175" max="6175" width="11.5703125" style="15" bestFit="1" customWidth="1"/>
    <col min="6176" max="6176" width="10.42578125" style="15" bestFit="1" customWidth="1"/>
    <col min="6177" max="6177" width="6.42578125" style="15" bestFit="1" customWidth="1"/>
    <col min="6178" max="6178" width="5.85546875" style="15" bestFit="1" customWidth="1"/>
    <col min="6179" max="6179" width="10.42578125" style="15" bestFit="1" customWidth="1"/>
    <col min="6180" max="6180" width="8.7109375" style="15" bestFit="1" customWidth="1"/>
    <col min="6181" max="6181" width="2.7109375" style="15" customWidth="1"/>
    <col min="6182" max="6182" width="5.85546875" style="15" bestFit="1" customWidth="1"/>
    <col min="6183" max="6183" width="12.7109375" style="15" bestFit="1" customWidth="1"/>
    <col min="6184" max="6184" width="11.5703125" style="15" bestFit="1" customWidth="1"/>
    <col min="6185" max="6185" width="2.7109375" style="15" customWidth="1"/>
    <col min="6186" max="6186" width="12.7109375" style="15" bestFit="1" customWidth="1"/>
    <col min="6187" max="6187" width="9.140625" style="15"/>
    <col min="6188" max="6188" width="21.7109375" style="15" bestFit="1" customWidth="1"/>
    <col min="6189" max="6189" width="9.140625" style="15"/>
    <col min="6190" max="6190" width="10.7109375" style="15" customWidth="1"/>
    <col min="6191" max="6191" width="10" style="15" bestFit="1" customWidth="1"/>
    <col min="6192" max="6400" width="9.140625" style="15"/>
    <col min="6401" max="6401" width="6.42578125" style="15" bestFit="1" customWidth="1"/>
    <col min="6402" max="6402" width="6" style="15" bestFit="1" customWidth="1"/>
    <col min="6403" max="6403" width="2.7109375" style="15" customWidth="1"/>
    <col min="6404" max="6405" width="10.42578125" style="15" customWidth="1"/>
    <col min="6406" max="6406" width="2.5703125" style="15" customWidth="1"/>
    <col min="6407" max="6408" width="10.5703125" style="15" customWidth="1"/>
    <col min="6409" max="6409" width="2.5703125" style="15" customWidth="1"/>
    <col min="6410" max="6411" width="10.5703125" style="15" customWidth="1"/>
    <col min="6412" max="6412" width="2.5703125" style="15" customWidth="1"/>
    <col min="6413" max="6413" width="12.140625" style="15" bestFit="1" customWidth="1"/>
    <col min="6414" max="6414" width="10.5703125" style="15" customWidth="1"/>
    <col min="6415" max="6415" width="2.5703125" style="15" customWidth="1"/>
    <col min="6416" max="6417" width="10.5703125" style="15" customWidth="1"/>
    <col min="6418" max="6418" width="2.7109375" style="15" customWidth="1"/>
    <col min="6419" max="6420" width="9.28515625" style="15" bestFit="1" customWidth="1"/>
    <col min="6421" max="6421" width="2.7109375" style="15" customWidth="1"/>
    <col min="6422" max="6423" width="10.42578125" style="15" bestFit="1" customWidth="1"/>
    <col min="6424" max="6424" width="2.5703125" style="15" customWidth="1"/>
    <col min="6425" max="6426" width="10.42578125" style="15" customWidth="1"/>
    <col min="6427" max="6427" width="2.5703125" style="15" customWidth="1"/>
    <col min="6428" max="6429" width="10.42578125" style="15" customWidth="1"/>
    <col min="6430" max="6430" width="2.7109375" style="15" customWidth="1"/>
    <col min="6431" max="6431" width="11.5703125" style="15" bestFit="1" customWidth="1"/>
    <col min="6432" max="6432" width="10.42578125" style="15" bestFit="1" customWidth="1"/>
    <col min="6433" max="6433" width="6.42578125" style="15" bestFit="1" customWidth="1"/>
    <col min="6434" max="6434" width="5.85546875" style="15" bestFit="1" customWidth="1"/>
    <col min="6435" max="6435" width="10.42578125" style="15" bestFit="1" customWidth="1"/>
    <col min="6436" max="6436" width="8.7109375" style="15" bestFit="1" customWidth="1"/>
    <col min="6437" max="6437" width="2.7109375" style="15" customWidth="1"/>
    <col min="6438" max="6438" width="5.85546875" style="15" bestFit="1" customWidth="1"/>
    <col min="6439" max="6439" width="12.7109375" style="15" bestFit="1" customWidth="1"/>
    <col min="6440" max="6440" width="11.5703125" style="15" bestFit="1" customWidth="1"/>
    <col min="6441" max="6441" width="2.7109375" style="15" customWidth="1"/>
    <col min="6442" max="6442" width="12.7109375" style="15" bestFit="1" customWidth="1"/>
    <col min="6443" max="6443" width="9.140625" style="15"/>
    <col min="6444" max="6444" width="21.7109375" style="15" bestFit="1" customWidth="1"/>
    <col min="6445" max="6445" width="9.140625" style="15"/>
    <col min="6446" max="6446" width="10.7109375" style="15" customWidth="1"/>
    <col min="6447" max="6447" width="10" style="15" bestFit="1" customWidth="1"/>
    <col min="6448" max="6656" width="9.140625" style="15"/>
    <col min="6657" max="6657" width="6.42578125" style="15" bestFit="1" customWidth="1"/>
    <col min="6658" max="6658" width="6" style="15" bestFit="1" customWidth="1"/>
    <col min="6659" max="6659" width="2.7109375" style="15" customWidth="1"/>
    <col min="6660" max="6661" width="10.42578125" style="15" customWidth="1"/>
    <col min="6662" max="6662" width="2.5703125" style="15" customWidth="1"/>
    <col min="6663" max="6664" width="10.5703125" style="15" customWidth="1"/>
    <col min="6665" max="6665" width="2.5703125" style="15" customWidth="1"/>
    <col min="6666" max="6667" width="10.5703125" style="15" customWidth="1"/>
    <col min="6668" max="6668" width="2.5703125" style="15" customWidth="1"/>
    <col min="6669" max="6669" width="12.140625" style="15" bestFit="1" customWidth="1"/>
    <col min="6670" max="6670" width="10.5703125" style="15" customWidth="1"/>
    <col min="6671" max="6671" width="2.5703125" style="15" customWidth="1"/>
    <col min="6672" max="6673" width="10.5703125" style="15" customWidth="1"/>
    <col min="6674" max="6674" width="2.7109375" style="15" customWidth="1"/>
    <col min="6675" max="6676" width="9.28515625" style="15" bestFit="1" customWidth="1"/>
    <col min="6677" max="6677" width="2.7109375" style="15" customWidth="1"/>
    <col min="6678" max="6679" width="10.42578125" style="15" bestFit="1" customWidth="1"/>
    <col min="6680" max="6680" width="2.5703125" style="15" customWidth="1"/>
    <col min="6681" max="6682" width="10.42578125" style="15" customWidth="1"/>
    <col min="6683" max="6683" width="2.5703125" style="15" customWidth="1"/>
    <col min="6684" max="6685" width="10.42578125" style="15" customWidth="1"/>
    <col min="6686" max="6686" width="2.7109375" style="15" customWidth="1"/>
    <col min="6687" max="6687" width="11.5703125" style="15" bestFit="1" customWidth="1"/>
    <col min="6688" max="6688" width="10.42578125" style="15" bestFit="1" customWidth="1"/>
    <col min="6689" max="6689" width="6.42578125" style="15" bestFit="1" customWidth="1"/>
    <col min="6690" max="6690" width="5.85546875" style="15" bestFit="1" customWidth="1"/>
    <col min="6691" max="6691" width="10.42578125" style="15" bestFit="1" customWidth="1"/>
    <col min="6692" max="6692" width="8.7109375" style="15" bestFit="1" customWidth="1"/>
    <col min="6693" max="6693" width="2.7109375" style="15" customWidth="1"/>
    <col min="6694" max="6694" width="5.85546875" style="15" bestFit="1" customWidth="1"/>
    <col min="6695" max="6695" width="12.7109375" style="15" bestFit="1" customWidth="1"/>
    <col min="6696" max="6696" width="11.5703125" style="15" bestFit="1" customWidth="1"/>
    <col min="6697" max="6697" width="2.7109375" style="15" customWidth="1"/>
    <col min="6698" max="6698" width="12.7109375" style="15" bestFit="1" customWidth="1"/>
    <col min="6699" max="6699" width="9.140625" style="15"/>
    <col min="6700" max="6700" width="21.7109375" style="15" bestFit="1" customWidth="1"/>
    <col min="6701" max="6701" width="9.140625" style="15"/>
    <col min="6702" max="6702" width="10.7109375" style="15" customWidth="1"/>
    <col min="6703" max="6703" width="10" style="15" bestFit="1" customWidth="1"/>
    <col min="6704" max="6912" width="9.140625" style="15"/>
    <col min="6913" max="6913" width="6.42578125" style="15" bestFit="1" customWidth="1"/>
    <col min="6914" max="6914" width="6" style="15" bestFit="1" customWidth="1"/>
    <col min="6915" max="6915" width="2.7109375" style="15" customWidth="1"/>
    <col min="6916" max="6917" width="10.42578125" style="15" customWidth="1"/>
    <col min="6918" max="6918" width="2.5703125" style="15" customWidth="1"/>
    <col min="6919" max="6920" width="10.5703125" style="15" customWidth="1"/>
    <col min="6921" max="6921" width="2.5703125" style="15" customWidth="1"/>
    <col min="6922" max="6923" width="10.5703125" style="15" customWidth="1"/>
    <col min="6924" max="6924" width="2.5703125" style="15" customWidth="1"/>
    <col min="6925" max="6925" width="12.140625" style="15" bestFit="1" customWidth="1"/>
    <col min="6926" max="6926" width="10.5703125" style="15" customWidth="1"/>
    <col min="6927" max="6927" width="2.5703125" style="15" customWidth="1"/>
    <col min="6928" max="6929" width="10.5703125" style="15" customWidth="1"/>
    <col min="6930" max="6930" width="2.7109375" style="15" customWidth="1"/>
    <col min="6931" max="6932" width="9.28515625" style="15" bestFit="1" customWidth="1"/>
    <col min="6933" max="6933" width="2.7109375" style="15" customWidth="1"/>
    <col min="6934" max="6935" width="10.42578125" style="15" bestFit="1" customWidth="1"/>
    <col min="6936" max="6936" width="2.5703125" style="15" customWidth="1"/>
    <col min="6937" max="6938" width="10.42578125" style="15" customWidth="1"/>
    <col min="6939" max="6939" width="2.5703125" style="15" customWidth="1"/>
    <col min="6940" max="6941" width="10.42578125" style="15" customWidth="1"/>
    <col min="6942" max="6942" width="2.7109375" style="15" customWidth="1"/>
    <col min="6943" max="6943" width="11.5703125" style="15" bestFit="1" customWidth="1"/>
    <col min="6944" max="6944" width="10.42578125" style="15" bestFit="1" customWidth="1"/>
    <col min="6945" max="6945" width="6.42578125" style="15" bestFit="1" customWidth="1"/>
    <col min="6946" max="6946" width="5.85546875" style="15" bestFit="1" customWidth="1"/>
    <col min="6947" max="6947" width="10.42578125" style="15" bestFit="1" customWidth="1"/>
    <col min="6948" max="6948" width="8.7109375" style="15" bestFit="1" customWidth="1"/>
    <col min="6949" max="6949" width="2.7109375" style="15" customWidth="1"/>
    <col min="6950" max="6950" width="5.85546875" style="15" bestFit="1" customWidth="1"/>
    <col min="6951" max="6951" width="12.7109375" style="15" bestFit="1" customWidth="1"/>
    <col min="6952" max="6952" width="11.5703125" style="15" bestFit="1" customWidth="1"/>
    <col min="6953" max="6953" width="2.7109375" style="15" customWidth="1"/>
    <col min="6954" max="6954" width="12.7109375" style="15" bestFit="1" customWidth="1"/>
    <col min="6955" max="6955" width="9.140625" style="15"/>
    <col min="6956" max="6956" width="21.7109375" style="15" bestFit="1" customWidth="1"/>
    <col min="6957" max="6957" width="9.140625" style="15"/>
    <col min="6958" max="6958" width="10.7109375" style="15" customWidth="1"/>
    <col min="6959" max="6959" width="10" style="15" bestFit="1" customWidth="1"/>
    <col min="6960" max="7168" width="9.140625" style="15"/>
    <col min="7169" max="7169" width="6.42578125" style="15" bestFit="1" customWidth="1"/>
    <col min="7170" max="7170" width="6" style="15" bestFit="1" customWidth="1"/>
    <col min="7171" max="7171" width="2.7109375" style="15" customWidth="1"/>
    <col min="7172" max="7173" width="10.42578125" style="15" customWidth="1"/>
    <col min="7174" max="7174" width="2.5703125" style="15" customWidth="1"/>
    <col min="7175" max="7176" width="10.5703125" style="15" customWidth="1"/>
    <col min="7177" max="7177" width="2.5703125" style="15" customWidth="1"/>
    <col min="7178" max="7179" width="10.5703125" style="15" customWidth="1"/>
    <col min="7180" max="7180" width="2.5703125" style="15" customWidth="1"/>
    <col min="7181" max="7181" width="12.140625" style="15" bestFit="1" customWidth="1"/>
    <col min="7182" max="7182" width="10.5703125" style="15" customWidth="1"/>
    <col min="7183" max="7183" width="2.5703125" style="15" customWidth="1"/>
    <col min="7184" max="7185" width="10.5703125" style="15" customWidth="1"/>
    <col min="7186" max="7186" width="2.7109375" style="15" customWidth="1"/>
    <col min="7187" max="7188" width="9.28515625" style="15" bestFit="1" customWidth="1"/>
    <col min="7189" max="7189" width="2.7109375" style="15" customWidth="1"/>
    <col min="7190" max="7191" width="10.42578125" style="15" bestFit="1" customWidth="1"/>
    <col min="7192" max="7192" width="2.5703125" style="15" customWidth="1"/>
    <col min="7193" max="7194" width="10.42578125" style="15" customWidth="1"/>
    <col min="7195" max="7195" width="2.5703125" style="15" customWidth="1"/>
    <col min="7196" max="7197" width="10.42578125" style="15" customWidth="1"/>
    <col min="7198" max="7198" width="2.7109375" style="15" customWidth="1"/>
    <col min="7199" max="7199" width="11.5703125" style="15" bestFit="1" customWidth="1"/>
    <col min="7200" max="7200" width="10.42578125" style="15" bestFit="1" customWidth="1"/>
    <col min="7201" max="7201" width="6.42578125" style="15" bestFit="1" customWidth="1"/>
    <col min="7202" max="7202" width="5.85546875" style="15" bestFit="1" customWidth="1"/>
    <col min="7203" max="7203" width="10.42578125" style="15" bestFit="1" customWidth="1"/>
    <col min="7204" max="7204" width="8.7109375" style="15" bestFit="1" customWidth="1"/>
    <col min="7205" max="7205" width="2.7109375" style="15" customWidth="1"/>
    <col min="7206" max="7206" width="5.85546875" style="15" bestFit="1" customWidth="1"/>
    <col min="7207" max="7207" width="12.7109375" style="15" bestFit="1" customWidth="1"/>
    <col min="7208" max="7208" width="11.5703125" style="15" bestFit="1" customWidth="1"/>
    <col min="7209" max="7209" width="2.7109375" style="15" customWidth="1"/>
    <col min="7210" max="7210" width="12.7109375" style="15" bestFit="1" customWidth="1"/>
    <col min="7211" max="7211" width="9.140625" style="15"/>
    <col min="7212" max="7212" width="21.7109375" style="15" bestFit="1" customWidth="1"/>
    <col min="7213" max="7213" width="9.140625" style="15"/>
    <col min="7214" max="7214" width="10.7109375" style="15" customWidth="1"/>
    <col min="7215" max="7215" width="10" style="15" bestFit="1" customWidth="1"/>
    <col min="7216" max="7424" width="9.140625" style="15"/>
    <col min="7425" max="7425" width="6.42578125" style="15" bestFit="1" customWidth="1"/>
    <col min="7426" max="7426" width="6" style="15" bestFit="1" customWidth="1"/>
    <col min="7427" max="7427" width="2.7109375" style="15" customWidth="1"/>
    <col min="7428" max="7429" width="10.42578125" style="15" customWidth="1"/>
    <col min="7430" max="7430" width="2.5703125" style="15" customWidth="1"/>
    <col min="7431" max="7432" width="10.5703125" style="15" customWidth="1"/>
    <col min="7433" max="7433" width="2.5703125" style="15" customWidth="1"/>
    <col min="7434" max="7435" width="10.5703125" style="15" customWidth="1"/>
    <col min="7436" max="7436" width="2.5703125" style="15" customWidth="1"/>
    <col min="7437" max="7437" width="12.140625" style="15" bestFit="1" customWidth="1"/>
    <col min="7438" max="7438" width="10.5703125" style="15" customWidth="1"/>
    <col min="7439" max="7439" width="2.5703125" style="15" customWidth="1"/>
    <col min="7440" max="7441" width="10.5703125" style="15" customWidth="1"/>
    <col min="7442" max="7442" width="2.7109375" style="15" customWidth="1"/>
    <col min="7443" max="7444" width="9.28515625" style="15" bestFit="1" customWidth="1"/>
    <col min="7445" max="7445" width="2.7109375" style="15" customWidth="1"/>
    <col min="7446" max="7447" width="10.42578125" style="15" bestFit="1" customWidth="1"/>
    <col min="7448" max="7448" width="2.5703125" style="15" customWidth="1"/>
    <col min="7449" max="7450" width="10.42578125" style="15" customWidth="1"/>
    <col min="7451" max="7451" width="2.5703125" style="15" customWidth="1"/>
    <col min="7452" max="7453" width="10.42578125" style="15" customWidth="1"/>
    <col min="7454" max="7454" width="2.7109375" style="15" customWidth="1"/>
    <col min="7455" max="7455" width="11.5703125" style="15" bestFit="1" customWidth="1"/>
    <col min="7456" max="7456" width="10.42578125" style="15" bestFit="1" customWidth="1"/>
    <col min="7457" max="7457" width="6.42578125" style="15" bestFit="1" customWidth="1"/>
    <col min="7458" max="7458" width="5.85546875" style="15" bestFit="1" customWidth="1"/>
    <col min="7459" max="7459" width="10.42578125" style="15" bestFit="1" customWidth="1"/>
    <col min="7460" max="7460" width="8.7109375" style="15" bestFit="1" customWidth="1"/>
    <col min="7461" max="7461" width="2.7109375" style="15" customWidth="1"/>
    <col min="7462" max="7462" width="5.85546875" style="15" bestFit="1" customWidth="1"/>
    <col min="7463" max="7463" width="12.7109375" style="15" bestFit="1" customWidth="1"/>
    <col min="7464" max="7464" width="11.5703125" style="15" bestFit="1" customWidth="1"/>
    <col min="7465" max="7465" width="2.7109375" style="15" customWidth="1"/>
    <col min="7466" max="7466" width="12.7109375" style="15" bestFit="1" customWidth="1"/>
    <col min="7467" max="7467" width="9.140625" style="15"/>
    <col min="7468" max="7468" width="21.7109375" style="15" bestFit="1" customWidth="1"/>
    <col min="7469" max="7469" width="9.140625" style="15"/>
    <col min="7470" max="7470" width="10.7109375" style="15" customWidth="1"/>
    <col min="7471" max="7471" width="10" style="15" bestFit="1" customWidth="1"/>
    <col min="7472" max="7680" width="9.140625" style="15"/>
    <col min="7681" max="7681" width="6.42578125" style="15" bestFit="1" customWidth="1"/>
    <col min="7682" max="7682" width="6" style="15" bestFit="1" customWidth="1"/>
    <col min="7683" max="7683" width="2.7109375" style="15" customWidth="1"/>
    <col min="7684" max="7685" width="10.42578125" style="15" customWidth="1"/>
    <col min="7686" max="7686" width="2.5703125" style="15" customWidth="1"/>
    <col min="7687" max="7688" width="10.5703125" style="15" customWidth="1"/>
    <col min="7689" max="7689" width="2.5703125" style="15" customWidth="1"/>
    <col min="7690" max="7691" width="10.5703125" style="15" customWidth="1"/>
    <col min="7692" max="7692" width="2.5703125" style="15" customWidth="1"/>
    <col min="7693" max="7693" width="12.140625" style="15" bestFit="1" customWidth="1"/>
    <col min="7694" max="7694" width="10.5703125" style="15" customWidth="1"/>
    <col min="7695" max="7695" width="2.5703125" style="15" customWidth="1"/>
    <col min="7696" max="7697" width="10.5703125" style="15" customWidth="1"/>
    <col min="7698" max="7698" width="2.7109375" style="15" customWidth="1"/>
    <col min="7699" max="7700" width="9.28515625" style="15" bestFit="1" customWidth="1"/>
    <col min="7701" max="7701" width="2.7109375" style="15" customWidth="1"/>
    <col min="7702" max="7703" width="10.42578125" style="15" bestFit="1" customWidth="1"/>
    <col min="7704" max="7704" width="2.5703125" style="15" customWidth="1"/>
    <col min="7705" max="7706" width="10.42578125" style="15" customWidth="1"/>
    <col min="7707" max="7707" width="2.5703125" style="15" customWidth="1"/>
    <col min="7708" max="7709" width="10.42578125" style="15" customWidth="1"/>
    <col min="7710" max="7710" width="2.7109375" style="15" customWidth="1"/>
    <col min="7711" max="7711" width="11.5703125" style="15" bestFit="1" customWidth="1"/>
    <col min="7712" max="7712" width="10.42578125" style="15" bestFit="1" customWidth="1"/>
    <col min="7713" max="7713" width="6.42578125" style="15" bestFit="1" customWidth="1"/>
    <col min="7714" max="7714" width="5.85546875" style="15" bestFit="1" customWidth="1"/>
    <col min="7715" max="7715" width="10.42578125" style="15" bestFit="1" customWidth="1"/>
    <col min="7716" max="7716" width="8.7109375" style="15" bestFit="1" customWidth="1"/>
    <col min="7717" max="7717" width="2.7109375" style="15" customWidth="1"/>
    <col min="7718" max="7718" width="5.85546875" style="15" bestFit="1" customWidth="1"/>
    <col min="7719" max="7719" width="12.7109375" style="15" bestFit="1" customWidth="1"/>
    <col min="7720" max="7720" width="11.5703125" style="15" bestFit="1" customWidth="1"/>
    <col min="7721" max="7721" width="2.7109375" style="15" customWidth="1"/>
    <col min="7722" max="7722" width="12.7109375" style="15" bestFit="1" customWidth="1"/>
    <col min="7723" max="7723" width="9.140625" style="15"/>
    <col min="7724" max="7724" width="21.7109375" style="15" bestFit="1" customWidth="1"/>
    <col min="7725" max="7725" width="9.140625" style="15"/>
    <col min="7726" max="7726" width="10.7109375" style="15" customWidth="1"/>
    <col min="7727" max="7727" width="10" style="15" bestFit="1" customWidth="1"/>
    <col min="7728" max="7936" width="9.140625" style="15"/>
    <col min="7937" max="7937" width="6.42578125" style="15" bestFit="1" customWidth="1"/>
    <col min="7938" max="7938" width="6" style="15" bestFit="1" customWidth="1"/>
    <col min="7939" max="7939" width="2.7109375" style="15" customWidth="1"/>
    <col min="7940" max="7941" width="10.42578125" style="15" customWidth="1"/>
    <col min="7942" max="7942" width="2.5703125" style="15" customWidth="1"/>
    <col min="7943" max="7944" width="10.5703125" style="15" customWidth="1"/>
    <col min="7945" max="7945" width="2.5703125" style="15" customWidth="1"/>
    <col min="7946" max="7947" width="10.5703125" style="15" customWidth="1"/>
    <col min="7948" max="7948" width="2.5703125" style="15" customWidth="1"/>
    <col min="7949" max="7949" width="12.140625" style="15" bestFit="1" customWidth="1"/>
    <col min="7950" max="7950" width="10.5703125" style="15" customWidth="1"/>
    <col min="7951" max="7951" width="2.5703125" style="15" customWidth="1"/>
    <col min="7952" max="7953" width="10.5703125" style="15" customWidth="1"/>
    <col min="7954" max="7954" width="2.7109375" style="15" customWidth="1"/>
    <col min="7955" max="7956" width="9.28515625" style="15" bestFit="1" customWidth="1"/>
    <col min="7957" max="7957" width="2.7109375" style="15" customWidth="1"/>
    <col min="7958" max="7959" width="10.42578125" style="15" bestFit="1" customWidth="1"/>
    <col min="7960" max="7960" width="2.5703125" style="15" customWidth="1"/>
    <col min="7961" max="7962" width="10.42578125" style="15" customWidth="1"/>
    <col min="7963" max="7963" width="2.5703125" style="15" customWidth="1"/>
    <col min="7964" max="7965" width="10.42578125" style="15" customWidth="1"/>
    <col min="7966" max="7966" width="2.7109375" style="15" customWidth="1"/>
    <col min="7967" max="7967" width="11.5703125" style="15" bestFit="1" customWidth="1"/>
    <col min="7968" max="7968" width="10.42578125" style="15" bestFit="1" customWidth="1"/>
    <col min="7969" max="7969" width="6.42578125" style="15" bestFit="1" customWidth="1"/>
    <col min="7970" max="7970" width="5.85546875" style="15" bestFit="1" customWidth="1"/>
    <col min="7971" max="7971" width="10.42578125" style="15" bestFit="1" customWidth="1"/>
    <col min="7972" max="7972" width="8.7109375" style="15" bestFit="1" customWidth="1"/>
    <col min="7973" max="7973" width="2.7109375" style="15" customWidth="1"/>
    <col min="7974" max="7974" width="5.85546875" style="15" bestFit="1" customWidth="1"/>
    <col min="7975" max="7975" width="12.7109375" style="15" bestFit="1" customWidth="1"/>
    <col min="7976" max="7976" width="11.5703125" style="15" bestFit="1" customWidth="1"/>
    <col min="7977" max="7977" width="2.7109375" style="15" customWidth="1"/>
    <col min="7978" max="7978" width="12.7109375" style="15" bestFit="1" customWidth="1"/>
    <col min="7979" max="7979" width="9.140625" style="15"/>
    <col min="7980" max="7980" width="21.7109375" style="15" bestFit="1" customWidth="1"/>
    <col min="7981" max="7981" width="9.140625" style="15"/>
    <col min="7982" max="7982" width="10.7109375" style="15" customWidth="1"/>
    <col min="7983" max="7983" width="10" style="15" bestFit="1" customWidth="1"/>
    <col min="7984" max="8192" width="9.140625" style="15"/>
    <col min="8193" max="8193" width="6.42578125" style="15" bestFit="1" customWidth="1"/>
    <col min="8194" max="8194" width="6" style="15" bestFit="1" customWidth="1"/>
    <col min="8195" max="8195" width="2.7109375" style="15" customWidth="1"/>
    <col min="8196" max="8197" width="10.42578125" style="15" customWidth="1"/>
    <col min="8198" max="8198" width="2.5703125" style="15" customWidth="1"/>
    <col min="8199" max="8200" width="10.5703125" style="15" customWidth="1"/>
    <col min="8201" max="8201" width="2.5703125" style="15" customWidth="1"/>
    <col min="8202" max="8203" width="10.5703125" style="15" customWidth="1"/>
    <col min="8204" max="8204" width="2.5703125" style="15" customWidth="1"/>
    <col min="8205" max="8205" width="12.140625" style="15" bestFit="1" customWidth="1"/>
    <col min="8206" max="8206" width="10.5703125" style="15" customWidth="1"/>
    <col min="8207" max="8207" width="2.5703125" style="15" customWidth="1"/>
    <col min="8208" max="8209" width="10.5703125" style="15" customWidth="1"/>
    <col min="8210" max="8210" width="2.7109375" style="15" customWidth="1"/>
    <col min="8211" max="8212" width="9.28515625" style="15" bestFit="1" customWidth="1"/>
    <col min="8213" max="8213" width="2.7109375" style="15" customWidth="1"/>
    <col min="8214" max="8215" width="10.42578125" style="15" bestFit="1" customWidth="1"/>
    <col min="8216" max="8216" width="2.5703125" style="15" customWidth="1"/>
    <col min="8217" max="8218" width="10.42578125" style="15" customWidth="1"/>
    <col min="8219" max="8219" width="2.5703125" style="15" customWidth="1"/>
    <col min="8220" max="8221" width="10.42578125" style="15" customWidth="1"/>
    <col min="8222" max="8222" width="2.7109375" style="15" customWidth="1"/>
    <col min="8223" max="8223" width="11.5703125" style="15" bestFit="1" customWidth="1"/>
    <col min="8224" max="8224" width="10.42578125" style="15" bestFit="1" customWidth="1"/>
    <col min="8225" max="8225" width="6.42578125" style="15" bestFit="1" customWidth="1"/>
    <col min="8226" max="8226" width="5.85546875" style="15" bestFit="1" customWidth="1"/>
    <col min="8227" max="8227" width="10.42578125" style="15" bestFit="1" customWidth="1"/>
    <col min="8228" max="8228" width="8.7109375" style="15" bestFit="1" customWidth="1"/>
    <col min="8229" max="8229" width="2.7109375" style="15" customWidth="1"/>
    <col min="8230" max="8230" width="5.85546875" style="15" bestFit="1" customWidth="1"/>
    <col min="8231" max="8231" width="12.7109375" style="15" bestFit="1" customWidth="1"/>
    <col min="8232" max="8232" width="11.5703125" style="15" bestFit="1" customWidth="1"/>
    <col min="8233" max="8233" width="2.7109375" style="15" customWidth="1"/>
    <col min="8234" max="8234" width="12.7109375" style="15" bestFit="1" customWidth="1"/>
    <col min="8235" max="8235" width="9.140625" style="15"/>
    <col min="8236" max="8236" width="21.7109375" style="15" bestFit="1" customWidth="1"/>
    <col min="8237" max="8237" width="9.140625" style="15"/>
    <col min="8238" max="8238" width="10.7109375" style="15" customWidth="1"/>
    <col min="8239" max="8239" width="10" style="15" bestFit="1" customWidth="1"/>
    <col min="8240" max="8448" width="9.140625" style="15"/>
    <col min="8449" max="8449" width="6.42578125" style="15" bestFit="1" customWidth="1"/>
    <col min="8450" max="8450" width="6" style="15" bestFit="1" customWidth="1"/>
    <col min="8451" max="8451" width="2.7109375" style="15" customWidth="1"/>
    <col min="8452" max="8453" width="10.42578125" style="15" customWidth="1"/>
    <col min="8454" max="8454" width="2.5703125" style="15" customWidth="1"/>
    <col min="8455" max="8456" width="10.5703125" style="15" customWidth="1"/>
    <col min="8457" max="8457" width="2.5703125" style="15" customWidth="1"/>
    <col min="8458" max="8459" width="10.5703125" style="15" customWidth="1"/>
    <col min="8460" max="8460" width="2.5703125" style="15" customWidth="1"/>
    <col min="8461" max="8461" width="12.140625" style="15" bestFit="1" customWidth="1"/>
    <col min="8462" max="8462" width="10.5703125" style="15" customWidth="1"/>
    <col min="8463" max="8463" width="2.5703125" style="15" customWidth="1"/>
    <col min="8464" max="8465" width="10.5703125" style="15" customWidth="1"/>
    <col min="8466" max="8466" width="2.7109375" style="15" customWidth="1"/>
    <col min="8467" max="8468" width="9.28515625" style="15" bestFit="1" customWidth="1"/>
    <col min="8469" max="8469" width="2.7109375" style="15" customWidth="1"/>
    <col min="8470" max="8471" width="10.42578125" style="15" bestFit="1" customWidth="1"/>
    <col min="8472" max="8472" width="2.5703125" style="15" customWidth="1"/>
    <col min="8473" max="8474" width="10.42578125" style="15" customWidth="1"/>
    <col min="8475" max="8475" width="2.5703125" style="15" customWidth="1"/>
    <col min="8476" max="8477" width="10.42578125" style="15" customWidth="1"/>
    <col min="8478" max="8478" width="2.7109375" style="15" customWidth="1"/>
    <col min="8479" max="8479" width="11.5703125" style="15" bestFit="1" customWidth="1"/>
    <col min="8480" max="8480" width="10.42578125" style="15" bestFit="1" customWidth="1"/>
    <col min="8481" max="8481" width="6.42578125" style="15" bestFit="1" customWidth="1"/>
    <col min="8482" max="8482" width="5.85546875" style="15" bestFit="1" customWidth="1"/>
    <col min="8483" max="8483" width="10.42578125" style="15" bestFit="1" customWidth="1"/>
    <col min="8484" max="8484" width="8.7109375" style="15" bestFit="1" customWidth="1"/>
    <col min="8485" max="8485" width="2.7109375" style="15" customWidth="1"/>
    <col min="8486" max="8486" width="5.85546875" style="15" bestFit="1" customWidth="1"/>
    <col min="8487" max="8487" width="12.7109375" style="15" bestFit="1" customWidth="1"/>
    <col min="8488" max="8488" width="11.5703125" style="15" bestFit="1" customWidth="1"/>
    <col min="8489" max="8489" width="2.7109375" style="15" customWidth="1"/>
    <col min="8490" max="8490" width="12.7109375" style="15" bestFit="1" customWidth="1"/>
    <col min="8491" max="8491" width="9.140625" style="15"/>
    <col min="8492" max="8492" width="21.7109375" style="15" bestFit="1" customWidth="1"/>
    <col min="8493" max="8493" width="9.140625" style="15"/>
    <col min="8494" max="8494" width="10.7109375" style="15" customWidth="1"/>
    <col min="8495" max="8495" width="10" style="15" bestFit="1" customWidth="1"/>
    <col min="8496" max="8704" width="9.140625" style="15"/>
    <col min="8705" max="8705" width="6.42578125" style="15" bestFit="1" customWidth="1"/>
    <col min="8706" max="8706" width="6" style="15" bestFit="1" customWidth="1"/>
    <col min="8707" max="8707" width="2.7109375" style="15" customWidth="1"/>
    <col min="8708" max="8709" width="10.42578125" style="15" customWidth="1"/>
    <col min="8710" max="8710" width="2.5703125" style="15" customWidth="1"/>
    <col min="8711" max="8712" width="10.5703125" style="15" customWidth="1"/>
    <col min="8713" max="8713" width="2.5703125" style="15" customWidth="1"/>
    <col min="8714" max="8715" width="10.5703125" style="15" customWidth="1"/>
    <col min="8716" max="8716" width="2.5703125" style="15" customWidth="1"/>
    <col min="8717" max="8717" width="12.140625" style="15" bestFit="1" customWidth="1"/>
    <col min="8718" max="8718" width="10.5703125" style="15" customWidth="1"/>
    <col min="8719" max="8719" width="2.5703125" style="15" customWidth="1"/>
    <col min="8720" max="8721" width="10.5703125" style="15" customWidth="1"/>
    <col min="8722" max="8722" width="2.7109375" style="15" customWidth="1"/>
    <col min="8723" max="8724" width="9.28515625" style="15" bestFit="1" customWidth="1"/>
    <col min="8725" max="8725" width="2.7109375" style="15" customWidth="1"/>
    <col min="8726" max="8727" width="10.42578125" style="15" bestFit="1" customWidth="1"/>
    <col min="8728" max="8728" width="2.5703125" style="15" customWidth="1"/>
    <col min="8729" max="8730" width="10.42578125" style="15" customWidth="1"/>
    <col min="8731" max="8731" width="2.5703125" style="15" customWidth="1"/>
    <col min="8732" max="8733" width="10.42578125" style="15" customWidth="1"/>
    <col min="8734" max="8734" width="2.7109375" style="15" customWidth="1"/>
    <col min="8735" max="8735" width="11.5703125" style="15" bestFit="1" customWidth="1"/>
    <col min="8736" max="8736" width="10.42578125" style="15" bestFit="1" customWidth="1"/>
    <col min="8737" max="8737" width="6.42578125" style="15" bestFit="1" customWidth="1"/>
    <col min="8738" max="8738" width="5.85546875" style="15" bestFit="1" customWidth="1"/>
    <col min="8739" max="8739" width="10.42578125" style="15" bestFit="1" customWidth="1"/>
    <col min="8740" max="8740" width="8.7109375" style="15" bestFit="1" customWidth="1"/>
    <col min="8741" max="8741" width="2.7109375" style="15" customWidth="1"/>
    <col min="8742" max="8742" width="5.85546875" style="15" bestFit="1" customWidth="1"/>
    <col min="8743" max="8743" width="12.7109375" style="15" bestFit="1" customWidth="1"/>
    <col min="8744" max="8744" width="11.5703125" style="15" bestFit="1" customWidth="1"/>
    <col min="8745" max="8745" width="2.7109375" style="15" customWidth="1"/>
    <col min="8746" max="8746" width="12.7109375" style="15" bestFit="1" customWidth="1"/>
    <col min="8747" max="8747" width="9.140625" style="15"/>
    <col min="8748" max="8748" width="21.7109375" style="15" bestFit="1" customWidth="1"/>
    <col min="8749" max="8749" width="9.140625" style="15"/>
    <col min="8750" max="8750" width="10.7109375" style="15" customWidth="1"/>
    <col min="8751" max="8751" width="10" style="15" bestFit="1" customWidth="1"/>
    <col min="8752" max="8960" width="9.140625" style="15"/>
    <col min="8961" max="8961" width="6.42578125" style="15" bestFit="1" customWidth="1"/>
    <col min="8962" max="8962" width="6" style="15" bestFit="1" customWidth="1"/>
    <col min="8963" max="8963" width="2.7109375" style="15" customWidth="1"/>
    <col min="8964" max="8965" width="10.42578125" style="15" customWidth="1"/>
    <col min="8966" max="8966" width="2.5703125" style="15" customWidth="1"/>
    <col min="8967" max="8968" width="10.5703125" style="15" customWidth="1"/>
    <col min="8969" max="8969" width="2.5703125" style="15" customWidth="1"/>
    <col min="8970" max="8971" width="10.5703125" style="15" customWidth="1"/>
    <col min="8972" max="8972" width="2.5703125" style="15" customWidth="1"/>
    <col min="8973" max="8973" width="12.140625" style="15" bestFit="1" customWidth="1"/>
    <col min="8974" max="8974" width="10.5703125" style="15" customWidth="1"/>
    <col min="8975" max="8975" width="2.5703125" style="15" customWidth="1"/>
    <col min="8976" max="8977" width="10.5703125" style="15" customWidth="1"/>
    <col min="8978" max="8978" width="2.7109375" style="15" customWidth="1"/>
    <col min="8979" max="8980" width="9.28515625" style="15" bestFit="1" customWidth="1"/>
    <col min="8981" max="8981" width="2.7109375" style="15" customWidth="1"/>
    <col min="8982" max="8983" width="10.42578125" style="15" bestFit="1" customWidth="1"/>
    <col min="8984" max="8984" width="2.5703125" style="15" customWidth="1"/>
    <col min="8985" max="8986" width="10.42578125" style="15" customWidth="1"/>
    <col min="8987" max="8987" width="2.5703125" style="15" customWidth="1"/>
    <col min="8988" max="8989" width="10.42578125" style="15" customWidth="1"/>
    <col min="8990" max="8990" width="2.7109375" style="15" customWidth="1"/>
    <col min="8991" max="8991" width="11.5703125" style="15" bestFit="1" customWidth="1"/>
    <col min="8992" max="8992" width="10.42578125" style="15" bestFit="1" customWidth="1"/>
    <col min="8993" max="8993" width="6.42578125" style="15" bestFit="1" customWidth="1"/>
    <col min="8994" max="8994" width="5.85546875" style="15" bestFit="1" customWidth="1"/>
    <col min="8995" max="8995" width="10.42578125" style="15" bestFit="1" customWidth="1"/>
    <col min="8996" max="8996" width="8.7109375" style="15" bestFit="1" customWidth="1"/>
    <col min="8997" max="8997" width="2.7109375" style="15" customWidth="1"/>
    <col min="8998" max="8998" width="5.85546875" style="15" bestFit="1" customWidth="1"/>
    <col min="8999" max="8999" width="12.7109375" style="15" bestFit="1" customWidth="1"/>
    <col min="9000" max="9000" width="11.5703125" style="15" bestFit="1" customWidth="1"/>
    <col min="9001" max="9001" width="2.7109375" style="15" customWidth="1"/>
    <col min="9002" max="9002" width="12.7109375" style="15" bestFit="1" customWidth="1"/>
    <col min="9003" max="9003" width="9.140625" style="15"/>
    <col min="9004" max="9004" width="21.7109375" style="15" bestFit="1" customWidth="1"/>
    <col min="9005" max="9005" width="9.140625" style="15"/>
    <col min="9006" max="9006" width="10.7109375" style="15" customWidth="1"/>
    <col min="9007" max="9007" width="10" style="15" bestFit="1" customWidth="1"/>
    <col min="9008" max="9216" width="9.140625" style="15"/>
    <col min="9217" max="9217" width="6.42578125" style="15" bestFit="1" customWidth="1"/>
    <col min="9218" max="9218" width="6" style="15" bestFit="1" customWidth="1"/>
    <col min="9219" max="9219" width="2.7109375" style="15" customWidth="1"/>
    <col min="9220" max="9221" width="10.42578125" style="15" customWidth="1"/>
    <col min="9222" max="9222" width="2.5703125" style="15" customWidth="1"/>
    <col min="9223" max="9224" width="10.5703125" style="15" customWidth="1"/>
    <col min="9225" max="9225" width="2.5703125" style="15" customWidth="1"/>
    <col min="9226" max="9227" width="10.5703125" style="15" customWidth="1"/>
    <col min="9228" max="9228" width="2.5703125" style="15" customWidth="1"/>
    <col min="9229" max="9229" width="12.140625" style="15" bestFit="1" customWidth="1"/>
    <col min="9230" max="9230" width="10.5703125" style="15" customWidth="1"/>
    <col min="9231" max="9231" width="2.5703125" style="15" customWidth="1"/>
    <col min="9232" max="9233" width="10.5703125" style="15" customWidth="1"/>
    <col min="9234" max="9234" width="2.7109375" style="15" customWidth="1"/>
    <col min="9235" max="9236" width="9.28515625" style="15" bestFit="1" customWidth="1"/>
    <col min="9237" max="9237" width="2.7109375" style="15" customWidth="1"/>
    <col min="9238" max="9239" width="10.42578125" style="15" bestFit="1" customWidth="1"/>
    <col min="9240" max="9240" width="2.5703125" style="15" customWidth="1"/>
    <col min="9241" max="9242" width="10.42578125" style="15" customWidth="1"/>
    <col min="9243" max="9243" width="2.5703125" style="15" customWidth="1"/>
    <col min="9244" max="9245" width="10.42578125" style="15" customWidth="1"/>
    <col min="9246" max="9246" width="2.7109375" style="15" customWidth="1"/>
    <col min="9247" max="9247" width="11.5703125" style="15" bestFit="1" customWidth="1"/>
    <col min="9248" max="9248" width="10.42578125" style="15" bestFit="1" customWidth="1"/>
    <col min="9249" max="9249" width="6.42578125" style="15" bestFit="1" customWidth="1"/>
    <col min="9250" max="9250" width="5.85546875" style="15" bestFit="1" customWidth="1"/>
    <col min="9251" max="9251" width="10.42578125" style="15" bestFit="1" customWidth="1"/>
    <col min="9252" max="9252" width="8.7109375" style="15" bestFit="1" customWidth="1"/>
    <col min="9253" max="9253" width="2.7109375" style="15" customWidth="1"/>
    <col min="9254" max="9254" width="5.85546875" style="15" bestFit="1" customWidth="1"/>
    <col min="9255" max="9255" width="12.7109375" style="15" bestFit="1" customWidth="1"/>
    <col min="9256" max="9256" width="11.5703125" style="15" bestFit="1" customWidth="1"/>
    <col min="9257" max="9257" width="2.7109375" style="15" customWidth="1"/>
    <col min="9258" max="9258" width="12.7109375" style="15" bestFit="1" customWidth="1"/>
    <col min="9259" max="9259" width="9.140625" style="15"/>
    <col min="9260" max="9260" width="21.7109375" style="15" bestFit="1" customWidth="1"/>
    <col min="9261" max="9261" width="9.140625" style="15"/>
    <col min="9262" max="9262" width="10.7109375" style="15" customWidth="1"/>
    <col min="9263" max="9263" width="10" style="15" bestFit="1" customWidth="1"/>
    <col min="9264" max="9472" width="9.140625" style="15"/>
    <col min="9473" max="9473" width="6.42578125" style="15" bestFit="1" customWidth="1"/>
    <col min="9474" max="9474" width="6" style="15" bestFit="1" customWidth="1"/>
    <col min="9475" max="9475" width="2.7109375" style="15" customWidth="1"/>
    <col min="9476" max="9477" width="10.42578125" style="15" customWidth="1"/>
    <col min="9478" max="9478" width="2.5703125" style="15" customWidth="1"/>
    <col min="9479" max="9480" width="10.5703125" style="15" customWidth="1"/>
    <col min="9481" max="9481" width="2.5703125" style="15" customWidth="1"/>
    <col min="9482" max="9483" width="10.5703125" style="15" customWidth="1"/>
    <col min="9484" max="9484" width="2.5703125" style="15" customWidth="1"/>
    <col min="9485" max="9485" width="12.140625" style="15" bestFit="1" customWidth="1"/>
    <col min="9486" max="9486" width="10.5703125" style="15" customWidth="1"/>
    <col min="9487" max="9487" width="2.5703125" style="15" customWidth="1"/>
    <col min="9488" max="9489" width="10.5703125" style="15" customWidth="1"/>
    <col min="9490" max="9490" width="2.7109375" style="15" customWidth="1"/>
    <col min="9491" max="9492" width="9.28515625" style="15" bestFit="1" customWidth="1"/>
    <col min="9493" max="9493" width="2.7109375" style="15" customWidth="1"/>
    <col min="9494" max="9495" width="10.42578125" style="15" bestFit="1" customWidth="1"/>
    <col min="9496" max="9496" width="2.5703125" style="15" customWidth="1"/>
    <col min="9497" max="9498" width="10.42578125" style="15" customWidth="1"/>
    <col min="9499" max="9499" width="2.5703125" style="15" customWidth="1"/>
    <col min="9500" max="9501" width="10.42578125" style="15" customWidth="1"/>
    <col min="9502" max="9502" width="2.7109375" style="15" customWidth="1"/>
    <col min="9503" max="9503" width="11.5703125" style="15" bestFit="1" customWidth="1"/>
    <col min="9504" max="9504" width="10.42578125" style="15" bestFit="1" customWidth="1"/>
    <col min="9505" max="9505" width="6.42578125" style="15" bestFit="1" customWidth="1"/>
    <col min="9506" max="9506" width="5.85546875" style="15" bestFit="1" customWidth="1"/>
    <col min="9507" max="9507" width="10.42578125" style="15" bestFit="1" customWidth="1"/>
    <col min="9508" max="9508" width="8.7109375" style="15" bestFit="1" customWidth="1"/>
    <col min="9509" max="9509" width="2.7109375" style="15" customWidth="1"/>
    <col min="9510" max="9510" width="5.85546875" style="15" bestFit="1" customWidth="1"/>
    <col min="9511" max="9511" width="12.7109375" style="15" bestFit="1" customWidth="1"/>
    <col min="9512" max="9512" width="11.5703125" style="15" bestFit="1" customWidth="1"/>
    <col min="9513" max="9513" width="2.7109375" style="15" customWidth="1"/>
    <col min="9514" max="9514" width="12.7109375" style="15" bestFit="1" customWidth="1"/>
    <col min="9515" max="9515" width="9.140625" style="15"/>
    <col min="9516" max="9516" width="21.7109375" style="15" bestFit="1" customWidth="1"/>
    <col min="9517" max="9517" width="9.140625" style="15"/>
    <col min="9518" max="9518" width="10.7109375" style="15" customWidth="1"/>
    <col min="9519" max="9519" width="10" style="15" bestFit="1" customWidth="1"/>
    <col min="9520" max="9728" width="9.140625" style="15"/>
    <col min="9729" max="9729" width="6.42578125" style="15" bestFit="1" customWidth="1"/>
    <col min="9730" max="9730" width="6" style="15" bestFit="1" customWidth="1"/>
    <col min="9731" max="9731" width="2.7109375" style="15" customWidth="1"/>
    <col min="9732" max="9733" width="10.42578125" style="15" customWidth="1"/>
    <col min="9734" max="9734" width="2.5703125" style="15" customWidth="1"/>
    <col min="9735" max="9736" width="10.5703125" style="15" customWidth="1"/>
    <col min="9737" max="9737" width="2.5703125" style="15" customWidth="1"/>
    <col min="9738" max="9739" width="10.5703125" style="15" customWidth="1"/>
    <col min="9740" max="9740" width="2.5703125" style="15" customWidth="1"/>
    <col min="9741" max="9741" width="12.140625" style="15" bestFit="1" customWidth="1"/>
    <col min="9742" max="9742" width="10.5703125" style="15" customWidth="1"/>
    <col min="9743" max="9743" width="2.5703125" style="15" customWidth="1"/>
    <col min="9744" max="9745" width="10.5703125" style="15" customWidth="1"/>
    <col min="9746" max="9746" width="2.7109375" style="15" customWidth="1"/>
    <col min="9747" max="9748" width="9.28515625" style="15" bestFit="1" customWidth="1"/>
    <col min="9749" max="9749" width="2.7109375" style="15" customWidth="1"/>
    <col min="9750" max="9751" width="10.42578125" style="15" bestFit="1" customWidth="1"/>
    <col min="9752" max="9752" width="2.5703125" style="15" customWidth="1"/>
    <col min="9753" max="9754" width="10.42578125" style="15" customWidth="1"/>
    <col min="9755" max="9755" width="2.5703125" style="15" customWidth="1"/>
    <col min="9756" max="9757" width="10.42578125" style="15" customWidth="1"/>
    <col min="9758" max="9758" width="2.7109375" style="15" customWidth="1"/>
    <col min="9759" max="9759" width="11.5703125" style="15" bestFit="1" customWidth="1"/>
    <col min="9760" max="9760" width="10.42578125" style="15" bestFit="1" customWidth="1"/>
    <col min="9761" max="9761" width="6.42578125" style="15" bestFit="1" customWidth="1"/>
    <col min="9762" max="9762" width="5.85546875" style="15" bestFit="1" customWidth="1"/>
    <col min="9763" max="9763" width="10.42578125" style="15" bestFit="1" customWidth="1"/>
    <col min="9764" max="9764" width="8.7109375" style="15" bestFit="1" customWidth="1"/>
    <col min="9765" max="9765" width="2.7109375" style="15" customWidth="1"/>
    <col min="9766" max="9766" width="5.85546875" style="15" bestFit="1" customWidth="1"/>
    <col min="9767" max="9767" width="12.7109375" style="15" bestFit="1" customWidth="1"/>
    <col min="9768" max="9768" width="11.5703125" style="15" bestFit="1" customWidth="1"/>
    <col min="9769" max="9769" width="2.7109375" style="15" customWidth="1"/>
    <col min="9770" max="9770" width="12.7109375" style="15" bestFit="1" customWidth="1"/>
    <col min="9771" max="9771" width="9.140625" style="15"/>
    <col min="9772" max="9772" width="21.7109375" style="15" bestFit="1" customWidth="1"/>
    <col min="9773" max="9773" width="9.140625" style="15"/>
    <col min="9774" max="9774" width="10.7109375" style="15" customWidth="1"/>
    <col min="9775" max="9775" width="10" style="15" bestFit="1" customWidth="1"/>
    <col min="9776" max="9984" width="9.140625" style="15"/>
    <col min="9985" max="9985" width="6.42578125" style="15" bestFit="1" customWidth="1"/>
    <col min="9986" max="9986" width="6" style="15" bestFit="1" customWidth="1"/>
    <col min="9987" max="9987" width="2.7109375" style="15" customWidth="1"/>
    <col min="9988" max="9989" width="10.42578125" style="15" customWidth="1"/>
    <col min="9990" max="9990" width="2.5703125" style="15" customWidth="1"/>
    <col min="9991" max="9992" width="10.5703125" style="15" customWidth="1"/>
    <col min="9993" max="9993" width="2.5703125" style="15" customWidth="1"/>
    <col min="9994" max="9995" width="10.5703125" style="15" customWidth="1"/>
    <col min="9996" max="9996" width="2.5703125" style="15" customWidth="1"/>
    <col min="9997" max="9997" width="12.140625" style="15" bestFit="1" customWidth="1"/>
    <col min="9998" max="9998" width="10.5703125" style="15" customWidth="1"/>
    <col min="9999" max="9999" width="2.5703125" style="15" customWidth="1"/>
    <col min="10000" max="10001" width="10.5703125" style="15" customWidth="1"/>
    <col min="10002" max="10002" width="2.7109375" style="15" customWidth="1"/>
    <col min="10003" max="10004" width="9.28515625" style="15" bestFit="1" customWidth="1"/>
    <col min="10005" max="10005" width="2.7109375" style="15" customWidth="1"/>
    <col min="10006" max="10007" width="10.42578125" style="15" bestFit="1" customWidth="1"/>
    <col min="10008" max="10008" width="2.5703125" style="15" customWidth="1"/>
    <col min="10009" max="10010" width="10.42578125" style="15" customWidth="1"/>
    <col min="10011" max="10011" width="2.5703125" style="15" customWidth="1"/>
    <col min="10012" max="10013" width="10.42578125" style="15" customWidth="1"/>
    <col min="10014" max="10014" width="2.7109375" style="15" customWidth="1"/>
    <col min="10015" max="10015" width="11.5703125" style="15" bestFit="1" customWidth="1"/>
    <col min="10016" max="10016" width="10.42578125" style="15" bestFit="1" customWidth="1"/>
    <col min="10017" max="10017" width="6.42578125" style="15" bestFit="1" customWidth="1"/>
    <col min="10018" max="10018" width="5.85546875" style="15" bestFit="1" customWidth="1"/>
    <col min="10019" max="10019" width="10.42578125" style="15" bestFit="1" customWidth="1"/>
    <col min="10020" max="10020" width="8.7109375" style="15" bestFit="1" customWidth="1"/>
    <col min="10021" max="10021" width="2.7109375" style="15" customWidth="1"/>
    <col min="10022" max="10022" width="5.85546875" style="15" bestFit="1" customWidth="1"/>
    <col min="10023" max="10023" width="12.7109375" style="15" bestFit="1" customWidth="1"/>
    <col min="10024" max="10024" width="11.5703125" style="15" bestFit="1" customWidth="1"/>
    <col min="10025" max="10025" width="2.7109375" style="15" customWidth="1"/>
    <col min="10026" max="10026" width="12.7109375" style="15" bestFit="1" customWidth="1"/>
    <col min="10027" max="10027" width="9.140625" style="15"/>
    <col min="10028" max="10028" width="21.7109375" style="15" bestFit="1" customWidth="1"/>
    <col min="10029" max="10029" width="9.140625" style="15"/>
    <col min="10030" max="10030" width="10.7109375" style="15" customWidth="1"/>
    <col min="10031" max="10031" width="10" style="15" bestFit="1" customWidth="1"/>
    <col min="10032" max="10240" width="9.140625" style="15"/>
    <col min="10241" max="10241" width="6.42578125" style="15" bestFit="1" customWidth="1"/>
    <col min="10242" max="10242" width="6" style="15" bestFit="1" customWidth="1"/>
    <col min="10243" max="10243" width="2.7109375" style="15" customWidth="1"/>
    <col min="10244" max="10245" width="10.42578125" style="15" customWidth="1"/>
    <col min="10246" max="10246" width="2.5703125" style="15" customWidth="1"/>
    <col min="10247" max="10248" width="10.5703125" style="15" customWidth="1"/>
    <col min="10249" max="10249" width="2.5703125" style="15" customWidth="1"/>
    <col min="10250" max="10251" width="10.5703125" style="15" customWidth="1"/>
    <col min="10252" max="10252" width="2.5703125" style="15" customWidth="1"/>
    <col min="10253" max="10253" width="12.140625" style="15" bestFit="1" customWidth="1"/>
    <col min="10254" max="10254" width="10.5703125" style="15" customWidth="1"/>
    <col min="10255" max="10255" width="2.5703125" style="15" customWidth="1"/>
    <col min="10256" max="10257" width="10.5703125" style="15" customWidth="1"/>
    <col min="10258" max="10258" width="2.7109375" style="15" customWidth="1"/>
    <col min="10259" max="10260" width="9.28515625" style="15" bestFit="1" customWidth="1"/>
    <col min="10261" max="10261" width="2.7109375" style="15" customWidth="1"/>
    <col min="10262" max="10263" width="10.42578125" style="15" bestFit="1" customWidth="1"/>
    <col min="10264" max="10264" width="2.5703125" style="15" customWidth="1"/>
    <col min="10265" max="10266" width="10.42578125" style="15" customWidth="1"/>
    <col min="10267" max="10267" width="2.5703125" style="15" customWidth="1"/>
    <col min="10268" max="10269" width="10.42578125" style="15" customWidth="1"/>
    <col min="10270" max="10270" width="2.7109375" style="15" customWidth="1"/>
    <col min="10271" max="10271" width="11.5703125" style="15" bestFit="1" customWidth="1"/>
    <col min="10272" max="10272" width="10.42578125" style="15" bestFit="1" customWidth="1"/>
    <col min="10273" max="10273" width="6.42578125" style="15" bestFit="1" customWidth="1"/>
    <col min="10274" max="10274" width="5.85546875" style="15" bestFit="1" customWidth="1"/>
    <col min="10275" max="10275" width="10.42578125" style="15" bestFit="1" customWidth="1"/>
    <col min="10276" max="10276" width="8.7109375" style="15" bestFit="1" customWidth="1"/>
    <col min="10277" max="10277" width="2.7109375" style="15" customWidth="1"/>
    <col min="10278" max="10278" width="5.85546875" style="15" bestFit="1" customWidth="1"/>
    <col min="10279" max="10279" width="12.7109375" style="15" bestFit="1" customWidth="1"/>
    <col min="10280" max="10280" width="11.5703125" style="15" bestFit="1" customWidth="1"/>
    <col min="10281" max="10281" width="2.7109375" style="15" customWidth="1"/>
    <col min="10282" max="10282" width="12.7109375" style="15" bestFit="1" customWidth="1"/>
    <col min="10283" max="10283" width="9.140625" style="15"/>
    <col min="10284" max="10284" width="21.7109375" style="15" bestFit="1" customWidth="1"/>
    <col min="10285" max="10285" width="9.140625" style="15"/>
    <col min="10286" max="10286" width="10.7109375" style="15" customWidth="1"/>
    <col min="10287" max="10287" width="10" style="15" bestFit="1" customWidth="1"/>
    <col min="10288" max="10496" width="9.140625" style="15"/>
    <col min="10497" max="10497" width="6.42578125" style="15" bestFit="1" customWidth="1"/>
    <col min="10498" max="10498" width="6" style="15" bestFit="1" customWidth="1"/>
    <col min="10499" max="10499" width="2.7109375" style="15" customWidth="1"/>
    <col min="10500" max="10501" width="10.42578125" style="15" customWidth="1"/>
    <col min="10502" max="10502" width="2.5703125" style="15" customWidth="1"/>
    <col min="10503" max="10504" width="10.5703125" style="15" customWidth="1"/>
    <col min="10505" max="10505" width="2.5703125" style="15" customWidth="1"/>
    <col min="10506" max="10507" width="10.5703125" style="15" customWidth="1"/>
    <col min="10508" max="10508" width="2.5703125" style="15" customWidth="1"/>
    <col min="10509" max="10509" width="12.140625" style="15" bestFit="1" customWidth="1"/>
    <col min="10510" max="10510" width="10.5703125" style="15" customWidth="1"/>
    <col min="10511" max="10511" width="2.5703125" style="15" customWidth="1"/>
    <col min="10512" max="10513" width="10.5703125" style="15" customWidth="1"/>
    <col min="10514" max="10514" width="2.7109375" style="15" customWidth="1"/>
    <col min="10515" max="10516" width="9.28515625" style="15" bestFit="1" customWidth="1"/>
    <col min="10517" max="10517" width="2.7109375" style="15" customWidth="1"/>
    <col min="10518" max="10519" width="10.42578125" style="15" bestFit="1" customWidth="1"/>
    <col min="10520" max="10520" width="2.5703125" style="15" customWidth="1"/>
    <col min="10521" max="10522" width="10.42578125" style="15" customWidth="1"/>
    <col min="10523" max="10523" width="2.5703125" style="15" customWidth="1"/>
    <col min="10524" max="10525" width="10.42578125" style="15" customWidth="1"/>
    <col min="10526" max="10526" width="2.7109375" style="15" customWidth="1"/>
    <col min="10527" max="10527" width="11.5703125" style="15" bestFit="1" customWidth="1"/>
    <col min="10528" max="10528" width="10.42578125" style="15" bestFit="1" customWidth="1"/>
    <col min="10529" max="10529" width="6.42578125" style="15" bestFit="1" customWidth="1"/>
    <col min="10530" max="10530" width="5.85546875" style="15" bestFit="1" customWidth="1"/>
    <col min="10531" max="10531" width="10.42578125" style="15" bestFit="1" customWidth="1"/>
    <col min="10532" max="10532" width="8.7109375" style="15" bestFit="1" customWidth="1"/>
    <col min="10533" max="10533" width="2.7109375" style="15" customWidth="1"/>
    <col min="10534" max="10534" width="5.85546875" style="15" bestFit="1" customWidth="1"/>
    <col min="10535" max="10535" width="12.7109375" style="15" bestFit="1" customWidth="1"/>
    <col min="10536" max="10536" width="11.5703125" style="15" bestFit="1" customWidth="1"/>
    <col min="10537" max="10537" width="2.7109375" style="15" customWidth="1"/>
    <col min="10538" max="10538" width="12.7109375" style="15" bestFit="1" customWidth="1"/>
    <col min="10539" max="10539" width="9.140625" style="15"/>
    <col min="10540" max="10540" width="21.7109375" style="15" bestFit="1" customWidth="1"/>
    <col min="10541" max="10541" width="9.140625" style="15"/>
    <col min="10542" max="10542" width="10.7109375" style="15" customWidth="1"/>
    <col min="10543" max="10543" width="10" style="15" bestFit="1" customWidth="1"/>
    <col min="10544" max="10752" width="9.140625" style="15"/>
    <col min="10753" max="10753" width="6.42578125" style="15" bestFit="1" customWidth="1"/>
    <col min="10754" max="10754" width="6" style="15" bestFit="1" customWidth="1"/>
    <col min="10755" max="10755" width="2.7109375" style="15" customWidth="1"/>
    <col min="10756" max="10757" width="10.42578125" style="15" customWidth="1"/>
    <col min="10758" max="10758" width="2.5703125" style="15" customWidth="1"/>
    <col min="10759" max="10760" width="10.5703125" style="15" customWidth="1"/>
    <col min="10761" max="10761" width="2.5703125" style="15" customWidth="1"/>
    <col min="10762" max="10763" width="10.5703125" style="15" customWidth="1"/>
    <col min="10764" max="10764" width="2.5703125" style="15" customWidth="1"/>
    <col min="10765" max="10765" width="12.140625" style="15" bestFit="1" customWidth="1"/>
    <col min="10766" max="10766" width="10.5703125" style="15" customWidth="1"/>
    <col min="10767" max="10767" width="2.5703125" style="15" customWidth="1"/>
    <col min="10768" max="10769" width="10.5703125" style="15" customWidth="1"/>
    <col min="10770" max="10770" width="2.7109375" style="15" customWidth="1"/>
    <col min="10771" max="10772" width="9.28515625" style="15" bestFit="1" customWidth="1"/>
    <col min="10773" max="10773" width="2.7109375" style="15" customWidth="1"/>
    <col min="10774" max="10775" width="10.42578125" style="15" bestFit="1" customWidth="1"/>
    <col min="10776" max="10776" width="2.5703125" style="15" customWidth="1"/>
    <col min="10777" max="10778" width="10.42578125" style="15" customWidth="1"/>
    <col min="10779" max="10779" width="2.5703125" style="15" customWidth="1"/>
    <col min="10780" max="10781" width="10.42578125" style="15" customWidth="1"/>
    <col min="10782" max="10782" width="2.7109375" style="15" customWidth="1"/>
    <col min="10783" max="10783" width="11.5703125" style="15" bestFit="1" customWidth="1"/>
    <col min="10784" max="10784" width="10.42578125" style="15" bestFit="1" customWidth="1"/>
    <col min="10785" max="10785" width="6.42578125" style="15" bestFit="1" customWidth="1"/>
    <col min="10786" max="10786" width="5.85546875" style="15" bestFit="1" customWidth="1"/>
    <col min="10787" max="10787" width="10.42578125" style="15" bestFit="1" customWidth="1"/>
    <col min="10788" max="10788" width="8.7109375" style="15" bestFit="1" customWidth="1"/>
    <col min="10789" max="10789" width="2.7109375" style="15" customWidth="1"/>
    <col min="10790" max="10790" width="5.85546875" style="15" bestFit="1" customWidth="1"/>
    <col min="10791" max="10791" width="12.7109375" style="15" bestFit="1" customWidth="1"/>
    <col min="10792" max="10792" width="11.5703125" style="15" bestFit="1" customWidth="1"/>
    <col min="10793" max="10793" width="2.7109375" style="15" customWidth="1"/>
    <col min="10794" max="10794" width="12.7109375" style="15" bestFit="1" customWidth="1"/>
    <col min="10795" max="10795" width="9.140625" style="15"/>
    <col min="10796" max="10796" width="21.7109375" style="15" bestFit="1" customWidth="1"/>
    <col min="10797" max="10797" width="9.140625" style="15"/>
    <col min="10798" max="10798" width="10.7109375" style="15" customWidth="1"/>
    <col min="10799" max="10799" width="10" style="15" bestFit="1" customWidth="1"/>
    <col min="10800" max="11008" width="9.140625" style="15"/>
    <col min="11009" max="11009" width="6.42578125" style="15" bestFit="1" customWidth="1"/>
    <col min="11010" max="11010" width="6" style="15" bestFit="1" customWidth="1"/>
    <col min="11011" max="11011" width="2.7109375" style="15" customWidth="1"/>
    <col min="11012" max="11013" width="10.42578125" style="15" customWidth="1"/>
    <col min="11014" max="11014" width="2.5703125" style="15" customWidth="1"/>
    <col min="11015" max="11016" width="10.5703125" style="15" customWidth="1"/>
    <col min="11017" max="11017" width="2.5703125" style="15" customWidth="1"/>
    <col min="11018" max="11019" width="10.5703125" style="15" customWidth="1"/>
    <col min="11020" max="11020" width="2.5703125" style="15" customWidth="1"/>
    <col min="11021" max="11021" width="12.140625" style="15" bestFit="1" customWidth="1"/>
    <col min="11022" max="11022" width="10.5703125" style="15" customWidth="1"/>
    <col min="11023" max="11023" width="2.5703125" style="15" customWidth="1"/>
    <col min="11024" max="11025" width="10.5703125" style="15" customWidth="1"/>
    <col min="11026" max="11026" width="2.7109375" style="15" customWidth="1"/>
    <col min="11027" max="11028" width="9.28515625" style="15" bestFit="1" customWidth="1"/>
    <col min="11029" max="11029" width="2.7109375" style="15" customWidth="1"/>
    <col min="11030" max="11031" width="10.42578125" style="15" bestFit="1" customWidth="1"/>
    <col min="11032" max="11032" width="2.5703125" style="15" customWidth="1"/>
    <col min="11033" max="11034" width="10.42578125" style="15" customWidth="1"/>
    <col min="11035" max="11035" width="2.5703125" style="15" customWidth="1"/>
    <col min="11036" max="11037" width="10.42578125" style="15" customWidth="1"/>
    <col min="11038" max="11038" width="2.7109375" style="15" customWidth="1"/>
    <col min="11039" max="11039" width="11.5703125" style="15" bestFit="1" customWidth="1"/>
    <col min="11040" max="11040" width="10.42578125" style="15" bestFit="1" customWidth="1"/>
    <col min="11041" max="11041" width="6.42578125" style="15" bestFit="1" customWidth="1"/>
    <col min="11042" max="11042" width="5.85546875" style="15" bestFit="1" customWidth="1"/>
    <col min="11043" max="11043" width="10.42578125" style="15" bestFit="1" customWidth="1"/>
    <col min="11044" max="11044" width="8.7109375" style="15" bestFit="1" customWidth="1"/>
    <col min="11045" max="11045" width="2.7109375" style="15" customWidth="1"/>
    <col min="11046" max="11046" width="5.85546875" style="15" bestFit="1" customWidth="1"/>
    <col min="11047" max="11047" width="12.7109375" style="15" bestFit="1" customWidth="1"/>
    <col min="11048" max="11048" width="11.5703125" style="15" bestFit="1" customWidth="1"/>
    <col min="11049" max="11049" width="2.7109375" style="15" customWidth="1"/>
    <col min="11050" max="11050" width="12.7109375" style="15" bestFit="1" customWidth="1"/>
    <col min="11051" max="11051" width="9.140625" style="15"/>
    <col min="11052" max="11052" width="21.7109375" style="15" bestFit="1" customWidth="1"/>
    <col min="11053" max="11053" width="9.140625" style="15"/>
    <col min="11054" max="11054" width="10.7109375" style="15" customWidth="1"/>
    <col min="11055" max="11055" width="10" style="15" bestFit="1" customWidth="1"/>
    <col min="11056" max="11264" width="9.140625" style="15"/>
    <col min="11265" max="11265" width="6.42578125" style="15" bestFit="1" customWidth="1"/>
    <col min="11266" max="11266" width="6" style="15" bestFit="1" customWidth="1"/>
    <col min="11267" max="11267" width="2.7109375" style="15" customWidth="1"/>
    <col min="11268" max="11269" width="10.42578125" style="15" customWidth="1"/>
    <col min="11270" max="11270" width="2.5703125" style="15" customWidth="1"/>
    <col min="11271" max="11272" width="10.5703125" style="15" customWidth="1"/>
    <col min="11273" max="11273" width="2.5703125" style="15" customWidth="1"/>
    <col min="11274" max="11275" width="10.5703125" style="15" customWidth="1"/>
    <col min="11276" max="11276" width="2.5703125" style="15" customWidth="1"/>
    <col min="11277" max="11277" width="12.140625" style="15" bestFit="1" customWidth="1"/>
    <col min="11278" max="11278" width="10.5703125" style="15" customWidth="1"/>
    <col min="11279" max="11279" width="2.5703125" style="15" customWidth="1"/>
    <col min="11280" max="11281" width="10.5703125" style="15" customWidth="1"/>
    <col min="11282" max="11282" width="2.7109375" style="15" customWidth="1"/>
    <col min="11283" max="11284" width="9.28515625" style="15" bestFit="1" customWidth="1"/>
    <col min="11285" max="11285" width="2.7109375" style="15" customWidth="1"/>
    <col min="11286" max="11287" width="10.42578125" style="15" bestFit="1" customWidth="1"/>
    <col min="11288" max="11288" width="2.5703125" style="15" customWidth="1"/>
    <col min="11289" max="11290" width="10.42578125" style="15" customWidth="1"/>
    <col min="11291" max="11291" width="2.5703125" style="15" customWidth="1"/>
    <col min="11292" max="11293" width="10.42578125" style="15" customWidth="1"/>
    <col min="11294" max="11294" width="2.7109375" style="15" customWidth="1"/>
    <col min="11295" max="11295" width="11.5703125" style="15" bestFit="1" customWidth="1"/>
    <col min="11296" max="11296" width="10.42578125" style="15" bestFit="1" customWidth="1"/>
    <col min="11297" max="11297" width="6.42578125" style="15" bestFit="1" customWidth="1"/>
    <col min="11298" max="11298" width="5.85546875" style="15" bestFit="1" customWidth="1"/>
    <col min="11299" max="11299" width="10.42578125" style="15" bestFit="1" customWidth="1"/>
    <col min="11300" max="11300" width="8.7109375" style="15" bestFit="1" customWidth="1"/>
    <col min="11301" max="11301" width="2.7109375" style="15" customWidth="1"/>
    <col min="11302" max="11302" width="5.85546875" style="15" bestFit="1" customWidth="1"/>
    <col min="11303" max="11303" width="12.7109375" style="15" bestFit="1" customWidth="1"/>
    <col min="11304" max="11304" width="11.5703125" style="15" bestFit="1" customWidth="1"/>
    <col min="11305" max="11305" width="2.7109375" style="15" customWidth="1"/>
    <col min="11306" max="11306" width="12.7109375" style="15" bestFit="1" customWidth="1"/>
    <col min="11307" max="11307" width="9.140625" style="15"/>
    <col min="11308" max="11308" width="21.7109375" style="15" bestFit="1" customWidth="1"/>
    <col min="11309" max="11309" width="9.140625" style="15"/>
    <col min="11310" max="11310" width="10.7109375" style="15" customWidth="1"/>
    <col min="11311" max="11311" width="10" style="15" bestFit="1" customWidth="1"/>
    <col min="11312" max="11520" width="9.140625" style="15"/>
    <col min="11521" max="11521" width="6.42578125" style="15" bestFit="1" customWidth="1"/>
    <col min="11522" max="11522" width="6" style="15" bestFit="1" customWidth="1"/>
    <col min="11523" max="11523" width="2.7109375" style="15" customWidth="1"/>
    <col min="11524" max="11525" width="10.42578125" style="15" customWidth="1"/>
    <col min="11526" max="11526" width="2.5703125" style="15" customWidth="1"/>
    <col min="11527" max="11528" width="10.5703125" style="15" customWidth="1"/>
    <col min="11529" max="11529" width="2.5703125" style="15" customWidth="1"/>
    <col min="11530" max="11531" width="10.5703125" style="15" customWidth="1"/>
    <col min="11532" max="11532" width="2.5703125" style="15" customWidth="1"/>
    <col min="11533" max="11533" width="12.140625" style="15" bestFit="1" customWidth="1"/>
    <col min="11534" max="11534" width="10.5703125" style="15" customWidth="1"/>
    <col min="11535" max="11535" width="2.5703125" style="15" customWidth="1"/>
    <col min="11536" max="11537" width="10.5703125" style="15" customWidth="1"/>
    <col min="11538" max="11538" width="2.7109375" style="15" customWidth="1"/>
    <col min="11539" max="11540" width="9.28515625" style="15" bestFit="1" customWidth="1"/>
    <col min="11541" max="11541" width="2.7109375" style="15" customWidth="1"/>
    <col min="11542" max="11543" width="10.42578125" style="15" bestFit="1" customWidth="1"/>
    <col min="11544" max="11544" width="2.5703125" style="15" customWidth="1"/>
    <col min="11545" max="11546" width="10.42578125" style="15" customWidth="1"/>
    <col min="11547" max="11547" width="2.5703125" style="15" customWidth="1"/>
    <col min="11548" max="11549" width="10.42578125" style="15" customWidth="1"/>
    <col min="11550" max="11550" width="2.7109375" style="15" customWidth="1"/>
    <col min="11551" max="11551" width="11.5703125" style="15" bestFit="1" customWidth="1"/>
    <col min="11552" max="11552" width="10.42578125" style="15" bestFit="1" customWidth="1"/>
    <col min="11553" max="11553" width="6.42578125" style="15" bestFit="1" customWidth="1"/>
    <col min="11554" max="11554" width="5.85546875" style="15" bestFit="1" customWidth="1"/>
    <col min="11555" max="11555" width="10.42578125" style="15" bestFit="1" customWidth="1"/>
    <col min="11556" max="11556" width="8.7109375" style="15" bestFit="1" customWidth="1"/>
    <col min="11557" max="11557" width="2.7109375" style="15" customWidth="1"/>
    <col min="11558" max="11558" width="5.85546875" style="15" bestFit="1" customWidth="1"/>
    <col min="11559" max="11559" width="12.7109375" style="15" bestFit="1" customWidth="1"/>
    <col min="11560" max="11560" width="11.5703125" style="15" bestFit="1" customWidth="1"/>
    <col min="11561" max="11561" width="2.7109375" style="15" customWidth="1"/>
    <col min="11562" max="11562" width="12.7109375" style="15" bestFit="1" customWidth="1"/>
    <col min="11563" max="11563" width="9.140625" style="15"/>
    <col min="11564" max="11564" width="21.7109375" style="15" bestFit="1" customWidth="1"/>
    <col min="11565" max="11565" width="9.140625" style="15"/>
    <col min="11566" max="11566" width="10.7109375" style="15" customWidth="1"/>
    <col min="11567" max="11567" width="10" style="15" bestFit="1" customWidth="1"/>
    <col min="11568" max="11776" width="9.140625" style="15"/>
    <col min="11777" max="11777" width="6.42578125" style="15" bestFit="1" customWidth="1"/>
    <col min="11778" max="11778" width="6" style="15" bestFit="1" customWidth="1"/>
    <col min="11779" max="11779" width="2.7109375" style="15" customWidth="1"/>
    <col min="11780" max="11781" width="10.42578125" style="15" customWidth="1"/>
    <col min="11782" max="11782" width="2.5703125" style="15" customWidth="1"/>
    <col min="11783" max="11784" width="10.5703125" style="15" customWidth="1"/>
    <col min="11785" max="11785" width="2.5703125" style="15" customWidth="1"/>
    <col min="11786" max="11787" width="10.5703125" style="15" customWidth="1"/>
    <col min="11788" max="11788" width="2.5703125" style="15" customWidth="1"/>
    <col min="11789" max="11789" width="12.140625" style="15" bestFit="1" customWidth="1"/>
    <col min="11790" max="11790" width="10.5703125" style="15" customWidth="1"/>
    <col min="11791" max="11791" width="2.5703125" style="15" customWidth="1"/>
    <col min="11792" max="11793" width="10.5703125" style="15" customWidth="1"/>
    <col min="11794" max="11794" width="2.7109375" style="15" customWidth="1"/>
    <col min="11795" max="11796" width="9.28515625" style="15" bestFit="1" customWidth="1"/>
    <col min="11797" max="11797" width="2.7109375" style="15" customWidth="1"/>
    <col min="11798" max="11799" width="10.42578125" style="15" bestFit="1" customWidth="1"/>
    <col min="11800" max="11800" width="2.5703125" style="15" customWidth="1"/>
    <col min="11801" max="11802" width="10.42578125" style="15" customWidth="1"/>
    <col min="11803" max="11803" width="2.5703125" style="15" customWidth="1"/>
    <col min="11804" max="11805" width="10.42578125" style="15" customWidth="1"/>
    <col min="11806" max="11806" width="2.7109375" style="15" customWidth="1"/>
    <col min="11807" max="11807" width="11.5703125" style="15" bestFit="1" customWidth="1"/>
    <col min="11808" max="11808" width="10.42578125" style="15" bestFit="1" customWidth="1"/>
    <col min="11809" max="11809" width="6.42578125" style="15" bestFit="1" customWidth="1"/>
    <col min="11810" max="11810" width="5.85546875" style="15" bestFit="1" customWidth="1"/>
    <col min="11811" max="11811" width="10.42578125" style="15" bestFit="1" customWidth="1"/>
    <col min="11812" max="11812" width="8.7109375" style="15" bestFit="1" customWidth="1"/>
    <col min="11813" max="11813" width="2.7109375" style="15" customWidth="1"/>
    <col min="11814" max="11814" width="5.85546875" style="15" bestFit="1" customWidth="1"/>
    <col min="11815" max="11815" width="12.7109375" style="15" bestFit="1" customWidth="1"/>
    <col min="11816" max="11816" width="11.5703125" style="15" bestFit="1" customWidth="1"/>
    <col min="11817" max="11817" width="2.7109375" style="15" customWidth="1"/>
    <col min="11818" max="11818" width="12.7109375" style="15" bestFit="1" customWidth="1"/>
    <col min="11819" max="11819" width="9.140625" style="15"/>
    <col min="11820" max="11820" width="21.7109375" style="15" bestFit="1" customWidth="1"/>
    <col min="11821" max="11821" width="9.140625" style="15"/>
    <col min="11822" max="11822" width="10.7109375" style="15" customWidth="1"/>
    <col min="11823" max="11823" width="10" style="15" bestFit="1" customWidth="1"/>
    <col min="11824" max="12032" width="9.140625" style="15"/>
    <col min="12033" max="12033" width="6.42578125" style="15" bestFit="1" customWidth="1"/>
    <col min="12034" max="12034" width="6" style="15" bestFit="1" customWidth="1"/>
    <col min="12035" max="12035" width="2.7109375" style="15" customWidth="1"/>
    <col min="12036" max="12037" width="10.42578125" style="15" customWidth="1"/>
    <col min="12038" max="12038" width="2.5703125" style="15" customWidth="1"/>
    <col min="12039" max="12040" width="10.5703125" style="15" customWidth="1"/>
    <col min="12041" max="12041" width="2.5703125" style="15" customWidth="1"/>
    <col min="12042" max="12043" width="10.5703125" style="15" customWidth="1"/>
    <col min="12044" max="12044" width="2.5703125" style="15" customWidth="1"/>
    <col min="12045" max="12045" width="12.140625" style="15" bestFit="1" customWidth="1"/>
    <col min="12046" max="12046" width="10.5703125" style="15" customWidth="1"/>
    <col min="12047" max="12047" width="2.5703125" style="15" customWidth="1"/>
    <col min="12048" max="12049" width="10.5703125" style="15" customWidth="1"/>
    <col min="12050" max="12050" width="2.7109375" style="15" customWidth="1"/>
    <col min="12051" max="12052" width="9.28515625" style="15" bestFit="1" customWidth="1"/>
    <col min="12053" max="12053" width="2.7109375" style="15" customWidth="1"/>
    <col min="12054" max="12055" width="10.42578125" style="15" bestFit="1" customWidth="1"/>
    <col min="12056" max="12056" width="2.5703125" style="15" customWidth="1"/>
    <col min="12057" max="12058" width="10.42578125" style="15" customWidth="1"/>
    <col min="12059" max="12059" width="2.5703125" style="15" customWidth="1"/>
    <col min="12060" max="12061" width="10.42578125" style="15" customWidth="1"/>
    <col min="12062" max="12062" width="2.7109375" style="15" customWidth="1"/>
    <col min="12063" max="12063" width="11.5703125" style="15" bestFit="1" customWidth="1"/>
    <col min="12064" max="12064" width="10.42578125" style="15" bestFit="1" customWidth="1"/>
    <col min="12065" max="12065" width="6.42578125" style="15" bestFit="1" customWidth="1"/>
    <col min="12066" max="12066" width="5.85546875" style="15" bestFit="1" customWidth="1"/>
    <col min="12067" max="12067" width="10.42578125" style="15" bestFit="1" customWidth="1"/>
    <col min="12068" max="12068" width="8.7109375" style="15" bestFit="1" customWidth="1"/>
    <col min="12069" max="12069" width="2.7109375" style="15" customWidth="1"/>
    <col min="12070" max="12070" width="5.85546875" style="15" bestFit="1" customWidth="1"/>
    <col min="12071" max="12071" width="12.7109375" style="15" bestFit="1" customWidth="1"/>
    <col min="12072" max="12072" width="11.5703125" style="15" bestFit="1" customWidth="1"/>
    <col min="12073" max="12073" width="2.7109375" style="15" customWidth="1"/>
    <col min="12074" max="12074" width="12.7109375" style="15" bestFit="1" customWidth="1"/>
    <col min="12075" max="12075" width="9.140625" style="15"/>
    <col min="12076" max="12076" width="21.7109375" style="15" bestFit="1" customWidth="1"/>
    <col min="12077" max="12077" width="9.140625" style="15"/>
    <col min="12078" max="12078" width="10.7109375" style="15" customWidth="1"/>
    <col min="12079" max="12079" width="10" style="15" bestFit="1" customWidth="1"/>
    <col min="12080" max="12288" width="9.140625" style="15"/>
    <col min="12289" max="12289" width="6.42578125" style="15" bestFit="1" customWidth="1"/>
    <col min="12290" max="12290" width="6" style="15" bestFit="1" customWidth="1"/>
    <col min="12291" max="12291" width="2.7109375" style="15" customWidth="1"/>
    <col min="12292" max="12293" width="10.42578125" style="15" customWidth="1"/>
    <col min="12294" max="12294" width="2.5703125" style="15" customWidth="1"/>
    <col min="12295" max="12296" width="10.5703125" style="15" customWidth="1"/>
    <col min="12297" max="12297" width="2.5703125" style="15" customWidth="1"/>
    <col min="12298" max="12299" width="10.5703125" style="15" customWidth="1"/>
    <col min="12300" max="12300" width="2.5703125" style="15" customWidth="1"/>
    <col min="12301" max="12301" width="12.140625" style="15" bestFit="1" customWidth="1"/>
    <col min="12302" max="12302" width="10.5703125" style="15" customWidth="1"/>
    <col min="12303" max="12303" width="2.5703125" style="15" customWidth="1"/>
    <col min="12304" max="12305" width="10.5703125" style="15" customWidth="1"/>
    <col min="12306" max="12306" width="2.7109375" style="15" customWidth="1"/>
    <col min="12307" max="12308" width="9.28515625" style="15" bestFit="1" customWidth="1"/>
    <col min="12309" max="12309" width="2.7109375" style="15" customWidth="1"/>
    <col min="12310" max="12311" width="10.42578125" style="15" bestFit="1" customWidth="1"/>
    <col min="12312" max="12312" width="2.5703125" style="15" customWidth="1"/>
    <col min="12313" max="12314" width="10.42578125" style="15" customWidth="1"/>
    <col min="12315" max="12315" width="2.5703125" style="15" customWidth="1"/>
    <col min="12316" max="12317" width="10.42578125" style="15" customWidth="1"/>
    <col min="12318" max="12318" width="2.7109375" style="15" customWidth="1"/>
    <col min="12319" max="12319" width="11.5703125" style="15" bestFit="1" customWidth="1"/>
    <col min="12320" max="12320" width="10.42578125" style="15" bestFit="1" customWidth="1"/>
    <col min="12321" max="12321" width="6.42578125" style="15" bestFit="1" customWidth="1"/>
    <col min="12322" max="12322" width="5.85546875" style="15" bestFit="1" customWidth="1"/>
    <col min="12323" max="12323" width="10.42578125" style="15" bestFit="1" customWidth="1"/>
    <col min="12324" max="12324" width="8.7109375" style="15" bestFit="1" customWidth="1"/>
    <col min="12325" max="12325" width="2.7109375" style="15" customWidth="1"/>
    <col min="12326" max="12326" width="5.85546875" style="15" bestFit="1" customWidth="1"/>
    <col min="12327" max="12327" width="12.7109375" style="15" bestFit="1" customWidth="1"/>
    <col min="12328" max="12328" width="11.5703125" style="15" bestFit="1" customWidth="1"/>
    <col min="12329" max="12329" width="2.7109375" style="15" customWidth="1"/>
    <col min="12330" max="12330" width="12.7109375" style="15" bestFit="1" customWidth="1"/>
    <col min="12331" max="12331" width="9.140625" style="15"/>
    <col min="12332" max="12332" width="21.7109375" style="15" bestFit="1" customWidth="1"/>
    <col min="12333" max="12333" width="9.140625" style="15"/>
    <col min="12334" max="12334" width="10.7109375" style="15" customWidth="1"/>
    <col min="12335" max="12335" width="10" style="15" bestFit="1" customWidth="1"/>
    <col min="12336" max="12544" width="9.140625" style="15"/>
    <col min="12545" max="12545" width="6.42578125" style="15" bestFit="1" customWidth="1"/>
    <col min="12546" max="12546" width="6" style="15" bestFit="1" customWidth="1"/>
    <col min="12547" max="12547" width="2.7109375" style="15" customWidth="1"/>
    <col min="12548" max="12549" width="10.42578125" style="15" customWidth="1"/>
    <col min="12550" max="12550" width="2.5703125" style="15" customWidth="1"/>
    <col min="12551" max="12552" width="10.5703125" style="15" customWidth="1"/>
    <col min="12553" max="12553" width="2.5703125" style="15" customWidth="1"/>
    <col min="12554" max="12555" width="10.5703125" style="15" customWidth="1"/>
    <col min="12556" max="12556" width="2.5703125" style="15" customWidth="1"/>
    <col min="12557" max="12557" width="12.140625" style="15" bestFit="1" customWidth="1"/>
    <col min="12558" max="12558" width="10.5703125" style="15" customWidth="1"/>
    <col min="12559" max="12559" width="2.5703125" style="15" customWidth="1"/>
    <col min="12560" max="12561" width="10.5703125" style="15" customWidth="1"/>
    <col min="12562" max="12562" width="2.7109375" style="15" customWidth="1"/>
    <col min="12563" max="12564" width="9.28515625" style="15" bestFit="1" customWidth="1"/>
    <col min="12565" max="12565" width="2.7109375" style="15" customWidth="1"/>
    <col min="12566" max="12567" width="10.42578125" style="15" bestFit="1" customWidth="1"/>
    <col min="12568" max="12568" width="2.5703125" style="15" customWidth="1"/>
    <col min="12569" max="12570" width="10.42578125" style="15" customWidth="1"/>
    <col min="12571" max="12571" width="2.5703125" style="15" customWidth="1"/>
    <col min="12572" max="12573" width="10.42578125" style="15" customWidth="1"/>
    <col min="12574" max="12574" width="2.7109375" style="15" customWidth="1"/>
    <col min="12575" max="12575" width="11.5703125" style="15" bestFit="1" customWidth="1"/>
    <col min="12576" max="12576" width="10.42578125" style="15" bestFit="1" customWidth="1"/>
    <col min="12577" max="12577" width="6.42578125" style="15" bestFit="1" customWidth="1"/>
    <col min="12578" max="12578" width="5.85546875" style="15" bestFit="1" customWidth="1"/>
    <col min="12579" max="12579" width="10.42578125" style="15" bestFit="1" customWidth="1"/>
    <col min="12580" max="12580" width="8.7109375" style="15" bestFit="1" customWidth="1"/>
    <col min="12581" max="12581" width="2.7109375" style="15" customWidth="1"/>
    <col min="12582" max="12582" width="5.85546875" style="15" bestFit="1" customWidth="1"/>
    <col min="12583" max="12583" width="12.7109375" style="15" bestFit="1" customWidth="1"/>
    <col min="12584" max="12584" width="11.5703125" style="15" bestFit="1" customWidth="1"/>
    <col min="12585" max="12585" width="2.7109375" style="15" customWidth="1"/>
    <col min="12586" max="12586" width="12.7109375" style="15" bestFit="1" customWidth="1"/>
    <col min="12587" max="12587" width="9.140625" style="15"/>
    <col min="12588" max="12588" width="21.7109375" style="15" bestFit="1" customWidth="1"/>
    <col min="12589" max="12589" width="9.140625" style="15"/>
    <col min="12590" max="12590" width="10.7109375" style="15" customWidth="1"/>
    <col min="12591" max="12591" width="10" style="15" bestFit="1" customWidth="1"/>
    <col min="12592" max="12800" width="9.140625" style="15"/>
    <col min="12801" max="12801" width="6.42578125" style="15" bestFit="1" customWidth="1"/>
    <col min="12802" max="12802" width="6" style="15" bestFit="1" customWidth="1"/>
    <col min="12803" max="12803" width="2.7109375" style="15" customWidth="1"/>
    <col min="12804" max="12805" width="10.42578125" style="15" customWidth="1"/>
    <col min="12806" max="12806" width="2.5703125" style="15" customWidth="1"/>
    <col min="12807" max="12808" width="10.5703125" style="15" customWidth="1"/>
    <col min="12809" max="12809" width="2.5703125" style="15" customWidth="1"/>
    <col min="12810" max="12811" width="10.5703125" style="15" customWidth="1"/>
    <col min="12812" max="12812" width="2.5703125" style="15" customWidth="1"/>
    <col min="12813" max="12813" width="12.140625" style="15" bestFit="1" customWidth="1"/>
    <col min="12814" max="12814" width="10.5703125" style="15" customWidth="1"/>
    <col min="12815" max="12815" width="2.5703125" style="15" customWidth="1"/>
    <col min="12816" max="12817" width="10.5703125" style="15" customWidth="1"/>
    <col min="12818" max="12818" width="2.7109375" style="15" customWidth="1"/>
    <col min="12819" max="12820" width="9.28515625" style="15" bestFit="1" customWidth="1"/>
    <col min="12821" max="12821" width="2.7109375" style="15" customWidth="1"/>
    <col min="12822" max="12823" width="10.42578125" style="15" bestFit="1" customWidth="1"/>
    <col min="12824" max="12824" width="2.5703125" style="15" customWidth="1"/>
    <col min="12825" max="12826" width="10.42578125" style="15" customWidth="1"/>
    <col min="12827" max="12827" width="2.5703125" style="15" customWidth="1"/>
    <col min="12828" max="12829" width="10.42578125" style="15" customWidth="1"/>
    <col min="12830" max="12830" width="2.7109375" style="15" customWidth="1"/>
    <col min="12831" max="12831" width="11.5703125" style="15" bestFit="1" customWidth="1"/>
    <col min="12832" max="12832" width="10.42578125" style="15" bestFit="1" customWidth="1"/>
    <col min="12833" max="12833" width="6.42578125" style="15" bestFit="1" customWidth="1"/>
    <col min="12834" max="12834" width="5.85546875" style="15" bestFit="1" customWidth="1"/>
    <col min="12835" max="12835" width="10.42578125" style="15" bestFit="1" customWidth="1"/>
    <col min="12836" max="12836" width="8.7109375" style="15" bestFit="1" customWidth="1"/>
    <col min="12837" max="12837" width="2.7109375" style="15" customWidth="1"/>
    <col min="12838" max="12838" width="5.85546875" style="15" bestFit="1" customWidth="1"/>
    <col min="12839" max="12839" width="12.7109375" style="15" bestFit="1" customWidth="1"/>
    <col min="12840" max="12840" width="11.5703125" style="15" bestFit="1" customWidth="1"/>
    <col min="12841" max="12841" width="2.7109375" style="15" customWidth="1"/>
    <col min="12842" max="12842" width="12.7109375" style="15" bestFit="1" customWidth="1"/>
    <col min="12843" max="12843" width="9.140625" style="15"/>
    <col min="12844" max="12844" width="21.7109375" style="15" bestFit="1" customWidth="1"/>
    <col min="12845" max="12845" width="9.140625" style="15"/>
    <col min="12846" max="12846" width="10.7109375" style="15" customWidth="1"/>
    <col min="12847" max="12847" width="10" style="15" bestFit="1" customWidth="1"/>
    <col min="12848" max="13056" width="9.140625" style="15"/>
    <col min="13057" max="13057" width="6.42578125" style="15" bestFit="1" customWidth="1"/>
    <col min="13058" max="13058" width="6" style="15" bestFit="1" customWidth="1"/>
    <col min="13059" max="13059" width="2.7109375" style="15" customWidth="1"/>
    <col min="13060" max="13061" width="10.42578125" style="15" customWidth="1"/>
    <col min="13062" max="13062" width="2.5703125" style="15" customWidth="1"/>
    <col min="13063" max="13064" width="10.5703125" style="15" customWidth="1"/>
    <col min="13065" max="13065" width="2.5703125" style="15" customWidth="1"/>
    <col min="13066" max="13067" width="10.5703125" style="15" customWidth="1"/>
    <col min="13068" max="13068" width="2.5703125" style="15" customWidth="1"/>
    <col min="13069" max="13069" width="12.140625" style="15" bestFit="1" customWidth="1"/>
    <col min="13070" max="13070" width="10.5703125" style="15" customWidth="1"/>
    <col min="13071" max="13071" width="2.5703125" style="15" customWidth="1"/>
    <col min="13072" max="13073" width="10.5703125" style="15" customWidth="1"/>
    <col min="13074" max="13074" width="2.7109375" style="15" customWidth="1"/>
    <col min="13075" max="13076" width="9.28515625" style="15" bestFit="1" customWidth="1"/>
    <col min="13077" max="13077" width="2.7109375" style="15" customWidth="1"/>
    <col min="13078" max="13079" width="10.42578125" style="15" bestFit="1" customWidth="1"/>
    <col min="13080" max="13080" width="2.5703125" style="15" customWidth="1"/>
    <col min="13081" max="13082" width="10.42578125" style="15" customWidth="1"/>
    <col min="13083" max="13083" width="2.5703125" style="15" customWidth="1"/>
    <col min="13084" max="13085" width="10.42578125" style="15" customWidth="1"/>
    <col min="13086" max="13086" width="2.7109375" style="15" customWidth="1"/>
    <col min="13087" max="13087" width="11.5703125" style="15" bestFit="1" customWidth="1"/>
    <col min="13088" max="13088" width="10.42578125" style="15" bestFit="1" customWidth="1"/>
    <col min="13089" max="13089" width="6.42578125" style="15" bestFit="1" customWidth="1"/>
    <col min="13090" max="13090" width="5.85546875" style="15" bestFit="1" customWidth="1"/>
    <col min="13091" max="13091" width="10.42578125" style="15" bestFit="1" customWidth="1"/>
    <col min="13092" max="13092" width="8.7109375" style="15" bestFit="1" customWidth="1"/>
    <col min="13093" max="13093" width="2.7109375" style="15" customWidth="1"/>
    <col min="13094" max="13094" width="5.85546875" style="15" bestFit="1" customWidth="1"/>
    <col min="13095" max="13095" width="12.7109375" style="15" bestFit="1" customWidth="1"/>
    <col min="13096" max="13096" width="11.5703125" style="15" bestFit="1" customWidth="1"/>
    <col min="13097" max="13097" width="2.7109375" style="15" customWidth="1"/>
    <col min="13098" max="13098" width="12.7109375" style="15" bestFit="1" customWidth="1"/>
    <col min="13099" max="13099" width="9.140625" style="15"/>
    <col min="13100" max="13100" width="21.7109375" style="15" bestFit="1" customWidth="1"/>
    <col min="13101" max="13101" width="9.140625" style="15"/>
    <col min="13102" max="13102" width="10.7109375" style="15" customWidth="1"/>
    <col min="13103" max="13103" width="10" style="15" bestFit="1" customWidth="1"/>
    <col min="13104" max="13312" width="9.140625" style="15"/>
    <col min="13313" max="13313" width="6.42578125" style="15" bestFit="1" customWidth="1"/>
    <col min="13314" max="13314" width="6" style="15" bestFit="1" customWidth="1"/>
    <col min="13315" max="13315" width="2.7109375" style="15" customWidth="1"/>
    <col min="13316" max="13317" width="10.42578125" style="15" customWidth="1"/>
    <col min="13318" max="13318" width="2.5703125" style="15" customWidth="1"/>
    <col min="13319" max="13320" width="10.5703125" style="15" customWidth="1"/>
    <col min="13321" max="13321" width="2.5703125" style="15" customWidth="1"/>
    <col min="13322" max="13323" width="10.5703125" style="15" customWidth="1"/>
    <col min="13324" max="13324" width="2.5703125" style="15" customWidth="1"/>
    <col min="13325" max="13325" width="12.140625" style="15" bestFit="1" customWidth="1"/>
    <col min="13326" max="13326" width="10.5703125" style="15" customWidth="1"/>
    <col min="13327" max="13327" width="2.5703125" style="15" customWidth="1"/>
    <col min="13328" max="13329" width="10.5703125" style="15" customWidth="1"/>
    <col min="13330" max="13330" width="2.7109375" style="15" customWidth="1"/>
    <col min="13331" max="13332" width="9.28515625" style="15" bestFit="1" customWidth="1"/>
    <col min="13333" max="13333" width="2.7109375" style="15" customWidth="1"/>
    <col min="13334" max="13335" width="10.42578125" style="15" bestFit="1" customWidth="1"/>
    <col min="13336" max="13336" width="2.5703125" style="15" customWidth="1"/>
    <col min="13337" max="13338" width="10.42578125" style="15" customWidth="1"/>
    <col min="13339" max="13339" width="2.5703125" style="15" customWidth="1"/>
    <col min="13340" max="13341" width="10.42578125" style="15" customWidth="1"/>
    <col min="13342" max="13342" width="2.7109375" style="15" customWidth="1"/>
    <col min="13343" max="13343" width="11.5703125" style="15" bestFit="1" customWidth="1"/>
    <col min="13344" max="13344" width="10.42578125" style="15" bestFit="1" customWidth="1"/>
    <col min="13345" max="13345" width="6.42578125" style="15" bestFit="1" customWidth="1"/>
    <col min="13346" max="13346" width="5.85546875" style="15" bestFit="1" customWidth="1"/>
    <col min="13347" max="13347" width="10.42578125" style="15" bestFit="1" customWidth="1"/>
    <col min="13348" max="13348" width="8.7109375" style="15" bestFit="1" customWidth="1"/>
    <col min="13349" max="13349" width="2.7109375" style="15" customWidth="1"/>
    <col min="13350" max="13350" width="5.85546875" style="15" bestFit="1" customWidth="1"/>
    <col min="13351" max="13351" width="12.7109375" style="15" bestFit="1" customWidth="1"/>
    <col min="13352" max="13352" width="11.5703125" style="15" bestFit="1" customWidth="1"/>
    <col min="13353" max="13353" width="2.7109375" style="15" customWidth="1"/>
    <col min="13354" max="13354" width="12.7109375" style="15" bestFit="1" customWidth="1"/>
    <col min="13355" max="13355" width="9.140625" style="15"/>
    <col min="13356" max="13356" width="21.7109375" style="15" bestFit="1" customWidth="1"/>
    <col min="13357" max="13357" width="9.140625" style="15"/>
    <col min="13358" max="13358" width="10.7109375" style="15" customWidth="1"/>
    <col min="13359" max="13359" width="10" style="15" bestFit="1" customWidth="1"/>
    <col min="13360" max="13568" width="9.140625" style="15"/>
    <col min="13569" max="13569" width="6.42578125" style="15" bestFit="1" customWidth="1"/>
    <col min="13570" max="13570" width="6" style="15" bestFit="1" customWidth="1"/>
    <col min="13571" max="13571" width="2.7109375" style="15" customWidth="1"/>
    <col min="13572" max="13573" width="10.42578125" style="15" customWidth="1"/>
    <col min="13574" max="13574" width="2.5703125" style="15" customWidth="1"/>
    <col min="13575" max="13576" width="10.5703125" style="15" customWidth="1"/>
    <col min="13577" max="13577" width="2.5703125" style="15" customWidth="1"/>
    <col min="13578" max="13579" width="10.5703125" style="15" customWidth="1"/>
    <col min="13580" max="13580" width="2.5703125" style="15" customWidth="1"/>
    <col min="13581" max="13581" width="12.140625" style="15" bestFit="1" customWidth="1"/>
    <col min="13582" max="13582" width="10.5703125" style="15" customWidth="1"/>
    <col min="13583" max="13583" width="2.5703125" style="15" customWidth="1"/>
    <col min="13584" max="13585" width="10.5703125" style="15" customWidth="1"/>
    <col min="13586" max="13586" width="2.7109375" style="15" customWidth="1"/>
    <col min="13587" max="13588" width="9.28515625" style="15" bestFit="1" customWidth="1"/>
    <col min="13589" max="13589" width="2.7109375" style="15" customWidth="1"/>
    <col min="13590" max="13591" width="10.42578125" style="15" bestFit="1" customWidth="1"/>
    <col min="13592" max="13592" width="2.5703125" style="15" customWidth="1"/>
    <col min="13593" max="13594" width="10.42578125" style="15" customWidth="1"/>
    <col min="13595" max="13595" width="2.5703125" style="15" customWidth="1"/>
    <col min="13596" max="13597" width="10.42578125" style="15" customWidth="1"/>
    <col min="13598" max="13598" width="2.7109375" style="15" customWidth="1"/>
    <col min="13599" max="13599" width="11.5703125" style="15" bestFit="1" customWidth="1"/>
    <col min="13600" max="13600" width="10.42578125" style="15" bestFit="1" customWidth="1"/>
    <col min="13601" max="13601" width="6.42578125" style="15" bestFit="1" customWidth="1"/>
    <col min="13602" max="13602" width="5.85546875" style="15" bestFit="1" customWidth="1"/>
    <col min="13603" max="13603" width="10.42578125" style="15" bestFit="1" customWidth="1"/>
    <col min="13604" max="13604" width="8.7109375" style="15" bestFit="1" customWidth="1"/>
    <col min="13605" max="13605" width="2.7109375" style="15" customWidth="1"/>
    <col min="13606" max="13606" width="5.85546875" style="15" bestFit="1" customWidth="1"/>
    <col min="13607" max="13607" width="12.7109375" style="15" bestFit="1" customWidth="1"/>
    <col min="13608" max="13608" width="11.5703125" style="15" bestFit="1" customWidth="1"/>
    <col min="13609" max="13609" width="2.7109375" style="15" customWidth="1"/>
    <col min="13610" max="13610" width="12.7109375" style="15" bestFit="1" customWidth="1"/>
    <col min="13611" max="13611" width="9.140625" style="15"/>
    <col min="13612" max="13612" width="21.7109375" style="15" bestFit="1" customWidth="1"/>
    <col min="13613" max="13613" width="9.140625" style="15"/>
    <col min="13614" max="13614" width="10.7109375" style="15" customWidth="1"/>
    <col min="13615" max="13615" width="10" style="15" bestFit="1" customWidth="1"/>
    <col min="13616" max="13824" width="9.140625" style="15"/>
    <col min="13825" max="13825" width="6.42578125" style="15" bestFit="1" customWidth="1"/>
    <col min="13826" max="13826" width="6" style="15" bestFit="1" customWidth="1"/>
    <col min="13827" max="13827" width="2.7109375" style="15" customWidth="1"/>
    <col min="13828" max="13829" width="10.42578125" style="15" customWidth="1"/>
    <col min="13830" max="13830" width="2.5703125" style="15" customWidth="1"/>
    <col min="13831" max="13832" width="10.5703125" style="15" customWidth="1"/>
    <col min="13833" max="13833" width="2.5703125" style="15" customWidth="1"/>
    <col min="13834" max="13835" width="10.5703125" style="15" customWidth="1"/>
    <col min="13836" max="13836" width="2.5703125" style="15" customWidth="1"/>
    <col min="13837" max="13837" width="12.140625" style="15" bestFit="1" customWidth="1"/>
    <col min="13838" max="13838" width="10.5703125" style="15" customWidth="1"/>
    <col min="13839" max="13839" width="2.5703125" style="15" customWidth="1"/>
    <col min="13840" max="13841" width="10.5703125" style="15" customWidth="1"/>
    <col min="13842" max="13842" width="2.7109375" style="15" customWidth="1"/>
    <col min="13843" max="13844" width="9.28515625" style="15" bestFit="1" customWidth="1"/>
    <col min="13845" max="13845" width="2.7109375" style="15" customWidth="1"/>
    <col min="13846" max="13847" width="10.42578125" style="15" bestFit="1" customWidth="1"/>
    <col min="13848" max="13848" width="2.5703125" style="15" customWidth="1"/>
    <col min="13849" max="13850" width="10.42578125" style="15" customWidth="1"/>
    <col min="13851" max="13851" width="2.5703125" style="15" customWidth="1"/>
    <col min="13852" max="13853" width="10.42578125" style="15" customWidth="1"/>
    <col min="13854" max="13854" width="2.7109375" style="15" customWidth="1"/>
    <col min="13855" max="13855" width="11.5703125" style="15" bestFit="1" customWidth="1"/>
    <col min="13856" max="13856" width="10.42578125" style="15" bestFit="1" customWidth="1"/>
    <col min="13857" max="13857" width="6.42578125" style="15" bestFit="1" customWidth="1"/>
    <col min="13858" max="13858" width="5.85546875" style="15" bestFit="1" customWidth="1"/>
    <col min="13859" max="13859" width="10.42578125" style="15" bestFit="1" customWidth="1"/>
    <col min="13860" max="13860" width="8.7109375" style="15" bestFit="1" customWidth="1"/>
    <col min="13861" max="13861" width="2.7109375" style="15" customWidth="1"/>
    <col min="13862" max="13862" width="5.85546875" style="15" bestFit="1" customWidth="1"/>
    <col min="13863" max="13863" width="12.7109375" style="15" bestFit="1" customWidth="1"/>
    <col min="13864" max="13864" width="11.5703125" style="15" bestFit="1" customWidth="1"/>
    <col min="13865" max="13865" width="2.7109375" style="15" customWidth="1"/>
    <col min="13866" max="13866" width="12.7109375" style="15" bestFit="1" customWidth="1"/>
    <col min="13867" max="13867" width="9.140625" style="15"/>
    <col min="13868" max="13868" width="21.7109375" style="15" bestFit="1" customWidth="1"/>
    <col min="13869" max="13869" width="9.140625" style="15"/>
    <col min="13870" max="13870" width="10.7109375" style="15" customWidth="1"/>
    <col min="13871" max="13871" width="10" style="15" bestFit="1" customWidth="1"/>
    <col min="13872" max="14080" width="9.140625" style="15"/>
    <col min="14081" max="14081" width="6.42578125" style="15" bestFit="1" customWidth="1"/>
    <col min="14082" max="14082" width="6" style="15" bestFit="1" customWidth="1"/>
    <col min="14083" max="14083" width="2.7109375" style="15" customWidth="1"/>
    <col min="14084" max="14085" width="10.42578125" style="15" customWidth="1"/>
    <col min="14086" max="14086" width="2.5703125" style="15" customWidth="1"/>
    <col min="14087" max="14088" width="10.5703125" style="15" customWidth="1"/>
    <col min="14089" max="14089" width="2.5703125" style="15" customWidth="1"/>
    <col min="14090" max="14091" width="10.5703125" style="15" customWidth="1"/>
    <col min="14092" max="14092" width="2.5703125" style="15" customWidth="1"/>
    <col min="14093" max="14093" width="12.140625" style="15" bestFit="1" customWidth="1"/>
    <col min="14094" max="14094" width="10.5703125" style="15" customWidth="1"/>
    <col min="14095" max="14095" width="2.5703125" style="15" customWidth="1"/>
    <col min="14096" max="14097" width="10.5703125" style="15" customWidth="1"/>
    <col min="14098" max="14098" width="2.7109375" style="15" customWidth="1"/>
    <col min="14099" max="14100" width="9.28515625" style="15" bestFit="1" customWidth="1"/>
    <col min="14101" max="14101" width="2.7109375" style="15" customWidth="1"/>
    <col min="14102" max="14103" width="10.42578125" style="15" bestFit="1" customWidth="1"/>
    <col min="14104" max="14104" width="2.5703125" style="15" customWidth="1"/>
    <col min="14105" max="14106" width="10.42578125" style="15" customWidth="1"/>
    <col min="14107" max="14107" width="2.5703125" style="15" customWidth="1"/>
    <col min="14108" max="14109" width="10.42578125" style="15" customWidth="1"/>
    <col min="14110" max="14110" width="2.7109375" style="15" customWidth="1"/>
    <col min="14111" max="14111" width="11.5703125" style="15" bestFit="1" customWidth="1"/>
    <col min="14112" max="14112" width="10.42578125" style="15" bestFit="1" customWidth="1"/>
    <col min="14113" max="14113" width="6.42578125" style="15" bestFit="1" customWidth="1"/>
    <col min="14114" max="14114" width="5.85546875" style="15" bestFit="1" customWidth="1"/>
    <col min="14115" max="14115" width="10.42578125" style="15" bestFit="1" customWidth="1"/>
    <col min="14116" max="14116" width="8.7109375" style="15" bestFit="1" customWidth="1"/>
    <col min="14117" max="14117" width="2.7109375" style="15" customWidth="1"/>
    <col min="14118" max="14118" width="5.85546875" style="15" bestFit="1" customWidth="1"/>
    <col min="14119" max="14119" width="12.7109375" style="15" bestFit="1" customWidth="1"/>
    <col min="14120" max="14120" width="11.5703125" style="15" bestFit="1" customWidth="1"/>
    <col min="14121" max="14121" width="2.7109375" style="15" customWidth="1"/>
    <col min="14122" max="14122" width="12.7109375" style="15" bestFit="1" customWidth="1"/>
    <col min="14123" max="14123" width="9.140625" style="15"/>
    <col min="14124" max="14124" width="21.7109375" style="15" bestFit="1" customWidth="1"/>
    <col min="14125" max="14125" width="9.140625" style="15"/>
    <col min="14126" max="14126" width="10.7109375" style="15" customWidth="1"/>
    <col min="14127" max="14127" width="10" style="15" bestFit="1" customWidth="1"/>
    <col min="14128" max="14336" width="9.140625" style="15"/>
    <col min="14337" max="14337" width="6.42578125" style="15" bestFit="1" customWidth="1"/>
    <col min="14338" max="14338" width="6" style="15" bestFit="1" customWidth="1"/>
    <col min="14339" max="14339" width="2.7109375" style="15" customWidth="1"/>
    <col min="14340" max="14341" width="10.42578125" style="15" customWidth="1"/>
    <col min="14342" max="14342" width="2.5703125" style="15" customWidth="1"/>
    <col min="14343" max="14344" width="10.5703125" style="15" customWidth="1"/>
    <col min="14345" max="14345" width="2.5703125" style="15" customWidth="1"/>
    <col min="14346" max="14347" width="10.5703125" style="15" customWidth="1"/>
    <col min="14348" max="14348" width="2.5703125" style="15" customWidth="1"/>
    <col min="14349" max="14349" width="12.140625" style="15" bestFit="1" customWidth="1"/>
    <col min="14350" max="14350" width="10.5703125" style="15" customWidth="1"/>
    <col min="14351" max="14351" width="2.5703125" style="15" customWidth="1"/>
    <col min="14352" max="14353" width="10.5703125" style="15" customWidth="1"/>
    <col min="14354" max="14354" width="2.7109375" style="15" customWidth="1"/>
    <col min="14355" max="14356" width="9.28515625" style="15" bestFit="1" customWidth="1"/>
    <col min="14357" max="14357" width="2.7109375" style="15" customWidth="1"/>
    <col min="14358" max="14359" width="10.42578125" style="15" bestFit="1" customWidth="1"/>
    <col min="14360" max="14360" width="2.5703125" style="15" customWidth="1"/>
    <col min="14361" max="14362" width="10.42578125" style="15" customWidth="1"/>
    <col min="14363" max="14363" width="2.5703125" style="15" customWidth="1"/>
    <col min="14364" max="14365" width="10.42578125" style="15" customWidth="1"/>
    <col min="14366" max="14366" width="2.7109375" style="15" customWidth="1"/>
    <col min="14367" max="14367" width="11.5703125" style="15" bestFit="1" customWidth="1"/>
    <col min="14368" max="14368" width="10.42578125" style="15" bestFit="1" customWidth="1"/>
    <col min="14369" max="14369" width="6.42578125" style="15" bestFit="1" customWidth="1"/>
    <col min="14370" max="14370" width="5.85546875" style="15" bestFit="1" customWidth="1"/>
    <col min="14371" max="14371" width="10.42578125" style="15" bestFit="1" customWidth="1"/>
    <col min="14372" max="14372" width="8.7109375" style="15" bestFit="1" customWidth="1"/>
    <col min="14373" max="14373" width="2.7109375" style="15" customWidth="1"/>
    <col min="14374" max="14374" width="5.85546875" style="15" bestFit="1" customWidth="1"/>
    <col min="14375" max="14375" width="12.7109375" style="15" bestFit="1" customWidth="1"/>
    <col min="14376" max="14376" width="11.5703125" style="15" bestFit="1" customWidth="1"/>
    <col min="14377" max="14377" width="2.7109375" style="15" customWidth="1"/>
    <col min="14378" max="14378" width="12.7109375" style="15" bestFit="1" customWidth="1"/>
    <col min="14379" max="14379" width="9.140625" style="15"/>
    <col min="14380" max="14380" width="21.7109375" style="15" bestFit="1" customWidth="1"/>
    <col min="14381" max="14381" width="9.140625" style="15"/>
    <col min="14382" max="14382" width="10.7109375" style="15" customWidth="1"/>
    <col min="14383" max="14383" width="10" style="15" bestFit="1" customWidth="1"/>
    <col min="14384" max="14592" width="9.140625" style="15"/>
    <col min="14593" max="14593" width="6.42578125" style="15" bestFit="1" customWidth="1"/>
    <col min="14594" max="14594" width="6" style="15" bestFit="1" customWidth="1"/>
    <col min="14595" max="14595" width="2.7109375" style="15" customWidth="1"/>
    <col min="14596" max="14597" width="10.42578125" style="15" customWidth="1"/>
    <col min="14598" max="14598" width="2.5703125" style="15" customWidth="1"/>
    <col min="14599" max="14600" width="10.5703125" style="15" customWidth="1"/>
    <col min="14601" max="14601" width="2.5703125" style="15" customWidth="1"/>
    <col min="14602" max="14603" width="10.5703125" style="15" customWidth="1"/>
    <col min="14604" max="14604" width="2.5703125" style="15" customWidth="1"/>
    <col min="14605" max="14605" width="12.140625" style="15" bestFit="1" customWidth="1"/>
    <col min="14606" max="14606" width="10.5703125" style="15" customWidth="1"/>
    <col min="14607" max="14607" width="2.5703125" style="15" customWidth="1"/>
    <col min="14608" max="14609" width="10.5703125" style="15" customWidth="1"/>
    <col min="14610" max="14610" width="2.7109375" style="15" customWidth="1"/>
    <col min="14611" max="14612" width="9.28515625" style="15" bestFit="1" customWidth="1"/>
    <col min="14613" max="14613" width="2.7109375" style="15" customWidth="1"/>
    <col min="14614" max="14615" width="10.42578125" style="15" bestFit="1" customWidth="1"/>
    <col min="14616" max="14616" width="2.5703125" style="15" customWidth="1"/>
    <col min="14617" max="14618" width="10.42578125" style="15" customWidth="1"/>
    <col min="14619" max="14619" width="2.5703125" style="15" customWidth="1"/>
    <col min="14620" max="14621" width="10.42578125" style="15" customWidth="1"/>
    <col min="14622" max="14622" width="2.7109375" style="15" customWidth="1"/>
    <col min="14623" max="14623" width="11.5703125" style="15" bestFit="1" customWidth="1"/>
    <col min="14624" max="14624" width="10.42578125" style="15" bestFit="1" customWidth="1"/>
    <col min="14625" max="14625" width="6.42578125" style="15" bestFit="1" customWidth="1"/>
    <col min="14626" max="14626" width="5.85546875" style="15" bestFit="1" customWidth="1"/>
    <col min="14627" max="14627" width="10.42578125" style="15" bestFit="1" customWidth="1"/>
    <col min="14628" max="14628" width="8.7109375" style="15" bestFit="1" customWidth="1"/>
    <col min="14629" max="14629" width="2.7109375" style="15" customWidth="1"/>
    <col min="14630" max="14630" width="5.85546875" style="15" bestFit="1" customWidth="1"/>
    <col min="14631" max="14631" width="12.7109375" style="15" bestFit="1" customWidth="1"/>
    <col min="14632" max="14632" width="11.5703125" style="15" bestFit="1" customWidth="1"/>
    <col min="14633" max="14633" width="2.7109375" style="15" customWidth="1"/>
    <col min="14634" max="14634" width="12.7109375" style="15" bestFit="1" customWidth="1"/>
    <col min="14635" max="14635" width="9.140625" style="15"/>
    <col min="14636" max="14636" width="21.7109375" style="15" bestFit="1" customWidth="1"/>
    <col min="14637" max="14637" width="9.140625" style="15"/>
    <col min="14638" max="14638" width="10.7109375" style="15" customWidth="1"/>
    <col min="14639" max="14639" width="10" style="15" bestFit="1" customWidth="1"/>
    <col min="14640" max="14848" width="9.140625" style="15"/>
    <col min="14849" max="14849" width="6.42578125" style="15" bestFit="1" customWidth="1"/>
    <col min="14850" max="14850" width="6" style="15" bestFit="1" customWidth="1"/>
    <col min="14851" max="14851" width="2.7109375" style="15" customWidth="1"/>
    <col min="14852" max="14853" width="10.42578125" style="15" customWidth="1"/>
    <col min="14854" max="14854" width="2.5703125" style="15" customWidth="1"/>
    <col min="14855" max="14856" width="10.5703125" style="15" customWidth="1"/>
    <col min="14857" max="14857" width="2.5703125" style="15" customWidth="1"/>
    <col min="14858" max="14859" width="10.5703125" style="15" customWidth="1"/>
    <col min="14860" max="14860" width="2.5703125" style="15" customWidth="1"/>
    <col min="14861" max="14861" width="12.140625" style="15" bestFit="1" customWidth="1"/>
    <col min="14862" max="14862" width="10.5703125" style="15" customWidth="1"/>
    <col min="14863" max="14863" width="2.5703125" style="15" customWidth="1"/>
    <col min="14864" max="14865" width="10.5703125" style="15" customWidth="1"/>
    <col min="14866" max="14866" width="2.7109375" style="15" customWidth="1"/>
    <col min="14867" max="14868" width="9.28515625" style="15" bestFit="1" customWidth="1"/>
    <col min="14869" max="14869" width="2.7109375" style="15" customWidth="1"/>
    <col min="14870" max="14871" width="10.42578125" style="15" bestFit="1" customWidth="1"/>
    <col min="14872" max="14872" width="2.5703125" style="15" customWidth="1"/>
    <col min="14873" max="14874" width="10.42578125" style="15" customWidth="1"/>
    <col min="14875" max="14875" width="2.5703125" style="15" customWidth="1"/>
    <col min="14876" max="14877" width="10.42578125" style="15" customWidth="1"/>
    <col min="14878" max="14878" width="2.7109375" style="15" customWidth="1"/>
    <col min="14879" max="14879" width="11.5703125" style="15" bestFit="1" customWidth="1"/>
    <col min="14880" max="14880" width="10.42578125" style="15" bestFit="1" customWidth="1"/>
    <col min="14881" max="14881" width="6.42578125" style="15" bestFit="1" customWidth="1"/>
    <col min="14882" max="14882" width="5.85546875" style="15" bestFit="1" customWidth="1"/>
    <col min="14883" max="14883" width="10.42578125" style="15" bestFit="1" customWidth="1"/>
    <col min="14884" max="14884" width="8.7109375" style="15" bestFit="1" customWidth="1"/>
    <col min="14885" max="14885" width="2.7109375" style="15" customWidth="1"/>
    <col min="14886" max="14886" width="5.85546875" style="15" bestFit="1" customWidth="1"/>
    <col min="14887" max="14887" width="12.7109375" style="15" bestFit="1" customWidth="1"/>
    <col min="14888" max="14888" width="11.5703125" style="15" bestFit="1" customWidth="1"/>
    <col min="14889" max="14889" width="2.7109375" style="15" customWidth="1"/>
    <col min="14890" max="14890" width="12.7109375" style="15" bestFit="1" customWidth="1"/>
    <col min="14891" max="14891" width="9.140625" style="15"/>
    <col min="14892" max="14892" width="21.7109375" style="15" bestFit="1" customWidth="1"/>
    <col min="14893" max="14893" width="9.140625" style="15"/>
    <col min="14894" max="14894" width="10.7109375" style="15" customWidth="1"/>
    <col min="14895" max="14895" width="10" style="15" bestFit="1" customWidth="1"/>
    <col min="14896" max="15104" width="9.140625" style="15"/>
    <col min="15105" max="15105" width="6.42578125" style="15" bestFit="1" customWidth="1"/>
    <col min="15106" max="15106" width="6" style="15" bestFit="1" customWidth="1"/>
    <col min="15107" max="15107" width="2.7109375" style="15" customWidth="1"/>
    <col min="15108" max="15109" width="10.42578125" style="15" customWidth="1"/>
    <col min="15110" max="15110" width="2.5703125" style="15" customWidth="1"/>
    <col min="15111" max="15112" width="10.5703125" style="15" customWidth="1"/>
    <col min="15113" max="15113" width="2.5703125" style="15" customWidth="1"/>
    <col min="15114" max="15115" width="10.5703125" style="15" customWidth="1"/>
    <col min="15116" max="15116" width="2.5703125" style="15" customWidth="1"/>
    <col min="15117" max="15117" width="12.140625" style="15" bestFit="1" customWidth="1"/>
    <col min="15118" max="15118" width="10.5703125" style="15" customWidth="1"/>
    <col min="15119" max="15119" width="2.5703125" style="15" customWidth="1"/>
    <col min="15120" max="15121" width="10.5703125" style="15" customWidth="1"/>
    <col min="15122" max="15122" width="2.7109375" style="15" customWidth="1"/>
    <col min="15123" max="15124" width="9.28515625" style="15" bestFit="1" customWidth="1"/>
    <col min="15125" max="15125" width="2.7109375" style="15" customWidth="1"/>
    <col min="15126" max="15127" width="10.42578125" style="15" bestFit="1" customWidth="1"/>
    <col min="15128" max="15128" width="2.5703125" style="15" customWidth="1"/>
    <col min="15129" max="15130" width="10.42578125" style="15" customWidth="1"/>
    <col min="15131" max="15131" width="2.5703125" style="15" customWidth="1"/>
    <col min="15132" max="15133" width="10.42578125" style="15" customWidth="1"/>
    <col min="15134" max="15134" width="2.7109375" style="15" customWidth="1"/>
    <col min="15135" max="15135" width="11.5703125" style="15" bestFit="1" customWidth="1"/>
    <col min="15136" max="15136" width="10.42578125" style="15" bestFit="1" customWidth="1"/>
    <col min="15137" max="15137" width="6.42578125" style="15" bestFit="1" customWidth="1"/>
    <col min="15138" max="15138" width="5.85546875" style="15" bestFit="1" customWidth="1"/>
    <col min="15139" max="15139" width="10.42578125" style="15" bestFit="1" customWidth="1"/>
    <col min="15140" max="15140" width="8.7109375" style="15" bestFit="1" customWidth="1"/>
    <col min="15141" max="15141" width="2.7109375" style="15" customWidth="1"/>
    <col min="15142" max="15142" width="5.85546875" style="15" bestFit="1" customWidth="1"/>
    <col min="15143" max="15143" width="12.7109375" style="15" bestFit="1" customWidth="1"/>
    <col min="15144" max="15144" width="11.5703125" style="15" bestFit="1" customWidth="1"/>
    <col min="15145" max="15145" width="2.7109375" style="15" customWidth="1"/>
    <col min="15146" max="15146" width="12.7109375" style="15" bestFit="1" customWidth="1"/>
    <col min="15147" max="15147" width="9.140625" style="15"/>
    <col min="15148" max="15148" width="21.7109375" style="15" bestFit="1" customWidth="1"/>
    <col min="15149" max="15149" width="9.140625" style="15"/>
    <col min="15150" max="15150" width="10.7109375" style="15" customWidth="1"/>
    <col min="15151" max="15151" width="10" style="15" bestFit="1" customWidth="1"/>
    <col min="15152" max="15360" width="9.140625" style="15"/>
    <col min="15361" max="15361" width="6.42578125" style="15" bestFit="1" customWidth="1"/>
    <col min="15362" max="15362" width="6" style="15" bestFit="1" customWidth="1"/>
    <col min="15363" max="15363" width="2.7109375" style="15" customWidth="1"/>
    <col min="15364" max="15365" width="10.42578125" style="15" customWidth="1"/>
    <col min="15366" max="15366" width="2.5703125" style="15" customWidth="1"/>
    <col min="15367" max="15368" width="10.5703125" style="15" customWidth="1"/>
    <col min="15369" max="15369" width="2.5703125" style="15" customWidth="1"/>
    <col min="15370" max="15371" width="10.5703125" style="15" customWidth="1"/>
    <col min="15372" max="15372" width="2.5703125" style="15" customWidth="1"/>
    <col min="15373" max="15373" width="12.140625" style="15" bestFit="1" customWidth="1"/>
    <col min="15374" max="15374" width="10.5703125" style="15" customWidth="1"/>
    <col min="15375" max="15375" width="2.5703125" style="15" customWidth="1"/>
    <col min="15376" max="15377" width="10.5703125" style="15" customWidth="1"/>
    <col min="15378" max="15378" width="2.7109375" style="15" customWidth="1"/>
    <col min="15379" max="15380" width="9.28515625" style="15" bestFit="1" customWidth="1"/>
    <col min="15381" max="15381" width="2.7109375" style="15" customWidth="1"/>
    <col min="15382" max="15383" width="10.42578125" style="15" bestFit="1" customWidth="1"/>
    <col min="15384" max="15384" width="2.5703125" style="15" customWidth="1"/>
    <col min="15385" max="15386" width="10.42578125" style="15" customWidth="1"/>
    <col min="15387" max="15387" width="2.5703125" style="15" customWidth="1"/>
    <col min="15388" max="15389" width="10.42578125" style="15" customWidth="1"/>
    <col min="15390" max="15390" width="2.7109375" style="15" customWidth="1"/>
    <col min="15391" max="15391" width="11.5703125" style="15" bestFit="1" customWidth="1"/>
    <col min="15392" max="15392" width="10.42578125" style="15" bestFit="1" customWidth="1"/>
    <col min="15393" max="15393" width="6.42578125" style="15" bestFit="1" customWidth="1"/>
    <col min="15394" max="15394" width="5.85546875" style="15" bestFit="1" customWidth="1"/>
    <col min="15395" max="15395" width="10.42578125" style="15" bestFit="1" customWidth="1"/>
    <col min="15396" max="15396" width="8.7109375" style="15" bestFit="1" customWidth="1"/>
    <col min="15397" max="15397" width="2.7109375" style="15" customWidth="1"/>
    <col min="15398" max="15398" width="5.85546875" style="15" bestFit="1" customWidth="1"/>
    <col min="15399" max="15399" width="12.7109375" style="15" bestFit="1" customWidth="1"/>
    <col min="15400" max="15400" width="11.5703125" style="15" bestFit="1" customWidth="1"/>
    <col min="15401" max="15401" width="2.7109375" style="15" customWidth="1"/>
    <col min="15402" max="15402" width="12.7109375" style="15" bestFit="1" customWidth="1"/>
    <col min="15403" max="15403" width="9.140625" style="15"/>
    <col min="15404" max="15404" width="21.7109375" style="15" bestFit="1" customWidth="1"/>
    <col min="15405" max="15405" width="9.140625" style="15"/>
    <col min="15406" max="15406" width="10.7109375" style="15" customWidth="1"/>
    <col min="15407" max="15407" width="10" style="15" bestFit="1" customWidth="1"/>
    <col min="15408" max="15616" width="9.140625" style="15"/>
    <col min="15617" max="15617" width="6.42578125" style="15" bestFit="1" customWidth="1"/>
    <col min="15618" max="15618" width="6" style="15" bestFit="1" customWidth="1"/>
    <col min="15619" max="15619" width="2.7109375" style="15" customWidth="1"/>
    <col min="15620" max="15621" width="10.42578125" style="15" customWidth="1"/>
    <col min="15622" max="15622" width="2.5703125" style="15" customWidth="1"/>
    <col min="15623" max="15624" width="10.5703125" style="15" customWidth="1"/>
    <col min="15625" max="15625" width="2.5703125" style="15" customWidth="1"/>
    <col min="15626" max="15627" width="10.5703125" style="15" customWidth="1"/>
    <col min="15628" max="15628" width="2.5703125" style="15" customWidth="1"/>
    <col min="15629" max="15629" width="12.140625" style="15" bestFit="1" customWidth="1"/>
    <col min="15630" max="15630" width="10.5703125" style="15" customWidth="1"/>
    <col min="15631" max="15631" width="2.5703125" style="15" customWidth="1"/>
    <col min="15632" max="15633" width="10.5703125" style="15" customWidth="1"/>
    <col min="15634" max="15634" width="2.7109375" style="15" customWidth="1"/>
    <col min="15635" max="15636" width="9.28515625" style="15" bestFit="1" customWidth="1"/>
    <col min="15637" max="15637" width="2.7109375" style="15" customWidth="1"/>
    <col min="15638" max="15639" width="10.42578125" style="15" bestFit="1" customWidth="1"/>
    <col min="15640" max="15640" width="2.5703125" style="15" customWidth="1"/>
    <col min="15641" max="15642" width="10.42578125" style="15" customWidth="1"/>
    <col min="15643" max="15643" width="2.5703125" style="15" customWidth="1"/>
    <col min="15644" max="15645" width="10.42578125" style="15" customWidth="1"/>
    <col min="15646" max="15646" width="2.7109375" style="15" customWidth="1"/>
    <col min="15647" max="15647" width="11.5703125" style="15" bestFit="1" customWidth="1"/>
    <col min="15648" max="15648" width="10.42578125" style="15" bestFit="1" customWidth="1"/>
    <col min="15649" max="15649" width="6.42578125" style="15" bestFit="1" customWidth="1"/>
    <col min="15650" max="15650" width="5.85546875" style="15" bestFit="1" customWidth="1"/>
    <col min="15651" max="15651" width="10.42578125" style="15" bestFit="1" customWidth="1"/>
    <col min="15652" max="15652" width="8.7109375" style="15" bestFit="1" customWidth="1"/>
    <col min="15653" max="15653" width="2.7109375" style="15" customWidth="1"/>
    <col min="15654" max="15654" width="5.85546875" style="15" bestFit="1" customWidth="1"/>
    <col min="15655" max="15655" width="12.7109375" style="15" bestFit="1" customWidth="1"/>
    <col min="15656" max="15656" width="11.5703125" style="15" bestFit="1" customWidth="1"/>
    <col min="15657" max="15657" width="2.7109375" style="15" customWidth="1"/>
    <col min="15658" max="15658" width="12.7109375" style="15" bestFit="1" customWidth="1"/>
    <col min="15659" max="15659" width="9.140625" style="15"/>
    <col min="15660" max="15660" width="21.7109375" style="15" bestFit="1" customWidth="1"/>
    <col min="15661" max="15661" width="9.140625" style="15"/>
    <col min="15662" max="15662" width="10.7109375" style="15" customWidth="1"/>
    <col min="15663" max="15663" width="10" style="15" bestFit="1" customWidth="1"/>
    <col min="15664" max="15872" width="9.140625" style="15"/>
    <col min="15873" max="15873" width="6.42578125" style="15" bestFit="1" customWidth="1"/>
    <col min="15874" max="15874" width="6" style="15" bestFit="1" customWidth="1"/>
    <col min="15875" max="15875" width="2.7109375" style="15" customWidth="1"/>
    <col min="15876" max="15877" width="10.42578125" style="15" customWidth="1"/>
    <col min="15878" max="15878" width="2.5703125" style="15" customWidth="1"/>
    <col min="15879" max="15880" width="10.5703125" style="15" customWidth="1"/>
    <col min="15881" max="15881" width="2.5703125" style="15" customWidth="1"/>
    <col min="15882" max="15883" width="10.5703125" style="15" customWidth="1"/>
    <col min="15884" max="15884" width="2.5703125" style="15" customWidth="1"/>
    <col min="15885" max="15885" width="12.140625" style="15" bestFit="1" customWidth="1"/>
    <col min="15886" max="15886" width="10.5703125" style="15" customWidth="1"/>
    <col min="15887" max="15887" width="2.5703125" style="15" customWidth="1"/>
    <col min="15888" max="15889" width="10.5703125" style="15" customWidth="1"/>
    <col min="15890" max="15890" width="2.7109375" style="15" customWidth="1"/>
    <col min="15891" max="15892" width="9.28515625" style="15" bestFit="1" customWidth="1"/>
    <col min="15893" max="15893" width="2.7109375" style="15" customWidth="1"/>
    <col min="15894" max="15895" width="10.42578125" style="15" bestFit="1" customWidth="1"/>
    <col min="15896" max="15896" width="2.5703125" style="15" customWidth="1"/>
    <col min="15897" max="15898" width="10.42578125" style="15" customWidth="1"/>
    <col min="15899" max="15899" width="2.5703125" style="15" customWidth="1"/>
    <col min="15900" max="15901" width="10.42578125" style="15" customWidth="1"/>
    <col min="15902" max="15902" width="2.7109375" style="15" customWidth="1"/>
    <col min="15903" max="15903" width="11.5703125" style="15" bestFit="1" customWidth="1"/>
    <col min="15904" max="15904" width="10.42578125" style="15" bestFit="1" customWidth="1"/>
    <col min="15905" max="15905" width="6.42578125" style="15" bestFit="1" customWidth="1"/>
    <col min="15906" max="15906" width="5.85546875" style="15" bestFit="1" customWidth="1"/>
    <col min="15907" max="15907" width="10.42578125" style="15" bestFit="1" customWidth="1"/>
    <col min="15908" max="15908" width="8.7109375" style="15" bestFit="1" customWidth="1"/>
    <col min="15909" max="15909" width="2.7109375" style="15" customWidth="1"/>
    <col min="15910" max="15910" width="5.85546875" style="15" bestFit="1" customWidth="1"/>
    <col min="15911" max="15911" width="12.7109375" style="15" bestFit="1" customWidth="1"/>
    <col min="15912" max="15912" width="11.5703125" style="15" bestFit="1" customWidth="1"/>
    <col min="15913" max="15913" width="2.7109375" style="15" customWidth="1"/>
    <col min="15914" max="15914" width="12.7109375" style="15" bestFit="1" customWidth="1"/>
    <col min="15915" max="15915" width="9.140625" style="15"/>
    <col min="15916" max="15916" width="21.7109375" style="15" bestFit="1" customWidth="1"/>
    <col min="15917" max="15917" width="9.140625" style="15"/>
    <col min="15918" max="15918" width="10.7109375" style="15" customWidth="1"/>
    <col min="15919" max="15919" width="10" style="15" bestFit="1" customWidth="1"/>
    <col min="15920" max="16128" width="9.140625" style="15"/>
    <col min="16129" max="16129" width="6.42578125" style="15" bestFit="1" customWidth="1"/>
    <col min="16130" max="16130" width="6" style="15" bestFit="1" customWidth="1"/>
    <col min="16131" max="16131" width="2.7109375" style="15" customWidth="1"/>
    <col min="16132" max="16133" width="10.42578125" style="15" customWidth="1"/>
    <col min="16134" max="16134" width="2.5703125" style="15" customWidth="1"/>
    <col min="16135" max="16136" width="10.5703125" style="15" customWidth="1"/>
    <col min="16137" max="16137" width="2.5703125" style="15" customWidth="1"/>
    <col min="16138" max="16139" width="10.5703125" style="15" customWidth="1"/>
    <col min="16140" max="16140" width="2.5703125" style="15" customWidth="1"/>
    <col min="16141" max="16141" width="12.140625" style="15" bestFit="1" customWidth="1"/>
    <col min="16142" max="16142" width="10.5703125" style="15" customWidth="1"/>
    <col min="16143" max="16143" width="2.5703125" style="15" customWidth="1"/>
    <col min="16144" max="16145" width="10.5703125" style="15" customWidth="1"/>
    <col min="16146" max="16146" width="2.7109375" style="15" customWidth="1"/>
    <col min="16147" max="16148" width="9.28515625" style="15" bestFit="1" customWidth="1"/>
    <col min="16149" max="16149" width="2.7109375" style="15" customWidth="1"/>
    <col min="16150" max="16151" width="10.42578125" style="15" bestFit="1" customWidth="1"/>
    <col min="16152" max="16152" width="2.5703125" style="15" customWidth="1"/>
    <col min="16153" max="16154" width="10.42578125" style="15" customWidth="1"/>
    <col min="16155" max="16155" width="2.5703125" style="15" customWidth="1"/>
    <col min="16156" max="16157" width="10.42578125" style="15" customWidth="1"/>
    <col min="16158" max="16158" width="2.7109375" style="15" customWidth="1"/>
    <col min="16159" max="16159" width="11.5703125" style="15" bestFit="1" customWidth="1"/>
    <col min="16160" max="16160" width="10.42578125" style="15" bestFit="1" customWidth="1"/>
    <col min="16161" max="16161" width="6.42578125" style="15" bestFit="1" customWidth="1"/>
    <col min="16162" max="16162" width="5.85546875" style="15" bestFit="1" customWidth="1"/>
    <col min="16163" max="16163" width="10.42578125" style="15" bestFit="1" customWidth="1"/>
    <col min="16164" max="16164" width="8.7109375" style="15" bestFit="1" customWidth="1"/>
    <col min="16165" max="16165" width="2.7109375" style="15" customWidth="1"/>
    <col min="16166" max="16166" width="5.85546875" style="15" bestFit="1" customWidth="1"/>
    <col min="16167" max="16167" width="12.7109375" style="15" bestFit="1" customWidth="1"/>
    <col min="16168" max="16168" width="11.5703125" style="15" bestFit="1" customWidth="1"/>
    <col min="16169" max="16169" width="2.7109375" style="15" customWidth="1"/>
    <col min="16170" max="16170" width="12.7109375" style="15" bestFit="1" customWidth="1"/>
    <col min="16171" max="16171" width="9.140625" style="15"/>
    <col min="16172" max="16172" width="21.7109375" style="15" bestFit="1" customWidth="1"/>
    <col min="16173" max="16173" width="9.140625" style="15"/>
    <col min="16174" max="16174" width="10.7109375" style="15" customWidth="1"/>
    <col min="16175" max="16175" width="10" style="15" bestFit="1" customWidth="1"/>
    <col min="16176" max="16384" width="9.140625" style="15"/>
  </cols>
  <sheetData>
    <row r="1" spans="1:4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row>
    <row r="2" spans="1:41" ht="15.75" x14ac:dyDescent="0.25">
      <c r="A2" s="19"/>
      <c r="B2" s="19"/>
      <c r="C2" s="154" t="s">
        <v>61</v>
      </c>
      <c r="D2" s="154"/>
      <c r="E2" s="154"/>
      <c r="F2" s="154"/>
      <c r="G2" s="154"/>
      <c r="H2" s="154"/>
      <c r="I2" s="154"/>
      <c r="J2" s="154"/>
      <c r="K2" s="154"/>
      <c r="L2" s="154"/>
      <c r="M2" s="154"/>
      <c r="N2" s="154"/>
      <c r="O2" s="19"/>
      <c r="P2" s="19"/>
      <c r="Q2" s="19"/>
      <c r="R2" s="19"/>
      <c r="S2" s="19"/>
      <c r="T2" s="19"/>
      <c r="U2" s="19"/>
      <c r="V2" s="19"/>
      <c r="W2" s="19"/>
      <c r="X2" s="19"/>
      <c r="Y2" s="19"/>
      <c r="Z2" s="19"/>
      <c r="AN2" s="25"/>
      <c r="AO2" s="16"/>
    </row>
    <row r="3" spans="1:41" ht="15.75" x14ac:dyDescent="0.25">
      <c r="A3" s="19"/>
      <c r="B3" s="19"/>
      <c r="C3" s="154" t="s">
        <v>257</v>
      </c>
      <c r="D3" s="154"/>
      <c r="E3" s="25"/>
      <c r="F3" s="154" t="s">
        <v>258</v>
      </c>
      <c r="G3" s="154"/>
      <c r="H3" s="25"/>
      <c r="I3" s="154" t="s">
        <v>259</v>
      </c>
      <c r="J3" s="154"/>
      <c r="K3" s="25"/>
      <c r="L3" s="154" t="s">
        <v>260</v>
      </c>
      <c r="M3" s="154"/>
      <c r="N3" s="25"/>
      <c r="O3" s="154" t="s">
        <v>261</v>
      </c>
      <c r="P3" s="154"/>
      <c r="Q3" s="25"/>
      <c r="R3" s="154" t="s">
        <v>262</v>
      </c>
      <c r="S3" s="154"/>
      <c r="T3" s="25"/>
      <c r="U3" s="154" t="s">
        <v>263</v>
      </c>
      <c r="V3" s="154"/>
      <c r="W3" s="25"/>
      <c r="X3" s="154" t="s">
        <v>62</v>
      </c>
      <c r="Y3" s="154"/>
      <c r="Z3" s="95" t="s">
        <v>63</v>
      </c>
      <c r="AB3" s="33"/>
      <c r="AD3" s="33"/>
      <c r="AE3" s="33"/>
    </row>
    <row r="4" spans="1:41" x14ac:dyDescent="0.25">
      <c r="A4" s="19"/>
      <c r="B4" s="19"/>
      <c r="C4" s="95" t="s">
        <v>64</v>
      </c>
      <c r="D4" s="95" t="s">
        <v>65</v>
      </c>
      <c r="E4" s="95"/>
      <c r="F4" s="95" t="s">
        <v>64</v>
      </c>
      <c r="G4" s="95" t="s">
        <v>65</v>
      </c>
      <c r="H4" s="95"/>
      <c r="I4" s="95" t="s">
        <v>64</v>
      </c>
      <c r="J4" s="95" t="s">
        <v>65</v>
      </c>
      <c r="K4" s="95"/>
      <c r="L4" s="95" t="s">
        <v>64</v>
      </c>
      <c r="M4" s="95" t="s">
        <v>65</v>
      </c>
      <c r="N4" s="95"/>
      <c r="O4" s="95" t="s">
        <v>64</v>
      </c>
      <c r="P4" s="95" t="s">
        <v>65</v>
      </c>
      <c r="Q4" s="95"/>
      <c r="R4" s="95" t="s">
        <v>64</v>
      </c>
      <c r="S4" s="95" t="s">
        <v>65</v>
      </c>
      <c r="T4" s="95"/>
      <c r="U4" s="95" t="s">
        <v>64</v>
      </c>
      <c r="V4" s="95" t="s">
        <v>65</v>
      </c>
      <c r="W4" s="95"/>
      <c r="X4" s="95" t="s">
        <v>64</v>
      </c>
      <c r="Y4" s="95" t="s">
        <v>65</v>
      </c>
      <c r="Z4" s="95" t="s">
        <v>66</v>
      </c>
    </row>
    <row r="5" spans="1:41" s="49" customFormat="1" x14ac:dyDescent="0.25">
      <c r="A5" s="96"/>
      <c r="B5" s="96"/>
      <c r="C5" s="72"/>
      <c r="D5" s="72"/>
      <c r="E5" s="72"/>
      <c r="F5" s="72"/>
      <c r="G5" s="72"/>
      <c r="H5" s="72"/>
      <c r="I5" s="72"/>
      <c r="J5" s="72"/>
      <c r="K5" s="72"/>
      <c r="L5" s="72"/>
      <c r="M5" s="72"/>
      <c r="N5" s="72"/>
      <c r="O5" s="72"/>
      <c r="P5" s="72"/>
      <c r="Q5" s="72"/>
      <c r="R5" s="72"/>
      <c r="S5" s="72"/>
      <c r="T5" s="72"/>
      <c r="U5" s="72"/>
      <c r="V5" s="72"/>
      <c r="W5" s="72"/>
      <c r="X5" s="72"/>
      <c r="Y5" s="72"/>
      <c r="Z5" s="72"/>
    </row>
    <row r="6" spans="1:41" x14ac:dyDescent="0.25">
      <c r="A6" s="19">
        <v>2023</v>
      </c>
      <c r="B6" s="19"/>
      <c r="C6" s="18">
        <v>18500</v>
      </c>
      <c r="D6" s="18">
        <v>25418.75</v>
      </c>
      <c r="E6" s="18"/>
      <c r="F6" s="18">
        <v>1500</v>
      </c>
      <c r="G6" s="18">
        <v>3371.88</v>
      </c>
      <c r="H6" s="18"/>
      <c r="I6" s="18">
        <v>22000</v>
      </c>
      <c r="J6" s="18">
        <v>24240</v>
      </c>
      <c r="K6" s="18"/>
      <c r="L6" s="18">
        <v>6000</v>
      </c>
      <c r="M6" s="18">
        <v>5715</v>
      </c>
      <c r="N6" s="18"/>
      <c r="O6" s="18">
        <v>60000</v>
      </c>
      <c r="P6" s="18">
        <v>8310</v>
      </c>
      <c r="Q6" s="18"/>
      <c r="R6" s="18">
        <f>12*8750</f>
        <v>105000</v>
      </c>
      <c r="S6" s="18">
        <f>12*3691.5</f>
        <v>44298</v>
      </c>
      <c r="T6" s="18"/>
      <c r="U6" s="18">
        <f>12*1666.67</f>
        <v>20000.04</v>
      </c>
      <c r="V6" s="18">
        <f>12*1223.98</f>
        <v>14687.76</v>
      </c>
      <c r="W6" s="18"/>
      <c r="X6" s="18">
        <f>C6+F6+I6+L6+6+R6+U6</f>
        <v>173006.04</v>
      </c>
      <c r="Y6" s="18">
        <f>D6+G6+J6+M6+P6+S6+V6</f>
        <v>126041.39</v>
      </c>
      <c r="Z6" s="18">
        <f>X6+Y6</f>
        <v>299047.43</v>
      </c>
    </row>
    <row r="7" spans="1:41" x14ac:dyDescent="0.25">
      <c r="A7" s="19">
        <v>2024</v>
      </c>
      <c r="B7" s="19"/>
      <c r="C7" s="18">
        <v>19000</v>
      </c>
      <c r="D7" s="18">
        <v>24901.25</v>
      </c>
      <c r="E7" s="18"/>
      <c r="F7" s="18">
        <v>2000</v>
      </c>
      <c r="G7" s="18">
        <v>3315</v>
      </c>
      <c r="H7" s="18"/>
      <c r="I7" s="18">
        <v>23000</v>
      </c>
      <c r="J7" s="18">
        <v>23903</v>
      </c>
      <c r="K7" s="18"/>
      <c r="L7" s="18">
        <v>6000</v>
      </c>
      <c r="M7" s="18">
        <v>5625</v>
      </c>
      <c r="N7" s="18"/>
      <c r="O7" s="18">
        <v>25000</v>
      </c>
      <c r="P7" s="18">
        <v>6270</v>
      </c>
      <c r="Q7" s="18"/>
      <c r="R7" s="18">
        <f>12*9583.33</f>
        <v>114999.95999999999</v>
      </c>
      <c r="S7" s="18">
        <f>12*3236.5</f>
        <v>38838</v>
      </c>
      <c r="T7" s="18"/>
      <c r="U7" s="18">
        <f>12*1666.67</f>
        <v>20000.04</v>
      </c>
      <c r="V7" s="18">
        <f>12*1137.31</f>
        <v>13647.72</v>
      </c>
      <c r="W7" s="18"/>
      <c r="X7" s="18">
        <f>C7+F7+I7+L7+6+R7+U7</f>
        <v>185006</v>
      </c>
      <c r="Y7" s="18">
        <f>D7+G7+J7+M7+P7+S7+V7</f>
        <v>116499.97</v>
      </c>
      <c r="Z7" s="18">
        <f>X7+Y7</f>
        <v>301505.96999999997</v>
      </c>
    </row>
    <row r="8" spans="1:41" x14ac:dyDescent="0.25">
      <c r="A8" s="19">
        <v>2025</v>
      </c>
      <c r="B8" s="19"/>
      <c r="C8" s="18">
        <v>19500</v>
      </c>
      <c r="D8" s="18">
        <v>24371.88</v>
      </c>
      <c r="E8" s="18"/>
      <c r="F8" s="18">
        <v>2000</v>
      </c>
      <c r="G8" s="18">
        <v>3250</v>
      </c>
      <c r="H8" s="18"/>
      <c r="I8" s="18">
        <v>24000</v>
      </c>
      <c r="J8" s="18">
        <v>23550</v>
      </c>
      <c r="K8" s="18"/>
      <c r="L8" s="18">
        <v>6000</v>
      </c>
      <c r="M8" s="18">
        <v>5535</v>
      </c>
      <c r="N8" s="18"/>
      <c r="O8" s="18">
        <v>30000</v>
      </c>
      <c r="P8" s="18">
        <v>5025</v>
      </c>
      <c r="Q8" s="18"/>
      <c r="R8" s="18">
        <f>12*10000</f>
        <v>120000</v>
      </c>
      <c r="S8" s="18">
        <f>12*2738.17</f>
        <v>32858.04</v>
      </c>
      <c r="T8" s="18"/>
      <c r="U8" s="18">
        <f>12*1666.67</f>
        <v>20000.04</v>
      </c>
      <c r="V8" s="18">
        <f>12*1050.65</f>
        <v>12607.800000000001</v>
      </c>
      <c r="W8" s="18"/>
      <c r="X8" s="18">
        <f>C8+F8+I8+L8+6+R8+U8</f>
        <v>191506.04</v>
      </c>
      <c r="Y8" s="18">
        <f>D8+G8+J8+M8+P8+S8+V8</f>
        <v>107197.72000000002</v>
      </c>
      <c r="Z8" s="18">
        <f>X8+Y8</f>
        <v>298703.76</v>
      </c>
    </row>
    <row r="9" spans="1:41" x14ac:dyDescent="0.25">
      <c r="A9" s="19">
        <v>2026</v>
      </c>
      <c r="B9" s="19"/>
      <c r="C9" s="18">
        <v>20000</v>
      </c>
      <c r="D9" s="18">
        <v>23828.75</v>
      </c>
      <c r="E9" s="18"/>
      <c r="F9" s="18">
        <v>2000</v>
      </c>
      <c r="G9" s="18">
        <v>3185</v>
      </c>
      <c r="H9" s="18"/>
      <c r="I9" s="18">
        <v>25000</v>
      </c>
      <c r="J9" s="18">
        <v>23182.5</v>
      </c>
      <c r="K9" s="18"/>
      <c r="L9" s="18">
        <v>6500</v>
      </c>
      <c r="M9" s="18">
        <v>5441.25</v>
      </c>
      <c r="N9" s="18"/>
      <c r="O9" s="18">
        <v>30000</v>
      </c>
      <c r="P9" s="18">
        <v>3922.5</v>
      </c>
      <c r="Q9" s="18"/>
      <c r="R9" s="18">
        <f>12*10416.67</f>
        <v>125000.04000000001</v>
      </c>
      <c r="S9" s="18">
        <f>12*2218.17</f>
        <v>26618.04</v>
      </c>
      <c r="T9" s="18"/>
      <c r="U9" s="18">
        <f>12*1666.67</f>
        <v>20000.04</v>
      </c>
      <c r="V9" s="18">
        <f>12*963.98</f>
        <v>11567.76</v>
      </c>
      <c r="W9" s="18"/>
      <c r="X9" s="18">
        <f>C9+F9+I9+L9+6+R9+U9</f>
        <v>198506.08000000002</v>
      </c>
      <c r="Y9" s="18">
        <f>D9+G9+J9+M9+P9+S9+V9</f>
        <v>97745.8</v>
      </c>
      <c r="Z9" s="18">
        <f>X9+Y9</f>
        <v>296251.88</v>
      </c>
    </row>
    <row r="10" spans="1:41" x14ac:dyDescent="0.25">
      <c r="A10" s="19">
        <v>2027</v>
      </c>
      <c r="B10" s="19"/>
      <c r="C10" s="18">
        <v>20500</v>
      </c>
      <c r="D10" s="18">
        <v>23271.88</v>
      </c>
      <c r="E10" s="18"/>
      <c r="F10" s="18">
        <v>2000</v>
      </c>
      <c r="G10" s="18">
        <v>3120</v>
      </c>
      <c r="H10" s="18"/>
      <c r="I10" s="18">
        <v>25000</v>
      </c>
      <c r="J10" s="18">
        <v>22807.5</v>
      </c>
      <c r="K10" s="18"/>
      <c r="L10" s="18">
        <v>6500</v>
      </c>
      <c r="M10" s="18">
        <v>5343.75</v>
      </c>
      <c r="N10" s="18"/>
      <c r="O10" s="18">
        <v>30000</v>
      </c>
      <c r="P10" s="18">
        <v>2970</v>
      </c>
      <c r="Q10" s="18"/>
      <c r="R10" s="18">
        <f>12*10833.33</f>
        <v>129999.95999999999</v>
      </c>
      <c r="S10" s="18">
        <f>12*1676.5</f>
        <v>20118</v>
      </c>
      <c r="T10" s="18"/>
      <c r="U10" s="18">
        <f>12*2083.33</f>
        <v>24999.96</v>
      </c>
      <c r="V10" s="18">
        <f>12*877.31</f>
        <v>10527.72</v>
      </c>
      <c r="W10" s="18"/>
      <c r="X10" s="18">
        <f>C10+F10+I10+L10+6+R10+U10</f>
        <v>209005.91999999998</v>
      </c>
      <c r="Y10" s="18">
        <f>D10+G10+J10+M10+P10+S10+V10</f>
        <v>88158.85</v>
      </c>
      <c r="Z10" s="69">
        <f>X10+Y10</f>
        <v>297164.77</v>
      </c>
    </row>
    <row r="11" spans="1:41" x14ac:dyDescent="0.25">
      <c r="A11" s="19"/>
      <c r="B11" s="19"/>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41" x14ac:dyDescent="0.25">
      <c r="A12" s="19"/>
      <c r="B12" s="19"/>
      <c r="C12" s="18"/>
      <c r="D12" s="18"/>
      <c r="E12" s="18"/>
      <c r="F12" s="18"/>
      <c r="G12" s="18"/>
      <c r="H12" s="18"/>
      <c r="I12" s="18"/>
      <c r="J12" s="18"/>
      <c r="K12" s="18"/>
      <c r="L12" s="18"/>
      <c r="M12" s="18"/>
      <c r="N12" s="18"/>
      <c r="O12" s="18"/>
      <c r="P12" s="18"/>
      <c r="Q12" s="18"/>
      <c r="R12" s="18"/>
      <c r="S12" s="18"/>
      <c r="T12" s="18"/>
      <c r="U12" s="18"/>
      <c r="V12" s="18"/>
      <c r="W12" s="18"/>
      <c r="X12" s="18"/>
      <c r="Y12" s="18"/>
      <c r="Z12" s="19"/>
    </row>
    <row r="13" spans="1:41" x14ac:dyDescent="0.25">
      <c r="A13" s="19"/>
      <c r="B13" s="19"/>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41" x14ac:dyDescent="0.25">
      <c r="A14" s="15" t="s">
        <v>67</v>
      </c>
      <c r="B14" s="19"/>
      <c r="C14" s="18"/>
      <c r="D14" s="71">
        <f>SUM(Z5:Z10)</f>
        <v>1492673.81</v>
      </c>
      <c r="E14" s="18"/>
      <c r="F14" s="18"/>
      <c r="G14" s="18"/>
      <c r="H14" s="18"/>
      <c r="I14" s="18"/>
      <c r="J14" s="18"/>
      <c r="K14" s="18"/>
      <c r="L14" s="18"/>
      <c r="M14" s="18"/>
      <c r="N14" s="18"/>
      <c r="O14" s="18"/>
      <c r="P14" s="18"/>
      <c r="Q14" s="18"/>
      <c r="R14" s="18"/>
      <c r="S14" s="18"/>
      <c r="T14" s="18"/>
      <c r="U14" s="18"/>
      <c r="V14" s="18"/>
      <c r="W14" s="18"/>
      <c r="X14" s="18"/>
      <c r="Y14" s="18"/>
      <c r="Z14" s="19"/>
    </row>
    <row r="15" spans="1:41" x14ac:dyDescent="0.25">
      <c r="A15" s="15" t="s">
        <v>68</v>
      </c>
      <c r="B15" s="19"/>
      <c r="C15" s="18"/>
      <c r="D15" s="71">
        <f>D14/5</f>
        <v>298534.76199999999</v>
      </c>
      <c r="E15" s="18"/>
      <c r="F15" s="18"/>
      <c r="G15" s="18"/>
      <c r="H15" s="18"/>
      <c r="I15" s="18"/>
      <c r="J15" s="18"/>
      <c r="K15" s="18"/>
      <c r="L15" s="18"/>
      <c r="M15" s="18"/>
      <c r="N15" s="18"/>
      <c r="O15" s="18"/>
      <c r="P15" s="18"/>
      <c r="Q15" s="18"/>
      <c r="R15" s="18"/>
      <c r="S15" s="18"/>
      <c r="T15" s="18"/>
      <c r="U15" s="18"/>
      <c r="V15" s="18"/>
      <c r="W15" s="18"/>
      <c r="X15" s="18"/>
      <c r="Y15" s="18"/>
      <c r="Z15" s="18"/>
    </row>
    <row r="16" spans="1:41" x14ac:dyDescent="0.25">
      <c r="A16" s="15" t="s">
        <v>69</v>
      </c>
      <c r="B16" s="19"/>
      <c r="C16" s="18"/>
      <c r="D16" s="71">
        <f>D15*0.2</f>
        <v>59706.952400000002</v>
      </c>
      <c r="E16" s="18"/>
      <c r="F16" s="18"/>
      <c r="G16" s="18"/>
      <c r="H16" s="18"/>
      <c r="I16" s="18"/>
      <c r="J16" s="18"/>
      <c r="K16" s="18"/>
      <c r="L16" s="18"/>
      <c r="M16" s="18"/>
      <c r="N16" s="18"/>
      <c r="O16" s="18"/>
      <c r="P16" s="18"/>
      <c r="Q16" s="18"/>
      <c r="R16" s="18"/>
      <c r="S16" s="18"/>
      <c r="T16" s="18"/>
      <c r="U16" s="18"/>
      <c r="V16" s="18"/>
      <c r="W16" s="18"/>
      <c r="X16" s="18"/>
      <c r="Y16" s="18"/>
      <c r="Z16" s="19"/>
    </row>
    <row r="17" spans="1:26" x14ac:dyDescent="0.25">
      <c r="A17" s="19"/>
      <c r="B17" s="19"/>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9"/>
      <c r="B18" s="19"/>
      <c r="C18" s="18"/>
      <c r="D18" s="18"/>
      <c r="E18" s="18"/>
      <c r="F18" s="18"/>
      <c r="G18" s="18"/>
      <c r="H18" s="18"/>
      <c r="I18" s="18"/>
      <c r="J18" s="18"/>
      <c r="K18" s="18"/>
      <c r="L18" s="18"/>
      <c r="M18" s="18"/>
      <c r="N18" s="18"/>
      <c r="O18" s="18"/>
      <c r="P18" s="18"/>
      <c r="Q18" s="18"/>
      <c r="R18" s="18"/>
      <c r="S18" s="18"/>
      <c r="T18" s="18"/>
      <c r="U18" s="18"/>
      <c r="V18" s="18"/>
      <c r="W18" s="18"/>
      <c r="X18" s="18"/>
      <c r="Y18" s="18"/>
      <c r="Z18" s="19"/>
    </row>
    <row r="19" spans="1:26" x14ac:dyDescent="0.25">
      <c r="A19" s="19"/>
      <c r="B19" s="19"/>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9"/>
      <c r="B20" s="19"/>
      <c r="C20" s="18"/>
      <c r="D20" s="18"/>
      <c r="E20" s="18"/>
      <c r="F20" s="18"/>
      <c r="G20" s="18"/>
      <c r="H20" s="18"/>
      <c r="I20" s="18"/>
      <c r="J20" s="18"/>
      <c r="K20" s="18"/>
      <c r="L20" s="18"/>
      <c r="M20" s="18"/>
      <c r="N20" s="18"/>
      <c r="O20" s="18"/>
      <c r="P20" s="18"/>
      <c r="Q20" s="18"/>
      <c r="R20" s="18"/>
      <c r="S20" s="18"/>
      <c r="T20" s="18"/>
      <c r="U20" s="18"/>
      <c r="V20" s="18"/>
      <c r="W20" s="18"/>
      <c r="X20" s="18"/>
      <c r="Y20" s="18"/>
      <c r="Z20" s="19"/>
    </row>
    <row r="21" spans="1:26" x14ac:dyDescent="0.25">
      <c r="A21" s="19"/>
      <c r="B21" s="19"/>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9"/>
      <c r="B22" s="19"/>
      <c r="C22" s="18"/>
      <c r="D22" s="18"/>
      <c r="E22" s="18"/>
      <c r="F22" s="18"/>
      <c r="G22" s="18"/>
      <c r="H22" s="18"/>
      <c r="I22" s="18"/>
      <c r="J22" s="18"/>
      <c r="K22" s="18"/>
      <c r="L22" s="18"/>
      <c r="M22" s="18"/>
      <c r="N22" s="18"/>
      <c r="O22" s="18"/>
      <c r="P22" s="18"/>
      <c r="Q22" s="18"/>
      <c r="R22" s="18"/>
      <c r="S22" s="18"/>
      <c r="T22" s="18"/>
      <c r="U22" s="18"/>
      <c r="V22" s="18"/>
      <c r="W22" s="18"/>
      <c r="X22" s="18"/>
      <c r="Y22" s="18"/>
      <c r="Z22" s="19"/>
    </row>
    <row r="23" spans="1:26" x14ac:dyDescent="0.25">
      <c r="A23" s="19"/>
      <c r="B23" s="19"/>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9"/>
      <c r="B24" s="19"/>
      <c r="C24" s="18"/>
      <c r="D24" s="18"/>
      <c r="E24" s="18"/>
      <c r="F24" s="18"/>
      <c r="G24" s="18"/>
      <c r="H24" s="18"/>
      <c r="I24" s="18"/>
      <c r="J24" s="18"/>
      <c r="K24" s="18"/>
      <c r="L24" s="18"/>
      <c r="M24" s="18"/>
      <c r="N24" s="18"/>
      <c r="O24" s="18"/>
      <c r="P24" s="18"/>
      <c r="Q24" s="18"/>
      <c r="R24" s="18"/>
      <c r="S24" s="18"/>
      <c r="T24" s="18"/>
      <c r="U24" s="18"/>
      <c r="V24" s="18"/>
      <c r="W24" s="18"/>
      <c r="X24" s="18"/>
      <c r="Y24" s="18"/>
      <c r="Z24" s="19"/>
    </row>
    <row r="25" spans="1:26" x14ac:dyDescent="0.25">
      <c r="A25" s="19"/>
      <c r="B25" s="19"/>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9"/>
      <c r="B26" s="19"/>
      <c r="C26" s="18"/>
      <c r="D26" s="18"/>
      <c r="E26" s="18"/>
      <c r="F26" s="18"/>
      <c r="G26" s="18"/>
      <c r="H26" s="18"/>
      <c r="I26" s="18"/>
      <c r="J26" s="18"/>
      <c r="K26" s="18"/>
      <c r="L26" s="18"/>
      <c r="M26" s="18"/>
      <c r="N26" s="18"/>
      <c r="O26" s="18"/>
      <c r="P26" s="18"/>
      <c r="Q26" s="18"/>
      <c r="R26" s="18"/>
      <c r="S26" s="18"/>
      <c r="T26" s="18"/>
      <c r="U26" s="18"/>
      <c r="V26" s="18"/>
      <c r="W26" s="18"/>
      <c r="X26" s="18"/>
      <c r="Y26" s="18"/>
      <c r="Z26" s="19"/>
    </row>
    <row r="27" spans="1:26" x14ac:dyDescent="0.25">
      <c r="A27" s="19"/>
      <c r="B27" s="19"/>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9"/>
      <c r="B28" s="19"/>
      <c r="C28" s="18"/>
      <c r="D28" s="18"/>
      <c r="E28" s="18"/>
      <c r="F28" s="18"/>
      <c r="G28" s="18"/>
      <c r="H28" s="18"/>
      <c r="I28" s="18"/>
      <c r="J28" s="18"/>
      <c r="K28" s="18"/>
      <c r="L28" s="18"/>
      <c r="M28" s="18"/>
      <c r="N28" s="18"/>
      <c r="O28" s="18"/>
      <c r="P28" s="18"/>
      <c r="Q28" s="18"/>
      <c r="R28" s="18"/>
      <c r="S28" s="18"/>
      <c r="T28" s="18"/>
      <c r="U28" s="18"/>
      <c r="V28" s="18"/>
      <c r="W28" s="18"/>
      <c r="X28" s="18"/>
      <c r="Y28" s="18"/>
      <c r="Z28" s="19"/>
    </row>
    <row r="29" spans="1:26" x14ac:dyDescent="0.25">
      <c r="A29" s="19"/>
      <c r="B29" s="19"/>
      <c r="C29" s="18"/>
      <c r="D29" s="18"/>
      <c r="E29" s="18"/>
      <c r="F29" s="18"/>
      <c r="G29" s="18"/>
      <c r="H29" s="18"/>
      <c r="I29" s="18"/>
      <c r="J29" s="18"/>
      <c r="K29" s="18"/>
      <c r="L29" s="18"/>
      <c r="M29" s="18"/>
      <c r="N29" s="18"/>
      <c r="O29" s="19"/>
      <c r="P29" s="19"/>
      <c r="Q29" s="18"/>
      <c r="R29" s="18"/>
      <c r="S29" s="18"/>
      <c r="T29" s="18"/>
      <c r="U29" s="18"/>
      <c r="V29" s="18"/>
      <c r="W29" s="18"/>
      <c r="X29" s="18"/>
      <c r="Y29" s="18"/>
      <c r="Z29" s="18"/>
    </row>
    <row r="30" spans="1:26" x14ac:dyDescent="0.25">
      <c r="A30" s="19"/>
      <c r="B30" s="19"/>
      <c r="C30" s="18"/>
      <c r="D30" s="18"/>
      <c r="E30" s="18"/>
      <c r="F30" s="18"/>
      <c r="G30" s="18"/>
      <c r="H30" s="18"/>
      <c r="I30" s="18"/>
      <c r="J30" s="18"/>
      <c r="K30" s="18"/>
      <c r="L30" s="18"/>
      <c r="M30" s="18"/>
      <c r="N30" s="18"/>
      <c r="O30" s="19"/>
      <c r="P30" s="19"/>
      <c r="Q30" s="19"/>
      <c r="R30" s="19"/>
      <c r="S30" s="19"/>
      <c r="T30" s="19"/>
      <c r="U30" s="19"/>
      <c r="V30" s="19"/>
      <c r="W30" s="19"/>
      <c r="X30" s="19"/>
      <c r="Y30" s="19"/>
      <c r="Z30" s="19"/>
    </row>
    <row r="31" spans="1:26" x14ac:dyDescent="0.25">
      <c r="A31" s="19"/>
      <c r="B31" s="19"/>
      <c r="C31" s="18"/>
      <c r="D31" s="18"/>
      <c r="E31" s="18"/>
      <c r="F31" s="18"/>
      <c r="G31" s="18"/>
      <c r="H31" s="18"/>
      <c r="I31" s="18"/>
      <c r="J31" s="18"/>
      <c r="K31" s="18"/>
      <c r="L31" s="18"/>
      <c r="M31" s="18"/>
      <c r="N31" s="18"/>
      <c r="O31" s="19"/>
      <c r="P31" s="19"/>
      <c r="Q31" s="19"/>
      <c r="R31" s="19"/>
      <c r="S31" s="19"/>
      <c r="T31" s="19"/>
      <c r="U31" s="19"/>
      <c r="V31" s="19"/>
      <c r="W31" s="19"/>
      <c r="X31" s="19"/>
      <c r="Y31" s="19"/>
      <c r="Z31" s="18"/>
    </row>
    <row r="32" spans="1:26" x14ac:dyDescent="0.25">
      <c r="A32" s="19"/>
      <c r="B32" s="19"/>
      <c r="C32" s="18"/>
      <c r="D32" s="18"/>
      <c r="E32" s="18"/>
      <c r="F32" s="18"/>
      <c r="G32" s="18"/>
      <c r="H32" s="18"/>
      <c r="I32" s="18"/>
      <c r="J32" s="18"/>
      <c r="K32" s="18"/>
      <c r="L32" s="18"/>
      <c r="M32" s="18"/>
      <c r="N32" s="18"/>
      <c r="O32" s="19"/>
      <c r="P32" s="19"/>
      <c r="Q32" s="19"/>
      <c r="R32" s="19"/>
      <c r="S32" s="19"/>
      <c r="T32" s="19"/>
      <c r="U32" s="19"/>
      <c r="V32" s="19"/>
      <c r="W32" s="19"/>
      <c r="X32" s="19"/>
      <c r="Y32" s="19"/>
      <c r="Z32" s="19"/>
    </row>
    <row r="33" spans="1:26" x14ac:dyDescent="0.25">
      <c r="A33" s="19"/>
      <c r="B33" s="19"/>
      <c r="C33" s="18"/>
      <c r="D33" s="18"/>
      <c r="E33" s="18"/>
      <c r="F33" s="18"/>
      <c r="G33" s="18"/>
      <c r="H33" s="18"/>
      <c r="I33" s="18"/>
      <c r="J33" s="18"/>
      <c r="K33" s="18"/>
      <c r="L33" s="18"/>
      <c r="M33" s="18"/>
      <c r="N33" s="18"/>
      <c r="O33" s="19"/>
      <c r="P33" s="19"/>
      <c r="Q33" s="19"/>
      <c r="R33" s="19"/>
      <c r="S33" s="19"/>
      <c r="T33" s="19"/>
      <c r="U33" s="19"/>
      <c r="V33" s="19"/>
      <c r="W33" s="19"/>
      <c r="X33" s="19"/>
      <c r="Y33" s="19"/>
      <c r="Z33" s="18"/>
    </row>
    <row r="34" spans="1:26" x14ac:dyDescent="0.25">
      <c r="A34" s="19"/>
      <c r="B34" s="19"/>
      <c r="C34" s="18"/>
      <c r="D34" s="18"/>
      <c r="E34" s="18"/>
      <c r="F34" s="18"/>
      <c r="G34" s="18"/>
      <c r="H34" s="18"/>
      <c r="I34" s="18"/>
      <c r="J34" s="18"/>
      <c r="K34" s="18"/>
      <c r="L34" s="18"/>
      <c r="M34" s="18"/>
      <c r="N34" s="18"/>
      <c r="O34" s="19"/>
      <c r="P34" s="19"/>
      <c r="Q34" s="19"/>
      <c r="R34" s="19"/>
      <c r="S34" s="19"/>
      <c r="T34" s="19"/>
      <c r="U34" s="19"/>
      <c r="V34" s="19"/>
      <c r="W34" s="19"/>
      <c r="X34" s="19"/>
      <c r="Y34" s="19"/>
      <c r="Z34" s="19"/>
    </row>
    <row r="35" spans="1:26" x14ac:dyDescent="0.25">
      <c r="A35" s="19"/>
      <c r="B35" s="19"/>
      <c r="C35" s="18"/>
      <c r="D35" s="18"/>
      <c r="E35" s="18"/>
      <c r="F35" s="18"/>
      <c r="G35" s="18"/>
      <c r="H35" s="18"/>
      <c r="I35" s="18"/>
      <c r="J35" s="18"/>
      <c r="K35" s="18"/>
      <c r="L35" s="18"/>
      <c r="M35" s="18"/>
      <c r="N35" s="18"/>
      <c r="O35" s="19"/>
      <c r="P35" s="19"/>
      <c r="Q35" s="19"/>
      <c r="R35" s="19"/>
      <c r="S35" s="19"/>
      <c r="T35" s="19"/>
      <c r="U35" s="19"/>
      <c r="V35" s="19"/>
      <c r="W35" s="19"/>
      <c r="X35" s="19"/>
      <c r="Y35" s="19"/>
      <c r="Z35" s="18"/>
    </row>
    <row r="36" spans="1:26" x14ac:dyDescent="0.25">
      <c r="A36" s="19"/>
      <c r="B36" s="19"/>
      <c r="C36" s="18"/>
      <c r="D36" s="18"/>
      <c r="E36" s="18"/>
      <c r="F36" s="18"/>
      <c r="G36" s="18"/>
      <c r="H36" s="18"/>
      <c r="I36" s="18"/>
      <c r="J36" s="18"/>
      <c r="K36" s="18"/>
      <c r="L36" s="18"/>
      <c r="M36" s="18"/>
      <c r="N36" s="18"/>
      <c r="O36" s="19"/>
      <c r="P36" s="19"/>
      <c r="Q36" s="19"/>
      <c r="R36" s="19"/>
      <c r="S36" s="19"/>
      <c r="T36" s="19"/>
      <c r="U36" s="19"/>
      <c r="V36" s="19"/>
      <c r="W36" s="19"/>
      <c r="X36" s="19"/>
      <c r="Y36" s="19"/>
      <c r="Z36" s="19"/>
    </row>
    <row r="37" spans="1:26" x14ac:dyDescent="0.25">
      <c r="A37" s="19"/>
      <c r="B37" s="19"/>
      <c r="C37" s="18"/>
      <c r="D37" s="18"/>
      <c r="E37" s="18"/>
      <c r="F37" s="18"/>
      <c r="G37" s="18"/>
      <c r="H37" s="18"/>
      <c r="I37" s="18"/>
      <c r="J37" s="18"/>
      <c r="K37" s="18"/>
      <c r="L37" s="18"/>
      <c r="M37" s="18"/>
      <c r="N37" s="18"/>
      <c r="O37" s="19"/>
      <c r="P37" s="19"/>
      <c r="Q37" s="19"/>
      <c r="R37" s="19"/>
      <c r="S37" s="19"/>
      <c r="T37" s="19"/>
      <c r="U37" s="19"/>
      <c r="V37" s="19"/>
      <c r="W37" s="19"/>
      <c r="X37" s="19"/>
      <c r="Y37" s="19"/>
      <c r="Z37" s="18"/>
    </row>
    <row r="38" spans="1:26" x14ac:dyDescent="0.25">
      <c r="A38" s="19"/>
      <c r="B38" s="19"/>
      <c r="C38" s="18"/>
      <c r="D38" s="18"/>
      <c r="E38" s="18"/>
      <c r="F38" s="18"/>
      <c r="G38" s="18"/>
      <c r="H38" s="18"/>
      <c r="I38" s="18"/>
      <c r="J38" s="18"/>
      <c r="K38" s="18"/>
      <c r="L38" s="18"/>
      <c r="M38" s="18"/>
      <c r="N38" s="18"/>
      <c r="O38" s="19"/>
      <c r="P38" s="19"/>
      <c r="Q38" s="19"/>
      <c r="R38" s="19"/>
      <c r="S38" s="19"/>
      <c r="T38" s="19"/>
      <c r="U38" s="19"/>
      <c r="V38" s="19"/>
      <c r="W38" s="19"/>
      <c r="X38" s="19"/>
      <c r="Y38" s="19"/>
      <c r="Z38" s="19"/>
    </row>
    <row r="39" spans="1:26" x14ac:dyDescent="0.25">
      <c r="A39" s="19"/>
      <c r="B39" s="19"/>
      <c r="C39" s="18"/>
      <c r="D39" s="18"/>
      <c r="E39" s="18"/>
      <c r="F39" s="18"/>
      <c r="G39" s="18"/>
      <c r="H39" s="18"/>
      <c r="I39" s="18"/>
      <c r="J39" s="18"/>
      <c r="K39" s="18"/>
      <c r="L39" s="18"/>
      <c r="M39" s="18"/>
      <c r="N39" s="18"/>
      <c r="O39" s="19"/>
      <c r="P39" s="19"/>
      <c r="Q39" s="19"/>
      <c r="R39" s="19"/>
      <c r="S39" s="19"/>
      <c r="T39" s="19"/>
      <c r="U39" s="19"/>
      <c r="V39" s="19"/>
      <c r="W39" s="19"/>
      <c r="X39" s="19"/>
      <c r="Y39" s="19"/>
      <c r="Z39" s="18"/>
    </row>
    <row r="40" spans="1:26" x14ac:dyDescent="0.25">
      <c r="A40" s="19"/>
      <c r="B40" s="19"/>
      <c r="C40" s="18"/>
      <c r="D40" s="18"/>
      <c r="E40" s="18"/>
      <c r="F40" s="18"/>
      <c r="G40" s="18"/>
      <c r="H40" s="18"/>
      <c r="I40" s="18"/>
      <c r="J40" s="18"/>
      <c r="K40" s="18"/>
      <c r="L40" s="18"/>
      <c r="M40" s="18"/>
      <c r="N40" s="18"/>
      <c r="O40" s="19"/>
      <c r="P40" s="19"/>
      <c r="Q40" s="19"/>
      <c r="R40" s="19"/>
      <c r="S40" s="19"/>
      <c r="T40" s="19"/>
      <c r="U40" s="19"/>
      <c r="V40" s="19"/>
      <c r="W40" s="19"/>
      <c r="X40" s="19"/>
      <c r="Y40" s="19"/>
      <c r="Z40" s="19"/>
    </row>
    <row r="41" spans="1:26" x14ac:dyDescent="0.25">
      <c r="A41" s="19"/>
      <c r="B41" s="19"/>
      <c r="C41" s="18"/>
      <c r="D41" s="18"/>
      <c r="E41" s="18"/>
      <c r="F41" s="18"/>
      <c r="G41" s="18"/>
      <c r="H41" s="18"/>
      <c r="I41" s="18"/>
      <c r="J41" s="18"/>
      <c r="K41" s="18"/>
      <c r="L41" s="18"/>
      <c r="M41" s="18"/>
      <c r="N41" s="18"/>
      <c r="O41" s="19"/>
      <c r="P41" s="19"/>
      <c r="Q41" s="19"/>
      <c r="R41" s="19"/>
      <c r="S41" s="19"/>
      <c r="T41" s="19"/>
      <c r="U41" s="19"/>
      <c r="V41" s="19"/>
      <c r="W41" s="19"/>
      <c r="X41" s="19"/>
      <c r="Y41" s="19"/>
      <c r="Z41" s="18"/>
    </row>
    <row r="42" spans="1:26" x14ac:dyDescent="0.25">
      <c r="A42" s="19"/>
      <c r="B42" s="19"/>
      <c r="C42" s="18"/>
      <c r="D42" s="18"/>
      <c r="E42" s="18"/>
      <c r="F42" s="18"/>
      <c r="G42" s="18"/>
      <c r="H42" s="18"/>
      <c r="I42" s="18"/>
      <c r="J42" s="18"/>
      <c r="K42" s="18"/>
      <c r="L42" s="18"/>
      <c r="M42" s="18"/>
      <c r="N42" s="18"/>
      <c r="O42" s="19"/>
      <c r="P42" s="19"/>
      <c r="Q42" s="19"/>
      <c r="R42" s="19"/>
      <c r="S42" s="19"/>
      <c r="T42" s="19"/>
      <c r="U42" s="19"/>
      <c r="V42" s="19"/>
      <c r="W42" s="19"/>
      <c r="X42" s="19"/>
      <c r="Y42" s="19"/>
      <c r="Z42" s="19"/>
    </row>
    <row r="43" spans="1:26" x14ac:dyDescent="0.25">
      <c r="A43" s="19"/>
      <c r="B43" s="19"/>
      <c r="C43" s="18"/>
      <c r="D43" s="18"/>
      <c r="E43" s="18"/>
      <c r="F43" s="18"/>
      <c r="G43" s="18"/>
      <c r="H43" s="18"/>
      <c r="I43" s="18"/>
      <c r="J43" s="18"/>
      <c r="K43" s="18"/>
      <c r="L43" s="18"/>
      <c r="M43" s="18"/>
      <c r="N43" s="18"/>
      <c r="O43" s="19"/>
      <c r="P43" s="19"/>
      <c r="Q43" s="19"/>
      <c r="R43" s="19"/>
      <c r="S43" s="19"/>
      <c r="T43" s="19"/>
      <c r="U43" s="19"/>
      <c r="V43" s="19"/>
      <c r="W43" s="19"/>
      <c r="X43" s="19"/>
      <c r="Y43" s="19"/>
      <c r="Z43" s="18"/>
    </row>
    <row r="44" spans="1:26" x14ac:dyDescent="0.25">
      <c r="A44" s="19"/>
      <c r="B44" s="19"/>
      <c r="C44" s="18"/>
      <c r="D44" s="18"/>
      <c r="E44" s="18"/>
      <c r="F44" s="18"/>
      <c r="G44" s="18"/>
      <c r="H44" s="18"/>
      <c r="I44" s="18"/>
      <c r="J44" s="18"/>
      <c r="K44" s="18"/>
      <c r="L44" s="18"/>
      <c r="M44" s="18"/>
      <c r="N44" s="18"/>
      <c r="O44" s="19"/>
      <c r="P44" s="19"/>
      <c r="Q44" s="19"/>
      <c r="R44" s="19"/>
      <c r="S44" s="19"/>
      <c r="T44" s="19"/>
      <c r="U44" s="19"/>
      <c r="V44" s="19"/>
      <c r="W44" s="19"/>
      <c r="X44" s="19"/>
      <c r="Y44" s="19"/>
      <c r="Z44" s="19"/>
    </row>
    <row r="45" spans="1:26" x14ac:dyDescent="0.25">
      <c r="A45" s="19"/>
      <c r="B45" s="19"/>
      <c r="C45" s="18"/>
      <c r="D45" s="18"/>
      <c r="E45" s="18"/>
      <c r="F45" s="18"/>
      <c r="G45" s="18"/>
      <c r="H45" s="18"/>
      <c r="I45" s="18"/>
      <c r="J45" s="18"/>
      <c r="K45" s="18"/>
      <c r="L45" s="18"/>
      <c r="M45" s="18"/>
      <c r="N45" s="18"/>
      <c r="O45" s="19"/>
      <c r="P45" s="19"/>
      <c r="Q45" s="19"/>
      <c r="R45" s="19"/>
      <c r="S45" s="19"/>
      <c r="T45" s="19"/>
      <c r="U45" s="19"/>
      <c r="V45" s="19"/>
      <c r="W45" s="19"/>
      <c r="X45" s="19"/>
      <c r="Y45" s="19"/>
      <c r="Z45" s="18"/>
    </row>
    <row r="46" spans="1:26" x14ac:dyDescent="0.25">
      <c r="A46" s="19"/>
      <c r="B46" s="19"/>
      <c r="C46" s="18"/>
      <c r="D46" s="18"/>
      <c r="E46" s="18"/>
      <c r="F46" s="18"/>
      <c r="G46" s="18"/>
      <c r="H46" s="18"/>
      <c r="I46" s="18"/>
      <c r="J46" s="18"/>
      <c r="K46" s="18"/>
      <c r="L46" s="18"/>
      <c r="M46" s="18"/>
      <c r="N46" s="18"/>
      <c r="O46" s="19"/>
      <c r="P46" s="19"/>
      <c r="Q46" s="19"/>
      <c r="R46" s="19"/>
      <c r="S46" s="19"/>
      <c r="T46" s="19"/>
      <c r="U46" s="19"/>
      <c r="V46" s="19"/>
      <c r="W46" s="19"/>
      <c r="X46" s="19"/>
      <c r="Y46" s="19"/>
      <c r="Z46" s="18"/>
    </row>
    <row r="47" spans="1:26" x14ac:dyDescent="0.25">
      <c r="A47" s="19"/>
      <c r="B47" s="19"/>
      <c r="C47" s="18"/>
      <c r="D47" s="18"/>
      <c r="E47" s="18"/>
      <c r="F47" s="18"/>
      <c r="G47" s="18"/>
      <c r="H47" s="18"/>
      <c r="I47" s="18"/>
      <c r="J47" s="18"/>
      <c r="K47" s="18"/>
      <c r="L47" s="18"/>
      <c r="M47" s="18"/>
      <c r="N47" s="18"/>
      <c r="O47" s="19"/>
      <c r="P47" s="19"/>
      <c r="Q47" s="19"/>
      <c r="R47" s="19"/>
      <c r="S47" s="19"/>
      <c r="T47" s="19"/>
      <c r="U47" s="19"/>
      <c r="V47" s="19"/>
      <c r="W47" s="19"/>
      <c r="X47" s="19"/>
      <c r="Y47" s="19"/>
      <c r="Z47" s="18"/>
    </row>
    <row r="48" spans="1:26" x14ac:dyDescent="0.25">
      <c r="A48" s="19"/>
      <c r="B48" s="19"/>
      <c r="C48" s="18"/>
      <c r="D48" s="18"/>
      <c r="E48" s="18"/>
      <c r="F48" s="18"/>
      <c r="G48" s="18"/>
      <c r="H48" s="18"/>
      <c r="I48" s="18"/>
      <c r="J48" s="18"/>
      <c r="K48" s="18"/>
      <c r="L48" s="18"/>
      <c r="M48" s="18"/>
      <c r="N48" s="18"/>
      <c r="O48" s="19"/>
      <c r="P48" s="19"/>
      <c r="Q48" s="19"/>
      <c r="R48" s="19"/>
      <c r="S48" s="19"/>
      <c r="T48" s="19"/>
      <c r="U48" s="19"/>
      <c r="V48" s="19"/>
      <c r="W48" s="19"/>
      <c r="X48" s="19"/>
      <c r="Y48" s="19"/>
      <c r="Z48" s="18"/>
    </row>
    <row r="49" spans="1:26" x14ac:dyDescent="0.25">
      <c r="A49" s="19"/>
      <c r="B49" s="19"/>
      <c r="C49" s="18"/>
      <c r="D49" s="18"/>
      <c r="E49" s="18"/>
      <c r="F49" s="18"/>
      <c r="G49" s="18"/>
      <c r="H49" s="18"/>
      <c r="I49" s="18"/>
      <c r="J49" s="18"/>
      <c r="K49" s="18"/>
      <c r="L49" s="18"/>
      <c r="M49" s="18"/>
      <c r="N49" s="18"/>
      <c r="O49" s="19"/>
      <c r="P49" s="19"/>
      <c r="Q49" s="19"/>
      <c r="R49" s="19"/>
      <c r="S49" s="19"/>
      <c r="T49" s="19"/>
      <c r="U49" s="19"/>
      <c r="V49" s="19"/>
      <c r="W49" s="19"/>
      <c r="X49" s="19"/>
      <c r="Y49" s="19"/>
      <c r="Z49" s="18"/>
    </row>
    <row r="50" spans="1:26" x14ac:dyDescent="0.25">
      <c r="A50" s="19"/>
      <c r="B50" s="19"/>
      <c r="C50" s="18"/>
      <c r="D50" s="18"/>
      <c r="E50" s="18"/>
      <c r="F50" s="18"/>
      <c r="G50" s="18"/>
      <c r="H50" s="18"/>
      <c r="I50" s="18"/>
      <c r="J50" s="18"/>
      <c r="K50" s="18"/>
      <c r="L50" s="18"/>
      <c r="M50" s="18"/>
      <c r="N50" s="18"/>
      <c r="O50" s="19"/>
      <c r="P50" s="19"/>
      <c r="Q50" s="19"/>
      <c r="R50" s="19"/>
      <c r="S50" s="19"/>
      <c r="T50" s="19"/>
      <c r="U50" s="19"/>
      <c r="V50" s="19"/>
      <c r="W50" s="19"/>
      <c r="X50" s="19"/>
      <c r="Y50" s="19"/>
      <c r="Z50" s="18"/>
    </row>
    <row r="51" spans="1:26" x14ac:dyDescent="0.25">
      <c r="A51" s="19"/>
      <c r="B51" s="19"/>
      <c r="C51" s="18"/>
      <c r="D51" s="18"/>
      <c r="E51" s="18"/>
      <c r="F51" s="18"/>
      <c r="G51" s="18"/>
      <c r="H51" s="18"/>
      <c r="I51" s="18"/>
      <c r="J51" s="18"/>
      <c r="K51" s="18"/>
      <c r="L51" s="18"/>
      <c r="M51" s="18"/>
      <c r="N51" s="18"/>
      <c r="O51" s="19"/>
      <c r="P51" s="19"/>
      <c r="Q51" s="19"/>
      <c r="R51" s="19"/>
      <c r="S51" s="19"/>
      <c r="T51" s="19"/>
      <c r="U51" s="19"/>
      <c r="V51" s="19"/>
      <c r="W51" s="19"/>
      <c r="X51" s="19"/>
      <c r="Y51" s="19"/>
      <c r="Z51" s="18"/>
    </row>
    <row r="52" spans="1:26" x14ac:dyDescent="0.25">
      <c r="A52" s="19"/>
      <c r="B52" s="19"/>
      <c r="C52" s="18"/>
      <c r="D52" s="18"/>
      <c r="E52" s="18"/>
      <c r="F52" s="18"/>
      <c r="G52" s="18"/>
      <c r="H52" s="18"/>
      <c r="I52" s="18"/>
      <c r="J52" s="18"/>
      <c r="K52" s="18"/>
      <c r="L52" s="18"/>
      <c r="M52" s="18"/>
      <c r="N52" s="18"/>
      <c r="O52" s="19"/>
      <c r="P52" s="19"/>
      <c r="Q52" s="19"/>
      <c r="R52" s="19"/>
      <c r="S52" s="19"/>
      <c r="T52" s="19"/>
      <c r="U52" s="19"/>
      <c r="V52" s="19"/>
      <c r="W52" s="19"/>
      <c r="X52" s="19"/>
      <c r="Y52" s="19"/>
      <c r="Z52" s="18"/>
    </row>
    <row r="53" spans="1:26" x14ac:dyDescent="0.25">
      <c r="A53" s="19"/>
      <c r="B53" s="19"/>
      <c r="C53" s="18"/>
      <c r="D53" s="18"/>
      <c r="E53" s="18"/>
      <c r="F53" s="18"/>
      <c r="G53" s="18"/>
      <c r="H53" s="18"/>
      <c r="I53" s="18"/>
      <c r="J53" s="18"/>
      <c r="K53" s="18"/>
      <c r="L53" s="18"/>
      <c r="M53" s="18"/>
      <c r="N53" s="18"/>
      <c r="O53" s="19"/>
      <c r="P53" s="19"/>
      <c r="Q53" s="19"/>
      <c r="R53" s="19"/>
      <c r="S53" s="19"/>
      <c r="T53" s="19"/>
      <c r="U53" s="19"/>
      <c r="V53" s="19"/>
      <c r="W53" s="19"/>
      <c r="X53" s="19"/>
      <c r="Y53" s="19"/>
      <c r="Z53" s="18"/>
    </row>
    <row r="54" spans="1:26" x14ac:dyDescent="0.25">
      <c r="A54" s="19"/>
      <c r="B54" s="19"/>
      <c r="C54" s="18"/>
      <c r="D54" s="18"/>
      <c r="E54" s="18"/>
      <c r="F54" s="18"/>
      <c r="G54" s="18"/>
      <c r="H54" s="18"/>
      <c r="I54" s="18"/>
      <c r="J54" s="18"/>
      <c r="K54" s="18"/>
      <c r="L54" s="18"/>
      <c r="M54" s="18"/>
      <c r="N54" s="18"/>
      <c r="O54" s="19"/>
      <c r="P54" s="19"/>
      <c r="Q54" s="19"/>
      <c r="R54" s="19"/>
      <c r="S54" s="19"/>
      <c r="T54" s="19"/>
      <c r="U54" s="19"/>
      <c r="V54" s="19"/>
      <c r="W54" s="19"/>
      <c r="X54" s="19"/>
      <c r="Y54" s="19"/>
      <c r="Z54" s="18"/>
    </row>
    <row r="55" spans="1:26" x14ac:dyDescent="0.25">
      <c r="A55" s="19"/>
      <c r="B55" s="19"/>
      <c r="C55" s="18"/>
      <c r="D55" s="18"/>
      <c r="E55" s="18"/>
      <c r="F55" s="18"/>
      <c r="G55" s="18"/>
      <c r="H55" s="18"/>
      <c r="I55" s="18"/>
      <c r="J55" s="18"/>
      <c r="K55" s="18"/>
      <c r="L55" s="18"/>
      <c r="M55" s="18"/>
      <c r="N55" s="18"/>
      <c r="O55" s="19"/>
      <c r="P55" s="19"/>
      <c r="Q55" s="19"/>
      <c r="R55" s="19"/>
      <c r="S55" s="19"/>
      <c r="T55" s="19"/>
      <c r="U55" s="19"/>
      <c r="V55" s="19"/>
      <c r="W55" s="19"/>
      <c r="X55" s="19"/>
      <c r="Y55" s="19"/>
      <c r="Z55" s="18"/>
    </row>
    <row r="56" spans="1:26" x14ac:dyDescent="0.25">
      <c r="A56" s="19"/>
      <c r="B56" s="19"/>
      <c r="C56" s="18"/>
      <c r="D56" s="18"/>
      <c r="E56" s="18"/>
      <c r="F56" s="18"/>
      <c r="G56" s="18"/>
      <c r="H56" s="18"/>
      <c r="I56" s="18"/>
      <c r="J56" s="18"/>
      <c r="K56" s="18"/>
      <c r="L56" s="18"/>
      <c r="M56" s="18"/>
      <c r="N56" s="18"/>
      <c r="O56" s="19"/>
      <c r="P56" s="19"/>
      <c r="Q56" s="19"/>
      <c r="R56" s="19"/>
      <c r="S56" s="19"/>
      <c r="T56" s="19"/>
      <c r="U56" s="19"/>
      <c r="V56" s="19"/>
      <c r="W56" s="19"/>
      <c r="X56" s="19"/>
      <c r="Y56" s="19"/>
      <c r="Z56" s="18"/>
    </row>
    <row r="57" spans="1:26" x14ac:dyDescent="0.25">
      <c r="A57" s="19"/>
      <c r="B57" s="19"/>
      <c r="C57" s="18"/>
      <c r="D57" s="18"/>
      <c r="E57" s="18"/>
      <c r="F57" s="18"/>
      <c r="G57" s="18"/>
      <c r="H57" s="18"/>
      <c r="I57" s="18"/>
      <c r="J57" s="18"/>
      <c r="K57" s="18"/>
      <c r="L57" s="18"/>
      <c r="M57" s="18"/>
      <c r="N57" s="18"/>
      <c r="O57" s="19"/>
      <c r="P57" s="19"/>
      <c r="Q57" s="19"/>
      <c r="R57" s="19"/>
      <c r="S57" s="19"/>
      <c r="T57" s="19"/>
      <c r="U57" s="19"/>
      <c r="V57" s="19"/>
      <c r="W57" s="19"/>
      <c r="X57" s="19"/>
      <c r="Y57" s="19"/>
      <c r="Z57" s="18"/>
    </row>
    <row r="58" spans="1:26" x14ac:dyDescent="0.25">
      <c r="A58" s="19"/>
      <c r="B58" s="19"/>
      <c r="C58" s="18"/>
      <c r="D58" s="18"/>
      <c r="E58" s="18"/>
      <c r="F58" s="18"/>
      <c r="G58" s="18"/>
      <c r="H58" s="18"/>
      <c r="I58" s="18"/>
      <c r="J58" s="18"/>
      <c r="K58" s="18"/>
      <c r="L58" s="18"/>
      <c r="M58" s="18"/>
      <c r="N58" s="18"/>
      <c r="O58" s="19"/>
      <c r="P58" s="19"/>
      <c r="Q58" s="19"/>
      <c r="R58" s="19"/>
      <c r="S58" s="19"/>
      <c r="T58" s="19"/>
      <c r="U58" s="19"/>
      <c r="V58" s="19"/>
      <c r="W58" s="19"/>
      <c r="X58" s="19"/>
      <c r="Y58" s="19"/>
      <c r="Z58" s="18"/>
    </row>
    <row r="59" spans="1:26" x14ac:dyDescent="0.25">
      <c r="A59" s="19"/>
      <c r="B59" s="19"/>
      <c r="C59" s="18"/>
      <c r="D59" s="18"/>
      <c r="E59" s="18"/>
      <c r="F59" s="18"/>
      <c r="G59" s="18"/>
      <c r="H59" s="18"/>
      <c r="I59" s="18"/>
      <c r="J59" s="18"/>
      <c r="K59" s="18"/>
      <c r="L59" s="18"/>
      <c r="M59" s="18"/>
      <c r="N59" s="18"/>
      <c r="O59" s="19"/>
      <c r="P59" s="19"/>
      <c r="Q59" s="19"/>
      <c r="R59" s="19"/>
      <c r="S59" s="19"/>
      <c r="T59" s="19"/>
      <c r="U59" s="19"/>
      <c r="V59" s="19"/>
      <c r="W59" s="19"/>
      <c r="X59" s="19"/>
      <c r="Y59" s="19"/>
      <c r="Z59" s="18"/>
    </row>
    <row r="60" spans="1:26" x14ac:dyDescent="0.25">
      <c r="A60" s="19"/>
      <c r="B60" s="19"/>
      <c r="C60" s="18"/>
      <c r="D60" s="18"/>
      <c r="E60" s="18"/>
      <c r="F60" s="18"/>
      <c r="G60" s="18"/>
      <c r="H60" s="18"/>
      <c r="I60" s="18"/>
      <c r="J60" s="18"/>
      <c r="K60" s="18"/>
      <c r="L60" s="18"/>
      <c r="M60" s="18"/>
      <c r="N60" s="18"/>
      <c r="O60" s="19"/>
      <c r="P60" s="19"/>
      <c r="Q60" s="19"/>
      <c r="R60" s="19"/>
      <c r="S60" s="19"/>
      <c r="T60" s="19"/>
      <c r="U60" s="19"/>
      <c r="V60" s="19"/>
      <c r="W60" s="19"/>
      <c r="X60" s="19"/>
      <c r="Y60" s="19"/>
      <c r="Z60" s="18"/>
    </row>
    <row r="61" spans="1:26" x14ac:dyDescent="0.25">
      <c r="A61" s="19"/>
      <c r="B61" s="19"/>
      <c r="C61" s="18"/>
      <c r="D61" s="18"/>
      <c r="E61" s="18"/>
      <c r="F61" s="18"/>
      <c r="G61" s="18"/>
      <c r="H61" s="18"/>
      <c r="I61" s="18"/>
      <c r="J61" s="18"/>
      <c r="K61" s="18"/>
      <c r="L61" s="18"/>
      <c r="M61" s="18"/>
      <c r="N61" s="18"/>
      <c r="O61" s="19"/>
      <c r="P61" s="19"/>
      <c r="Q61" s="19"/>
      <c r="R61" s="19"/>
      <c r="S61" s="19"/>
      <c r="T61" s="19"/>
      <c r="U61" s="19"/>
      <c r="V61" s="19"/>
      <c r="W61" s="19"/>
      <c r="X61" s="19"/>
      <c r="Y61" s="19"/>
      <c r="Z61" s="18"/>
    </row>
    <row r="62" spans="1:26" x14ac:dyDescent="0.25">
      <c r="A62" s="19"/>
      <c r="B62" s="19"/>
      <c r="C62" s="18"/>
      <c r="D62" s="18"/>
      <c r="E62" s="18"/>
      <c r="F62" s="18"/>
      <c r="G62" s="18"/>
      <c r="H62" s="18"/>
      <c r="I62" s="18"/>
      <c r="J62" s="18"/>
      <c r="K62" s="18"/>
      <c r="L62" s="18"/>
      <c r="M62" s="18"/>
      <c r="N62" s="18"/>
      <c r="O62" s="19"/>
      <c r="P62" s="19"/>
      <c r="Q62" s="19"/>
      <c r="R62" s="19"/>
      <c r="S62" s="19"/>
      <c r="T62" s="19"/>
      <c r="U62" s="19"/>
      <c r="V62" s="19"/>
      <c r="W62" s="19"/>
      <c r="X62" s="19"/>
      <c r="Y62" s="19"/>
      <c r="Z62" s="18"/>
    </row>
    <row r="63" spans="1:26" x14ac:dyDescent="0.25">
      <c r="A63" s="19"/>
      <c r="B63" s="19"/>
      <c r="C63" s="18"/>
      <c r="D63" s="18"/>
      <c r="E63" s="18"/>
      <c r="F63" s="18"/>
      <c r="G63" s="18"/>
      <c r="H63" s="18"/>
      <c r="I63" s="18"/>
      <c r="J63" s="18"/>
      <c r="K63" s="18"/>
      <c r="L63" s="18"/>
      <c r="M63" s="18"/>
      <c r="N63" s="18"/>
      <c r="O63" s="19"/>
      <c r="P63" s="19"/>
      <c r="Q63" s="19"/>
      <c r="R63" s="19"/>
      <c r="S63" s="19"/>
      <c r="T63" s="19"/>
      <c r="U63" s="19"/>
      <c r="V63" s="19"/>
      <c r="W63" s="19"/>
      <c r="X63" s="19"/>
      <c r="Y63" s="19"/>
      <c r="Z63" s="18"/>
    </row>
    <row r="64" spans="1:26" x14ac:dyDescent="0.25">
      <c r="A64" s="19"/>
      <c r="B64" s="19"/>
      <c r="C64" s="18"/>
      <c r="D64" s="18"/>
      <c r="E64" s="18"/>
      <c r="F64" s="18"/>
      <c r="G64" s="18"/>
      <c r="H64" s="18"/>
      <c r="I64" s="18"/>
      <c r="J64" s="18"/>
      <c r="K64" s="18"/>
      <c r="L64" s="18"/>
      <c r="M64" s="18"/>
      <c r="N64" s="18"/>
      <c r="O64" s="19"/>
      <c r="P64" s="19"/>
      <c r="Q64" s="19"/>
      <c r="R64" s="19"/>
      <c r="S64" s="19"/>
      <c r="T64" s="19"/>
      <c r="U64" s="19"/>
      <c r="V64" s="19"/>
      <c r="W64" s="19"/>
      <c r="X64" s="19"/>
      <c r="Y64" s="19"/>
      <c r="Z64" s="18"/>
    </row>
    <row r="65" spans="1:40" x14ac:dyDescent="0.25">
      <c r="A65" s="19"/>
      <c r="B65" s="19"/>
      <c r="C65" s="18"/>
      <c r="D65" s="18"/>
      <c r="E65" s="18"/>
      <c r="F65" s="18"/>
      <c r="G65" s="18"/>
      <c r="H65" s="18"/>
      <c r="I65" s="18"/>
      <c r="J65" s="18"/>
      <c r="K65" s="18"/>
      <c r="L65" s="18"/>
      <c r="M65" s="18"/>
      <c r="N65" s="18"/>
      <c r="O65" s="19"/>
      <c r="P65" s="19"/>
      <c r="Q65" s="19"/>
      <c r="R65" s="19"/>
      <c r="S65" s="19"/>
      <c r="T65" s="19"/>
      <c r="U65" s="19"/>
      <c r="V65" s="19"/>
      <c r="W65" s="19"/>
      <c r="X65" s="19"/>
      <c r="Y65" s="19"/>
      <c r="Z65" s="18"/>
    </row>
    <row r="66" spans="1:40" x14ac:dyDescent="0.25">
      <c r="A66" s="19"/>
      <c r="B66" s="19"/>
      <c r="C66" s="18"/>
      <c r="D66" s="18"/>
      <c r="E66" s="18"/>
      <c r="F66" s="18"/>
      <c r="G66" s="18"/>
      <c r="H66" s="18"/>
      <c r="I66" s="18"/>
      <c r="J66" s="18"/>
      <c r="K66" s="18"/>
      <c r="L66" s="18"/>
      <c r="M66" s="18"/>
      <c r="N66" s="18"/>
      <c r="O66" s="19"/>
      <c r="P66" s="19"/>
      <c r="Q66" s="19"/>
      <c r="R66" s="19"/>
      <c r="S66" s="19"/>
      <c r="T66" s="19"/>
      <c r="U66" s="19"/>
      <c r="V66" s="19"/>
      <c r="W66" s="19"/>
      <c r="X66" s="19"/>
      <c r="Y66" s="19"/>
      <c r="Z66" s="18"/>
    </row>
    <row r="67" spans="1:40" x14ac:dyDescent="0.25">
      <c r="A67" s="19"/>
      <c r="B67" s="19"/>
      <c r="C67" s="18"/>
      <c r="D67" s="18"/>
      <c r="E67" s="18"/>
      <c r="F67" s="18"/>
      <c r="G67" s="18"/>
      <c r="H67" s="18"/>
      <c r="I67" s="18"/>
      <c r="J67" s="18"/>
      <c r="K67" s="18"/>
      <c r="L67" s="18"/>
      <c r="M67" s="18"/>
      <c r="N67" s="18"/>
      <c r="O67" s="19"/>
      <c r="P67" s="19"/>
      <c r="Q67" s="19"/>
      <c r="R67" s="19"/>
      <c r="S67" s="19"/>
      <c r="T67" s="19"/>
      <c r="U67" s="19"/>
      <c r="V67" s="19"/>
      <c r="W67" s="19"/>
      <c r="X67" s="19"/>
      <c r="Y67" s="19"/>
      <c r="Z67" s="18"/>
    </row>
    <row r="68" spans="1:40" x14ac:dyDescent="0.25">
      <c r="A68" s="19"/>
      <c r="B68" s="19"/>
      <c r="C68" s="18"/>
      <c r="D68" s="18"/>
      <c r="E68" s="18"/>
      <c r="F68" s="18"/>
      <c r="G68" s="18"/>
      <c r="H68" s="18"/>
      <c r="I68" s="18"/>
      <c r="J68" s="18"/>
      <c r="K68" s="18"/>
      <c r="L68" s="18"/>
      <c r="M68" s="18"/>
      <c r="N68" s="18"/>
      <c r="O68" s="19"/>
      <c r="P68" s="19"/>
      <c r="Q68" s="19"/>
      <c r="R68" s="19"/>
      <c r="S68" s="19"/>
      <c r="T68" s="19"/>
      <c r="U68" s="19"/>
      <c r="V68" s="19"/>
      <c r="W68" s="19"/>
      <c r="X68" s="19"/>
      <c r="Y68" s="19"/>
      <c r="Z68" s="18"/>
    </row>
    <row r="69" spans="1:40" x14ac:dyDescent="0.25">
      <c r="A69" s="19"/>
      <c r="B69" s="19"/>
      <c r="C69" s="18"/>
      <c r="D69" s="18"/>
      <c r="E69" s="18"/>
      <c r="F69" s="18"/>
      <c r="G69" s="18"/>
      <c r="H69" s="18"/>
      <c r="I69" s="18"/>
      <c r="J69" s="18"/>
      <c r="K69" s="18"/>
      <c r="L69" s="18"/>
      <c r="M69" s="18"/>
      <c r="N69" s="18"/>
      <c r="O69" s="19"/>
      <c r="P69" s="19"/>
      <c r="Q69" s="19"/>
      <c r="R69" s="19"/>
      <c r="S69" s="19"/>
      <c r="T69" s="19"/>
      <c r="U69" s="19"/>
      <c r="V69" s="19"/>
      <c r="W69" s="19"/>
      <c r="X69" s="19"/>
      <c r="Y69" s="19"/>
      <c r="Z69" s="18"/>
    </row>
    <row r="70" spans="1:40" x14ac:dyDescent="0.25">
      <c r="A70" s="19"/>
      <c r="B70" s="19"/>
      <c r="C70" s="18"/>
      <c r="D70" s="18"/>
      <c r="E70" s="18"/>
      <c r="F70" s="18"/>
      <c r="G70" s="18"/>
      <c r="H70" s="18"/>
      <c r="I70" s="18"/>
      <c r="J70" s="18"/>
      <c r="K70" s="18"/>
      <c r="L70" s="18"/>
      <c r="M70" s="18"/>
      <c r="N70" s="18"/>
      <c r="O70" s="19"/>
      <c r="P70" s="19"/>
      <c r="Q70" s="19"/>
      <c r="R70" s="19"/>
      <c r="S70" s="19"/>
      <c r="T70" s="19"/>
      <c r="U70" s="19"/>
      <c r="V70" s="19"/>
      <c r="W70" s="19"/>
      <c r="X70" s="19"/>
      <c r="Y70" s="19"/>
      <c r="Z70" s="18"/>
    </row>
    <row r="71" spans="1:40" x14ac:dyDescent="0.25">
      <c r="A71" s="19"/>
      <c r="B71" s="19"/>
      <c r="C71" s="18"/>
      <c r="D71" s="18"/>
      <c r="E71" s="18"/>
      <c r="F71" s="18"/>
      <c r="G71" s="18"/>
      <c r="H71" s="18"/>
      <c r="I71" s="18"/>
      <c r="J71" s="18"/>
      <c r="K71" s="18"/>
      <c r="L71" s="18"/>
      <c r="M71" s="18"/>
      <c r="N71" s="18"/>
      <c r="O71" s="19"/>
      <c r="P71" s="19"/>
      <c r="Q71" s="19"/>
      <c r="R71" s="19"/>
      <c r="S71" s="19"/>
      <c r="T71" s="19"/>
      <c r="U71" s="19"/>
      <c r="V71" s="19"/>
      <c r="W71" s="19"/>
      <c r="X71" s="19"/>
      <c r="Y71" s="19"/>
      <c r="Z71" s="18"/>
    </row>
    <row r="72" spans="1:40" x14ac:dyDescent="0.25">
      <c r="A72" s="19"/>
      <c r="B72" s="19"/>
      <c r="C72" s="18"/>
      <c r="D72" s="18"/>
      <c r="E72" s="18"/>
      <c r="F72" s="18"/>
      <c r="G72" s="18"/>
      <c r="H72" s="18"/>
      <c r="I72" s="18"/>
      <c r="J72" s="18"/>
      <c r="K72" s="18"/>
      <c r="L72" s="18"/>
      <c r="M72" s="18"/>
      <c r="N72" s="18"/>
      <c r="O72" s="19"/>
      <c r="P72" s="19"/>
      <c r="Q72" s="19"/>
      <c r="R72" s="19"/>
      <c r="S72" s="19"/>
      <c r="T72" s="19"/>
      <c r="U72" s="19"/>
      <c r="V72" s="19"/>
      <c r="W72" s="19"/>
      <c r="X72" s="19"/>
      <c r="Y72" s="19"/>
      <c r="Z72" s="18"/>
    </row>
    <row r="73" spans="1:40" x14ac:dyDescent="0.25">
      <c r="A73" s="19"/>
      <c r="B73" s="19"/>
      <c r="C73" s="18"/>
      <c r="D73" s="18"/>
      <c r="E73" s="18"/>
      <c r="F73" s="18"/>
      <c r="G73" s="18"/>
      <c r="H73" s="18"/>
      <c r="I73" s="18"/>
      <c r="J73" s="18"/>
      <c r="K73" s="18"/>
      <c r="L73" s="18"/>
      <c r="M73" s="18"/>
      <c r="N73" s="18"/>
      <c r="O73" s="19"/>
      <c r="P73" s="19"/>
      <c r="Q73" s="19"/>
      <c r="R73" s="19"/>
      <c r="S73" s="19"/>
      <c r="T73" s="19"/>
      <c r="U73" s="19"/>
      <c r="V73" s="19"/>
      <c r="W73" s="19"/>
      <c r="X73" s="19"/>
      <c r="Y73" s="19"/>
      <c r="Z73" s="18"/>
    </row>
    <row r="74" spans="1:40" x14ac:dyDescent="0.25">
      <c r="A74" s="19"/>
      <c r="B74" s="19"/>
      <c r="C74" s="18"/>
      <c r="D74" s="18"/>
      <c r="E74" s="18"/>
      <c r="F74" s="18"/>
      <c r="G74" s="18"/>
      <c r="H74" s="18"/>
      <c r="I74" s="18"/>
      <c r="J74" s="18"/>
      <c r="K74" s="18"/>
      <c r="L74" s="18"/>
      <c r="M74" s="18"/>
      <c r="N74" s="18"/>
      <c r="O74" s="19"/>
      <c r="P74" s="19"/>
      <c r="Q74" s="19"/>
      <c r="R74" s="19"/>
      <c r="S74" s="19"/>
      <c r="T74" s="19"/>
      <c r="U74" s="19"/>
      <c r="V74" s="19"/>
      <c r="W74" s="19"/>
      <c r="X74" s="19"/>
      <c r="Y74" s="19"/>
      <c r="Z74" s="18"/>
    </row>
    <row r="75" spans="1:40" x14ac:dyDescent="0.25">
      <c r="A75" s="19"/>
      <c r="B75" s="19"/>
      <c r="C75" s="18"/>
      <c r="D75" s="18"/>
      <c r="E75" s="18"/>
      <c r="F75" s="18"/>
      <c r="G75" s="18"/>
      <c r="H75" s="18"/>
      <c r="I75" s="18"/>
      <c r="J75" s="18"/>
      <c r="K75" s="18"/>
      <c r="L75" s="18"/>
      <c r="M75" s="18"/>
      <c r="N75" s="18"/>
      <c r="O75" s="19"/>
      <c r="P75" s="19"/>
      <c r="Q75" s="19"/>
      <c r="R75" s="19"/>
      <c r="S75" s="19"/>
      <c r="T75" s="19"/>
      <c r="U75" s="19"/>
      <c r="V75" s="19"/>
      <c r="W75" s="19"/>
      <c r="X75" s="19"/>
      <c r="Y75" s="19"/>
      <c r="Z75" s="19"/>
    </row>
    <row r="76" spans="1:40" x14ac:dyDescent="0.25">
      <c r="A76" s="19"/>
      <c r="B76" s="19"/>
      <c r="C76" s="18"/>
      <c r="D76" s="18"/>
      <c r="E76" s="18"/>
      <c r="F76" s="18"/>
      <c r="G76" s="18"/>
      <c r="H76" s="18"/>
      <c r="I76" s="18"/>
      <c r="J76" s="18"/>
      <c r="K76" s="18"/>
      <c r="L76" s="18"/>
      <c r="M76" s="18"/>
      <c r="N76" s="18"/>
      <c r="O76" s="19"/>
      <c r="P76" s="19"/>
      <c r="Q76" s="19"/>
      <c r="R76" s="19"/>
      <c r="S76" s="19"/>
      <c r="T76" s="19"/>
      <c r="U76" s="19"/>
      <c r="V76" s="19"/>
      <c r="W76" s="19"/>
      <c r="X76" s="19"/>
      <c r="Y76" s="19"/>
      <c r="Z76" s="19"/>
    </row>
    <row r="77" spans="1:40" x14ac:dyDescent="0.25">
      <c r="A77" s="19"/>
      <c r="B77" s="19"/>
      <c r="C77" s="18"/>
      <c r="D77" s="18"/>
      <c r="E77" s="18"/>
      <c r="F77" s="18"/>
      <c r="G77" s="18"/>
      <c r="H77" s="18"/>
      <c r="I77" s="18"/>
      <c r="J77" s="18"/>
      <c r="K77" s="18"/>
      <c r="L77" s="18"/>
      <c r="M77" s="18"/>
      <c r="N77" s="18"/>
      <c r="O77" s="19"/>
      <c r="P77" s="19"/>
      <c r="Q77" s="19"/>
      <c r="R77" s="19"/>
      <c r="S77" s="19"/>
      <c r="T77" s="19"/>
      <c r="U77" s="19"/>
      <c r="V77" s="19"/>
      <c r="W77" s="19"/>
      <c r="X77" s="19"/>
      <c r="Y77" s="19"/>
      <c r="Z77" s="19"/>
    </row>
    <row r="78" spans="1:40" x14ac:dyDescent="0.25">
      <c r="A78" s="19"/>
      <c r="B78" s="19"/>
      <c r="C78" s="19"/>
      <c r="D78" s="19"/>
      <c r="E78" s="18"/>
      <c r="F78" s="18"/>
      <c r="G78" s="18"/>
      <c r="H78" s="18"/>
      <c r="I78" s="18"/>
      <c r="J78" s="18"/>
      <c r="K78" s="18"/>
      <c r="L78" s="18"/>
      <c r="M78" s="18"/>
      <c r="N78" s="18"/>
      <c r="O78" s="18"/>
      <c r="P78" s="18"/>
      <c r="Q78" s="19"/>
      <c r="R78" s="19"/>
      <c r="S78" s="19"/>
      <c r="T78" s="19"/>
      <c r="U78" s="19"/>
      <c r="V78" s="19"/>
      <c r="W78" s="19"/>
      <c r="X78" s="19"/>
      <c r="Y78" s="19"/>
      <c r="Z78" s="19"/>
    </row>
    <row r="79" spans="1:40" x14ac:dyDescent="0.25">
      <c r="A79" s="19"/>
      <c r="B79" s="19"/>
      <c r="C79" s="19"/>
      <c r="D79" s="19"/>
      <c r="E79" s="19"/>
      <c r="F79" s="19"/>
      <c r="G79" s="19"/>
      <c r="H79" s="19"/>
      <c r="I79" s="19"/>
      <c r="J79" s="19"/>
      <c r="K79" s="19"/>
      <c r="L79" s="19"/>
      <c r="M79" s="19"/>
      <c r="N79" s="19"/>
      <c r="O79" s="19"/>
      <c r="P79" s="19"/>
      <c r="Q79" s="18"/>
      <c r="R79" s="18"/>
      <c r="S79" s="18"/>
      <c r="T79" s="18"/>
      <c r="U79" s="18"/>
      <c r="V79" s="18"/>
      <c r="W79" s="18"/>
      <c r="X79" s="18"/>
      <c r="Y79" s="18"/>
      <c r="Z79" s="19"/>
    </row>
    <row r="80" spans="1:40" x14ac:dyDescent="0.25">
      <c r="AC80" s="19"/>
      <c r="AD80" s="19"/>
      <c r="AE80" s="19"/>
      <c r="AF80" s="19"/>
      <c r="AG80" s="19"/>
      <c r="AH80" s="19"/>
      <c r="AI80" s="19"/>
      <c r="AJ80" s="19"/>
      <c r="AK80" s="19"/>
      <c r="AL80" s="19"/>
      <c r="AN80" s="19"/>
    </row>
    <row r="81" spans="40:42" x14ac:dyDescent="0.25">
      <c r="AN81" s="19"/>
    </row>
    <row r="82" spans="40:42" x14ac:dyDescent="0.25">
      <c r="AN82" s="19"/>
    </row>
    <row r="83" spans="40:42" x14ac:dyDescent="0.25">
      <c r="AN83" s="17"/>
      <c r="AO83" s="17"/>
      <c r="AP83" s="17"/>
    </row>
  </sheetData>
  <mergeCells count="9">
    <mergeCell ref="X3:Y3"/>
    <mergeCell ref="O3:P3"/>
    <mergeCell ref="R3:S3"/>
    <mergeCell ref="C2:N2"/>
    <mergeCell ref="C3:D3"/>
    <mergeCell ref="F3:G3"/>
    <mergeCell ref="I3:J3"/>
    <mergeCell ref="L3:M3"/>
    <mergeCell ref="U3:V3"/>
  </mergeCells>
  <printOptions horizontalCentered="1" verticalCentered="1"/>
  <pageMargins left="0.25" right="0.25" top="2" bottom="0.75" header="1.8" footer="0.3"/>
  <pageSetup scale="60" orientation="landscape" r:id="rId1"/>
  <headerFooter scaleWithDoc="0">
    <oddHeader>&amp;CDEBT SERVICE REQUIREMENTS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64B5-395F-4F6E-B5DA-361625F0ED4D}">
  <sheetPr>
    <tabColor theme="4" tint="0.79998168889431442"/>
  </sheetPr>
  <dimension ref="A1:AG50"/>
  <sheetViews>
    <sheetView zoomScale="80" zoomScaleNormal="80" workbookViewId="0">
      <pane xSplit="2" topLeftCell="I1" activePane="topRight" state="frozen"/>
      <selection pane="topRight" activeCell="H22" sqref="H22"/>
    </sheetView>
  </sheetViews>
  <sheetFormatPr defaultColWidth="9.140625" defaultRowHeight="15" x14ac:dyDescent="0.25"/>
  <cols>
    <col min="1" max="1" width="11.85546875" style="15" customWidth="1"/>
    <col min="2" max="2" width="22.5703125" style="15" customWidth="1"/>
    <col min="3" max="3" width="9.5703125" style="15" customWidth="1"/>
    <col min="4" max="4" width="11.5703125" style="15" bestFit="1" customWidth="1"/>
    <col min="5" max="5" width="29.42578125" style="15" customWidth="1"/>
    <col min="6" max="6" width="14" style="15" customWidth="1"/>
    <col min="7" max="12" width="16.140625" style="15" customWidth="1"/>
    <col min="13" max="13" width="16.140625" style="49" customWidth="1"/>
    <col min="14" max="16" width="17.42578125" style="15" customWidth="1"/>
    <col min="18" max="18" width="15.5703125" style="15" customWidth="1"/>
    <col min="19" max="19" width="13.7109375" style="49" customWidth="1"/>
    <col min="20" max="20" width="12.28515625" style="15" bestFit="1" customWidth="1"/>
    <col min="21" max="21" width="13.42578125" style="15" customWidth="1"/>
    <col min="22" max="22" width="11.5703125" style="15" customWidth="1"/>
    <col min="23" max="24" width="12.140625" style="15" customWidth="1"/>
    <col min="25" max="25" width="13.42578125" style="15" customWidth="1"/>
    <col min="26" max="27" width="16" style="48" customWidth="1"/>
    <col min="28" max="28" width="16" style="36" customWidth="1"/>
    <col min="29" max="29" width="13.42578125" style="15" customWidth="1"/>
    <col min="30" max="30" width="17.42578125" style="15" customWidth="1"/>
    <col min="31" max="31" width="14" style="15" customWidth="1"/>
    <col min="32" max="32" width="16" style="36" customWidth="1"/>
    <col min="33" max="33" width="13.42578125" style="15" customWidth="1"/>
    <col min="34" max="16384" width="9.140625" style="15"/>
  </cols>
  <sheetData>
    <row r="1" spans="1:33" ht="38.25" customHeight="1" x14ac:dyDescent="0.25">
      <c r="A1" s="155" t="s">
        <v>76</v>
      </c>
      <c r="B1" s="156" t="s">
        <v>77</v>
      </c>
      <c r="C1" s="156" t="s">
        <v>150</v>
      </c>
      <c r="D1" s="156" t="s">
        <v>156</v>
      </c>
      <c r="E1" s="156" t="s">
        <v>78</v>
      </c>
      <c r="F1" s="155" t="s">
        <v>79</v>
      </c>
      <c r="G1" s="155" t="s">
        <v>80</v>
      </c>
      <c r="H1" s="155" t="s">
        <v>81</v>
      </c>
      <c r="I1" s="155" t="s">
        <v>82</v>
      </c>
      <c r="J1" s="155" t="s">
        <v>134</v>
      </c>
      <c r="K1" s="155" t="s">
        <v>135</v>
      </c>
      <c r="L1" s="155" t="s">
        <v>268</v>
      </c>
      <c r="M1" s="157" t="s">
        <v>83</v>
      </c>
      <c r="N1" s="155" t="s">
        <v>84</v>
      </c>
      <c r="O1" s="155" t="s">
        <v>85</v>
      </c>
      <c r="P1" s="155" t="s">
        <v>86</v>
      </c>
      <c r="R1" s="156" t="s">
        <v>87</v>
      </c>
      <c r="S1" s="156" t="s">
        <v>88</v>
      </c>
      <c r="T1" s="156"/>
      <c r="U1" s="155" t="s">
        <v>89</v>
      </c>
      <c r="V1" s="156" t="s">
        <v>90</v>
      </c>
      <c r="W1" s="156" t="s">
        <v>91</v>
      </c>
      <c r="X1" s="156" t="s">
        <v>142</v>
      </c>
      <c r="Y1" s="156" t="s">
        <v>148</v>
      </c>
      <c r="Z1" s="158" t="s">
        <v>92</v>
      </c>
      <c r="AA1" s="158" t="s">
        <v>153</v>
      </c>
      <c r="AB1" s="159" t="s">
        <v>93</v>
      </c>
      <c r="AC1" s="155" t="s">
        <v>94</v>
      </c>
      <c r="AD1" s="155" t="s">
        <v>264</v>
      </c>
      <c r="AE1" s="155" t="s">
        <v>267</v>
      </c>
      <c r="AF1" s="159" t="s">
        <v>278</v>
      </c>
      <c r="AG1" s="155" t="s">
        <v>94</v>
      </c>
    </row>
    <row r="2" spans="1:33" ht="38.25" customHeight="1" x14ac:dyDescent="0.25">
      <c r="A2" s="155"/>
      <c r="B2" s="156"/>
      <c r="C2" s="156"/>
      <c r="D2" s="156"/>
      <c r="E2" s="156"/>
      <c r="F2" s="155"/>
      <c r="G2" s="155"/>
      <c r="H2" s="155"/>
      <c r="I2" s="155"/>
      <c r="J2" s="155"/>
      <c r="K2" s="155"/>
      <c r="L2" s="155"/>
      <c r="M2" s="157"/>
      <c r="N2" s="155"/>
      <c r="O2" s="155"/>
      <c r="P2" s="155"/>
      <c r="R2" s="156"/>
      <c r="S2" s="50">
        <v>2020</v>
      </c>
      <c r="T2" s="35">
        <v>2022</v>
      </c>
      <c r="U2" s="155"/>
      <c r="V2" s="156"/>
      <c r="W2" s="156"/>
      <c r="X2" s="156"/>
      <c r="Y2" s="156"/>
      <c r="Z2" s="158"/>
      <c r="AA2" s="158"/>
      <c r="AB2" s="159"/>
      <c r="AC2" s="155"/>
      <c r="AD2" s="155"/>
      <c r="AE2" s="156"/>
      <c r="AF2" s="159"/>
      <c r="AG2" s="155"/>
    </row>
    <row r="3" spans="1:33" x14ac:dyDescent="0.25">
      <c r="A3" s="113" t="s">
        <v>275</v>
      </c>
      <c r="B3" s="151"/>
      <c r="C3" s="15" t="s">
        <v>154</v>
      </c>
      <c r="D3" s="70">
        <v>44124</v>
      </c>
      <c r="E3" s="15" t="s">
        <v>143</v>
      </c>
      <c r="F3" s="26">
        <v>866.75</v>
      </c>
      <c r="G3" s="26">
        <v>3.2</v>
      </c>
      <c r="H3" s="26">
        <v>0</v>
      </c>
      <c r="I3" s="26">
        <v>0</v>
      </c>
      <c r="J3" s="26">
        <v>16</v>
      </c>
      <c r="K3" s="26">
        <v>0</v>
      </c>
      <c r="L3" s="26">
        <v>0</v>
      </c>
      <c r="M3" s="48">
        <v>300</v>
      </c>
      <c r="N3" s="36">
        <f>10950.6-300</f>
        <v>10650.6</v>
      </c>
      <c r="O3" s="36">
        <v>12.5</v>
      </c>
      <c r="P3" s="36">
        <f>((2080-(H3+I3+J3+K3))*O3)+(G3*(O3*1.5))+(H3*O3)+(I3*O3)+(L3*100)+M3+(J3*O3)+(K3*O3)</f>
        <v>26360</v>
      </c>
      <c r="R3" s="37" t="s">
        <v>138</v>
      </c>
      <c r="S3" s="51">
        <v>0</v>
      </c>
      <c r="T3" s="37">
        <v>840.46</v>
      </c>
      <c r="U3" s="37">
        <f>T3*12</f>
        <v>10085.52</v>
      </c>
      <c r="V3" s="37">
        <v>0</v>
      </c>
      <c r="W3" s="37">
        <v>0</v>
      </c>
      <c r="X3" s="37">
        <f>40.24*12</f>
        <v>482.88</v>
      </c>
      <c r="Y3" s="37">
        <f>P3*0.2695</f>
        <v>7104.02</v>
      </c>
      <c r="Z3" s="48">
        <f>(T3*12)</f>
        <v>10085.52</v>
      </c>
      <c r="AA3" s="48">
        <f>X3*0.4</f>
        <v>193.15200000000002</v>
      </c>
      <c r="AB3" s="36">
        <f>V3+W3+Y3+Z3+AA3</f>
        <v>17382.691999999999</v>
      </c>
      <c r="AC3" s="38">
        <f>P3*0.0765</f>
        <v>2016.54</v>
      </c>
      <c r="AD3" s="36">
        <f>((2080-(H3+I3+J3+K3))*(O3+1)+(G3*((O3+1)*1.5))+(H3*(O3+1))+(I3*(O3+1))+(L3*100)+M3+(J3*(O3+1))+(K3*(O3+1)))</f>
        <v>28444.799999999999</v>
      </c>
      <c r="AE3" s="106">
        <f>AD3*0.2695</f>
        <v>7665.8735999999999</v>
      </c>
      <c r="AF3" s="36">
        <f>V3+W3+AE3+Z3+AA3</f>
        <v>17944.545599999998</v>
      </c>
      <c r="AG3" s="38">
        <f>AD3*0.0765</f>
        <v>2176.0272</v>
      </c>
    </row>
    <row r="4" spans="1:33" s="49" customFormat="1" x14ac:dyDescent="0.25">
      <c r="A4" s="97">
        <v>2</v>
      </c>
      <c r="B4" s="151"/>
      <c r="C4" s="98" t="s">
        <v>154</v>
      </c>
      <c r="D4" s="99">
        <v>35801</v>
      </c>
      <c r="E4" s="98" t="s">
        <v>136</v>
      </c>
      <c r="F4" s="100">
        <v>1363.25</v>
      </c>
      <c r="G4" s="100">
        <v>0</v>
      </c>
      <c r="H4" s="100">
        <v>1.75</v>
      </c>
      <c r="I4" s="100">
        <v>146</v>
      </c>
      <c r="J4" s="100">
        <v>56</v>
      </c>
      <c r="K4" s="100">
        <v>20</v>
      </c>
      <c r="L4" s="100">
        <v>0</v>
      </c>
      <c r="M4" s="101">
        <v>0</v>
      </c>
      <c r="N4" s="101">
        <v>52981.37</v>
      </c>
      <c r="O4" s="101"/>
      <c r="P4" s="101"/>
      <c r="Q4" s="98"/>
      <c r="R4" s="102" t="s">
        <v>139</v>
      </c>
      <c r="S4" s="103"/>
      <c r="T4" s="102"/>
      <c r="U4" s="102"/>
      <c r="V4" s="102"/>
      <c r="W4" s="102"/>
      <c r="X4" s="102"/>
      <c r="Y4" s="102">
        <f t="shared" ref="Y4:Y15" si="0">P4*0.2695</f>
        <v>0</v>
      </c>
      <c r="Z4" s="101"/>
      <c r="AA4" s="101"/>
      <c r="AB4" s="101"/>
      <c r="AC4" s="104"/>
      <c r="AD4" s="101"/>
      <c r="AE4" s="107"/>
      <c r="AF4" s="101"/>
      <c r="AG4" s="104">
        <f t="shared" ref="AG4:AG15" si="1">AD4*0.0765</f>
        <v>0</v>
      </c>
    </row>
    <row r="5" spans="1:33" x14ac:dyDescent="0.25">
      <c r="A5" s="27">
        <v>3</v>
      </c>
      <c r="B5" s="151"/>
      <c r="C5" s="15" t="s">
        <v>154</v>
      </c>
      <c r="D5" s="70">
        <v>38292</v>
      </c>
      <c r="E5" s="15" t="s">
        <v>265</v>
      </c>
      <c r="F5" s="26">
        <v>1872.5</v>
      </c>
      <c r="G5" s="26">
        <v>19.5</v>
      </c>
      <c r="H5" s="26">
        <v>9.25</v>
      </c>
      <c r="I5" s="26">
        <v>127.75</v>
      </c>
      <c r="J5" s="26">
        <v>88</v>
      </c>
      <c r="K5" s="26">
        <v>24</v>
      </c>
      <c r="L5" s="26">
        <v>0</v>
      </c>
      <c r="M5" s="48">
        <v>300</v>
      </c>
      <c r="N5" s="36">
        <f>37397.79-300</f>
        <v>37097.79</v>
      </c>
      <c r="O5" s="36">
        <v>17.5</v>
      </c>
      <c r="P5" s="36">
        <f>((2080-(H5+I5+J5+K5))*O5)+(G5*(O5*1.5))+(H5*O5)+(I5*O5)+(L5*100)+M5+(J5*O5)+(K5*O5)</f>
        <v>37211.875</v>
      </c>
      <c r="R5" s="37" t="s">
        <v>138</v>
      </c>
      <c r="S5" s="51">
        <v>811.64160000000004</v>
      </c>
      <c r="T5" s="37">
        <v>840.46</v>
      </c>
      <c r="U5" s="37">
        <f t="shared" ref="U5:U13" si="2">T5*12</f>
        <v>10085.52</v>
      </c>
      <c r="V5" s="37">
        <f>19.25*12</f>
        <v>231</v>
      </c>
      <c r="W5" s="37">
        <v>0</v>
      </c>
      <c r="X5" s="37">
        <f>20.9*12</f>
        <v>250.79999999999998</v>
      </c>
      <c r="Y5" s="37">
        <f t="shared" si="0"/>
        <v>10028.600312500001</v>
      </c>
      <c r="Z5" s="48">
        <f t="shared" ref="Z5:Z15" si="3">(T5*12)</f>
        <v>10085.52</v>
      </c>
      <c r="AA5" s="48">
        <f t="shared" ref="AA5:AA15" si="4">X5*0.4</f>
        <v>100.32</v>
      </c>
      <c r="AB5" s="36">
        <f t="shared" ref="AB5:AB15" si="5">V5+W5+Y5+Z5+AA5</f>
        <v>20445.440312500003</v>
      </c>
      <c r="AC5" s="38">
        <f>P5*0.0765</f>
        <v>2846.7084374999999</v>
      </c>
      <c r="AD5" s="36">
        <f t="shared" ref="AD5:AD13" si="6">((2080-(H5+I5+J5+K5))*(O5+1)+(G5*((O5+1)*1.5))+(H5*(O5+1))+(I5*(O5+1))+(L5*100)+M5+(J5*(O5+1))+(K5*(O5+1)))</f>
        <v>39321.125</v>
      </c>
      <c r="AE5" s="106">
        <f t="shared" ref="AE5:AE13" si="7">AD5*0.2695</f>
        <v>10597.043187500001</v>
      </c>
      <c r="AF5" s="36">
        <f t="shared" ref="AF5:AF13" si="8">V5+W5+AE5+Z5+AA5</f>
        <v>21013.883187500003</v>
      </c>
      <c r="AG5" s="38">
        <f t="shared" si="1"/>
        <v>3008.0660625</v>
      </c>
    </row>
    <row r="6" spans="1:33" x14ac:dyDescent="0.25">
      <c r="A6" s="113" t="s">
        <v>276</v>
      </c>
      <c r="B6" s="151"/>
      <c r="C6" s="15" t="s">
        <v>154</v>
      </c>
      <c r="D6" s="70">
        <v>44109</v>
      </c>
      <c r="E6" s="15" t="s">
        <v>136</v>
      </c>
      <c r="F6" s="26">
        <v>454.5</v>
      </c>
      <c r="G6" s="26">
        <v>93.75</v>
      </c>
      <c r="H6" s="26">
        <v>0</v>
      </c>
      <c r="I6" s="26">
        <v>0</v>
      </c>
      <c r="J6" s="26">
        <v>32</v>
      </c>
      <c r="K6" s="26">
        <v>0</v>
      </c>
      <c r="L6" s="26">
        <v>0</v>
      </c>
      <c r="M6" s="48">
        <v>300</v>
      </c>
      <c r="N6" s="36">
        <f>12528.96-300</f>
        <v>12228.96</v>
      </c>
      <c r="O6" s="36">
        <v>22</v>
      </c>
      <c r="P6" s="36">
        <f>((2080-(H6+I6+L6))*O6)+(G6*(O6*1.5))+(H6*O6)+(L6*100)+M6+(J6*O6)+(K6*O6)</f>
        <v>49857.75</v>
      </c>
      <c r="R6" s="37" t="s">
        <v>138</v>
      </c>
      <c r="S6" s="51">
        <v>0</v>
      </c>
      <c r="T6" s="37">
        <v>658.98</v>
      </c>
      <c r="U6" s="37">
        <f t="shared" si="2"/>
        <v>7907.76</v>
      </c>
      <c r="V6" s="37">
        <f>4.25*12</f>
        <v>51</v>
      </c>
      <c r="W6" s="37">
        <v>0</v>
      </c>
      <c r="X6" s="37">
        <f>62.92*12</f>
        <v>755.04</v>
      </c>
      <c r="Y6" s="37">
        <f t="shared" si="0"/>
        <v>13436.663625000001</v>
      </c>
      <c r="Z6" s="48">
        <f t="shared" si="3"/>
        <v>7907.76</v>
      </c>
      <c r="AA6" s="48">
        <f t="shared" si="4"/>
        <v>302.01600000000002</v>
      </c>
      <c r="AB6" s="36">
        <f t="shared" si="5"/>
        <v>21697.439625000003</v>
      </c>
      <c r="AC6" s="38">
        <f>P6*0.0765</f>
        <v>3814.1178749999999</v>
      </c>
      <c r="AD6" s="36">
        <f t="shared" si="6"/>
        <v>51374.375</v>
      </c>
      <c r="AE6" s="106">
        <f t="shared" si="7"/>
        <v>13845.394062500001</v>
      </c>
      <c r="AF6" s="36">
        <f t="shared" si="8"/>
        <v>22106.170062500001</v>
      </c>
      <c r="AG6" s="38">
        <f t="shared" si="1"/>
        <v>3930.1396875</v>
      </c>
    </row>
    <row r="7" spans="1:33" x14ac:dyDescent="0.25">
      <c r="A7" s="113" t="s">
        <v>277</v>
      </c>
      <c r="B7" s="151"/>
      <c r="C7" s="15" t="s">
        <v>155</v>
      </c>
      <c r="D7" s="70">
        <v>44210</v>
      </c>
      <c r="E7" s="15" t="s">
        <v>144</v>
      </c>
      <c r="F7" s="26">
        <v>0</v>
      </c>
      <c r="G7" s="26">
        <v>0</v>
      </c>
      <c r="H7" s="26">
        <v>0</v>
      </c>
      <c r="I7" s="26">
        <v>0</v>
      </c>
      <c r="J7" s="26">
        <v>0</v>
      </c>
      <c r="K7" s="26">
        <v>0</v>
      </c>
      <c r="L7" s="26">
        <v>0</v>
      </c>
      <c r="M7" s="48">
        <v>0</v>
      </c>
      <c r="N7" s="36">
        <v>0</v>
      </c>
      <c r="O7" s="36">
        <v>18.5</v>
      </c>
      <c r="P7" s="36">
        <f>160*O7</f>
        <v>2960</v>
      </c>
      <c r="R7" s="37" t="s">
        <v>139</v>
      </c>
      <c r="S7" s="51">
        <v>0</v>
      </c>
      <c r="T7" s="37">
        <v>0</v>
      </c>
      <c r="U7" s="37"/>
      <c r="V7" s="37">
        <v>0</v>
      </c>
      <c r="W7" s="37">
        <v>0</v>
      </c>
      <c r="X7" s="37">
        <v>0</v>
      </c>
      <c r="Y7" s="37">
        <f t="shared" si="0"/>
        <v>797.72</v>
      </c>
      <c r="Z7" s="48">
        <f t="shared" si="3"/>
        <v>0</v>
      </c>
      <c r="AA7" s="48">
        <f t="shared" si="4"/>
        <v>0</v>
      </c>
      <c r="AB7" s="36">
        <f t="shared" si="5"/>
        <v>797.72</v>
      </c>
      <c r="AC7" s="38">
        <f t="shared" ref="AC7:AC13" si="9">P7*0.0765</f>
        <v>226.44</v>
      </c>
      <c r="AD7" s="36">
        <f>160*(O7+1)</f>
        <v>3120</v>
      </c>
      <c r="AE7" s="106">
        <f t="shared" si="7"/>
        <v>840.84</v>
      </c>
      <c r="AF7" s="36">
        <f t="shared" si="8"/>
        <v>840.84</v>
      </c>
      <c r="AG7" s="38">
        <f t="shared" si="1"/>
        <v>238.68</v>
      </c>
    </row>
    <row r="8" spans="1:33" x14ac:dyDescent="0.25">
      <c r="A8" s="27">
        <v>6</v>
      </c>
      <c r="B8" s="151"/>
      <c r="C8" s="15" t="s">
        <v>154</v>
      </c>
      <c r="D8" s="70">
        <v>43395</v>
      </c>
      <c r="E8" s="15" t="s">
        <v>145</v>
      </c>
      <c r="F8" s="26">
        <v>2026.5</v>
      </c>
      <c r="G8" s="26">
        <v>549</v>
      </c>
      <c r="H8" s="26">
        <v>16</v>
      </c>
      <c r="I8" s="26">
        <v>56</v>
      </c>
      <c r="J8" s="26">
        <v>88</v>
      </c>
      <c r="K8" s="26">
        <v>0</v>
      </c>
      <c r="L8" s="26">
        <v>47</v>
      </c>
      <c r="M8" s="48">
        <v>300</v>
      </c>
      <c r="N8" s="36">
        <f>60400-300</f>
        <v>60100</v>
      </c>
      <c r="O8" s="36">
        <v>19.5</v>
      </c>
      <c r="P8" s="36">
        <f t="shared" ref="P8:P13" si="10">((2080-(H8+I8+J8+K8))*O8)+(G8*(O8*1.5))+(H8*O8)+(I8*O8)+(L8*100)+M8+(J8*O8)+(K8*O8)</f>
        <v>61618.25</v>
      </c>
      <c r="R8" s="37" t="s">
        <v>140</v>
      </c>
      <c r="S8" s="51">
        <v>1128.864</v>
      </c>
      <c r="T8" s="37">
        <v>1157.31</v>
      </c>
      <c r="U8" s="37">
        <f t="shared" si="2"/>
        <v>13887.72</v>
      </c>
      <c r="V8" s="37">
        <f>8.75*12</f>
        <v>105</v>
      </c>
      <c r="W8" s="37">
        <v>0</v>
      </c>
      <c r="X8" s="37">
        <f>40.24*12</f>
        <v>482.88</v>
      </c>
      <c r="Y8" s="37">
        <f t="shared" si="0"/>
        <v>16606.118375000002</v>
      </c>
      <c r="Z8" s="48">
        <f t="shared" si="3"/>
        <v>13887.72</v>
      </c>
      <c r="AA8" s="48">
        <f t="shared" si="4"/>
        <v>193.15200000000002</v>
      </c>
      <c r="AB8" s="36">
        <f t="shared" si="5"/>
        <v>30791.990374999998</v>
      </c>
      <c r="AC8" s="38">
        <f t="shared" si="9"/>
        <v>4713.7961249999998</v>
      </c>
      <c r="AD8" s="36">
        <f t="shared" si="6"/>
        <v>64521.75</v>
      </c>
      <c r="AE8" s="106">
        <f t="shared" si="7"/>
        <v>17388.611625000001</v>
      </c>
      <c r="AF8" s="36">
        <f t="shared" si="8"/>
        <v>31574.483624999997</v>
      </c>
      <c r="AG8" s="38">
        <f t="shared" si="1"/>
        <v>4935.9138750000002</v>
      </c>
    </row>
    <row r="9" spans="1:33" x14ac:dyDescent="0.25">
      <c r="A9" s="27">
        <v>7</v>
      </c>
      <c r="B9" s="151"/>
      <c r="C9" s="15" t="s">
        <v>154</v>
      </c>
      <c r="D9" s="70">
        <v>43031</v>
      </c>
      <c r="E9" s="15" t="s">
        <v>137</v>
      </c>
      <c r="F9" s="26">
        <v>1909.5</v>
      </c>
      <c r="G9" s="26">
        <v>341.5</v>
      </c>
      <c r="H9" s="26">
        <v>37</v>
      </c>
      <c r="I9" s="26">
        <v>167</v>
      </c>
      <c r="J9" s="26">
        <v>88</v>
      </c>
      <c r="K9" s="26">
        <v>0</v>
      </c>
      <c r="L9" s="26">
        <v>53</v>
      </c>
      <c r="M9" s="48">
        <v>300</v>
      </c>
      <c r="N9" s="36">
        <f>67100.06-300</f>
        <v>66800.06</v>
      </c>
      <c r="O9" s="36">
        <v>27</v>
      </c>
      <c r="P9" s="36">
        <f t="shared" si="10"/>
        <v>75590.75</v>
      </c>
      <c r="R9" s="37" t="s">
        <v>141</v>
      </c>
      <c r="S9" s="51">
        <v>1254.3344000000002</v>
      </c>
      <c r="T9" s="37">
        <v>1290.03</v>
      </c>
      <c r="U9" s="37">
        <f t="shared" si="2"/>
        <v>15480.36</v>
      </c>
      <c r="V9" s="37">
        <f>20.5*12</f>
        <v>246</v>
      </c>
      <c r="W9" s="37">
        <v>0</v>
      </c>
      <c r="X9" s="37">
        <f>40.24*12</f>
        <v>482.88</v>
      </c>
      <c r="Y9" s="37">
        <f t="shared" si="0"/>
        <v>20371.707125000001</v>
      </c>
      <c r="Z9" s="48">
        <f t="shared" si="3"/>
        <v>15480.36</v>
      </c>
      <c r="AA9" s="48">
        <f t="shared" si="4"/>
        <v>193.15200000000002</v>
      </c>
      <c r="AB9" s="36">
        <f t="shared" si="5"/>
        <v>36291.219125000003</v>
      </c>
      <c r="AC9" s="38">
        <f t="shared" si="9"/>
        <v>5782.6923749999996</v>
      </c>
      <c r="AD9" s="36">
        <f t="shared" si="6"/>
        <v>78183</v>
      </c>
      <c r="AE9" s="106">
        <f t="shared" si="7"/>
        <v>21070.318500000001</v>
      </c>
      <c r="AF9" s="36">
        <f t="shared" si="8"/>
        <v>36989.830500000004</v>
      </c>
      <c r="AG9" s="38">
        <f t="shared" si="1"/>
        <v>5980.9994999999999</v>
      </c>
    </row>
    <row r="10" spans="1:33" x14ac:dyDescent="0.25">
      <c r="A10" s="27">
        <v>8</v>
      </c>
      <c r="B10" s="151"/>
      <c r="C10" s="15" t="s">
        <v>154</v>
      </c>
      <c r="D10" s="70">
        <v>43118</v>
      </c>
      <c r="E10" s="15" t="s">
        <v>146</v>
      </c>
      <c r="F10" s="26">
        <v>1812</v>
      </c>
      <c r="G10" s="26">
        <v>264</v>
      </c>
      <c r="H10" s="26">
        <v>88</v>
      </c>
      <c r="I10" s="26">
        <v>145</v>
      </c>
      <c r="J10" s="26">
        <v>88</v>
      </c>
      <c r="K10" s="26">
        <v>0</v>
      </c>
      <c r="L10" s="26">
        <v>0</v>
      </c>
      <c r="M10" s="48">
        <v>300</v>
      </c>
      <c r="N10" s="36">
        <f>55710.41-300</f>
        <v>55410.41</v>
      </c>
      <c r="O10" s="36">
        <v>22.41</v>
      </c>
      <c r="P10" s="36">
        <f t="shared" si="10"/>
        <v>55787.16</v>
      </c>
      <c r="R10" s="37" t="s">
        <v>138</v>
      </c>
      <c r="S10" s="51">
        <v>811.64160000000004</v>
      </c>
      <c r="T10" s="37">
        <v>840.46</v>
      </c>
      <c r="U10" s="37">
        <f t="shared" si="2"/>
        <v>10085.52</v>
      </c>
      <c r="V10" s="37">
        <f>43.75*12</f>
        <v>525</v>
      </c>
      <c r="W10" s="37">
        <v>0</v>
      </c>
      <c r="X10" s="37">
        <f>20.9*12</f>
        <v>250.79999999999998</v>
      </c>
      <c r="Y10" s="37">
        <f t="shared" si="0"/>
        <v>15034.639620000002</v>
      </c>
      <c r="Z10" s="48">
        <f t="shared" si="3"/>
        <v>10085.52</v>
      </c>
      <c r="AA10" s="48">
        <f t="shared" si="4"/>
        <v>100.32</v>
      </c>
      <c r="AB10" s="36">
        <f t="shared" si="5"/>
        <v>25745.479620000002</v>
      </c>
      <c r="AC10" s="38">
        <f t="shared" si="9"/>
        <v>4267.71774</v>
      </c>
      <c r="AD10" s="36">
        <f t="shared" si="6"/>
        <v>58263.16</v>
      </c>
      <c r="AE10" s="106">
        <f t="shared" si="7"/>
        <v>15701.921620000003</v>
      </c>
      <c r="AF10" s="36">
        <f t="shared" si="8"/>
        <v>26412.761620000005</v>
      </c>
      <c r="AG10" s="38">
        <f t="shared" si="1"/>
        <v>4457.1317399999998</v>
      </c>
    </row>
    <row r="11" spans="1:33" x14ac:dyDescent="0.25">
      <c r="A11" s="27">
        <v>9</v>
      </c>
      <c r="B11" s="151"/>
      <c r="C11" s="15" t="s">
        <v>154</v>
      </c>
      <c r="D11" s="70">
        <v>39265</v>
      </c>
      <c r="E11" s="15" t="s">
        <v>147</v>
      </c>
      <c r="F11" s="26">
        <v>1961.5</v>
      </c>
      <c r="G11" s="26">
        <v>364.5</v>
      </c>
      <c r="H11" s="26">
        <v>6.5</v>
      </c>
      <c r="I11" s="26">
        <v>103</v>
      </c>
      <c r="J11" s="26">
        <v>88</v>
      </c>
      <c r="K11" s="26">
        <v>0</v>
      </c>
      <c r="L11" s="26">
        <v>0</v>
      </c>
      <c r="M11" s="48">
        <v>300</v>
      </c>
      <c r="N11" s="36">
        <f>46297.75-300</f>
        <v>45997.75</v>
      </c>
      <c r="O11" s="36">
        <v>17.5</v>
      </c>
      <c r="P11" s="36">
        <f t="shared" si="10"/>
        <v>46268.125</v>
      </c>
      <c r="R11" s="37" t="s">
        <v>138</v>
      </c>
      <c r="S11" s="51">
        <v>811.64160000000004</v>
      </c>
      <c r="T11" s="37">
        <v>840.46</v>
      </c>
      <c r="U11" s="37">
        <f t="shared" si="2"/>
        <v>10085.52</v>
      </c>
      <c r="V11" s="37">
        <f>32.5*12</f>
        <v>390</v>
      </c>
      <c r="W11" s="37">
        <v>0</v>
      </c>
      <c r="X11" s="37">
        <f>20.9*12</f>
        <v>250.79999999999998</v>
      </c>
      <c r="Y11" s="37">
        <f t="shared" si="0"/>
        <v>12469.2596875</v>
      </c>
      <c r="Z11" s="48">
        <f t="shared" si="3"/>
        <v>10085.52</v>
      </c>
      <c r="AA11" s="48">
        <f t="shared" si="4"/>
        <v>100.32</v>
      </c>
      <c r="AB11" s="36">
        <f t="shared" si="5"/>
        <v>23045.099687499998</v>
      </c>
      <c r="AC11" s="38">
        <f t="shared" si="9"/>
        <v>3539.5115624999999</v>
      </c>
      <c r="AD11" s="36">
        <f t="shared" si="6"/>
        <v>48894.875</v>
      </c>
      <c r="AE11" s="106">
        <f t="shared" si="7"/>
        <v>13177.1688125</v>
      </c>
      <c r="AF11" s="36">
        <f t="shared" si="8"/>
        <v>23753.0088125</v>
      </c>
      <c r="AG11" s="38">
        <f t="shared" si="1"/>
        <v>3740.4579374999998</v>
      </c>
    </row>
    <row r="12" spans="1:33" x14ac:dyDescent="0.25">
      <c r="A12" s="27">
        <v>10</v>
      </c>
      <c r="B12" s="151"/>
      <c r="C12" s="15" t="s">
        <v>154</v>
      </c>
      <c r="D12" s="70">
        <v>43570</v>
      </c>
      <c r="E12" s="15" t="s">
        <v>147</v>
      </c>
      <c r="F12" s="26">
        <v>1306.5</v>
      </c>
      <c r="G12" s="26">
        <v>91</v>
      </c>
      <c r="H12" s="26">
        <v>115.5</v>
      </c>
      <c r="I12" s="26">
        <v>28</v>
      </c>
      <c r="J12" s="26">
        <v>80</v>
      </c>
      <c r="K12" s="26">
        <v>0</v>
      </c>
      <c r="L12" s="26">
        <v>0</v>
      </c>
      <c r="M12" s="48">
        <v>300</v>
      </c>
      <c r="N12" s="36">
        <f>21964.5-300</f>
        <v>21664.5</v>
      </c>
      <c r="O12" s="36">
        <v>13.5</v>
      </c>
      <c r="P12" s="36">
        <f t="shared" si="10"/>
        <v>30222.75</v>
      </c>
      <c r="R12" s="37" t="s">
        <v>138</v>
      </c>
      <c r="S12" s="51">
        <v>247.45599999999999</v>
      </c>
      <c r="T12" s="37">
        <v>255.25</v>
      </c>
      <c r="U12" s="37">
        <f t="shared" si="2"/>
        <v>3063</v>
      </c>
      <c r="V12" s="37">
        <f>4.75*12</f>
        <v>57</v>
      </c>
      <c r="W12" s="37">
        <v>0</v>
      </c>
      <c r="X12" s="37">
        <f>20.9*12</f>
        <v>250.79999999999998</v>
      </c>
      <c r="Y12" s="37">
        <f t="shared" si="0"/>
        <v>8145.0311250000004</v>
      </c>
      <c r="Z12" s="48">
        <f t="shared" si="3"/>
        <v>3063</v>
      </c>
      <c r="AA12" s="48">
        <f t="shared" si="4"/>
        <v>100.32</v>
      </c>
      <c r="AB12" s="36">
        <f t="shared" si="5"/>
        <v>11365.351125000001</v>
      </c>
      <c r="AC12" s="38">
        <f t="shared" si="9"/>
        <v>2312.040375</v>
      </c>
      <c r="AD12" s="36">
        <f t="shared" si="6"/>
        <v>32439.25</v>
      </c>
      <c r="AE12" s="106">
        <f t="shared" si="7"/>
        <v>8742.3778750000001</v>
      </c>
      <c r="AF12" s="36">
        <f t="shared" si="8"/>
        <v>11962.697875</v>
      </c>
      <c r="AG12" s="38">
        <f t="shared" si="1"/>
        <v>2481.602625</v>
      </c>
    </row>
    <row r="13" spans="1:33" x14ac:dyDescent="0.25">
      <c r="A13" s="27">
        <v>11</v>
      </c>
      <c r="B13" s="151"/>
      <c r="C13" s="15" t="s">
        <v>154</v>
      </c>
      <c r="D13" s="70">
        <v>43377</v>
      </c>
      <c r="E13" s="15" t="s">
        <v>147</v>
      </c>
      <c r="F13" s="26">
        <v>1889</v>
      </c>
      <c r="G13" s="26">
        <v>217.5</v>
      </c>
      <c r="H13" s="26">
        <v>106.5</v>
      </c>
      <c r="I13" s="26">
        <v>46.5</v>
      </c>
      <c r="J13" s="26">
        <v>88</v>
      </c>
      <c r="K13" s="26">
        <v>0</v>
      </c>
      <c r="L13" s="26">
        <v>6</v>
      </c>
      <c r="M13" s="48">
        <v>300</v>
      </c>
      <c r="N13" s="36">
        <f>44477.85-300</f>
        <v>44177.85</v>
      </c>
      <c r="O13" s="36">
        <v>17.5</v>
      </c>
      <c r="P13" s="36">
        <f t="shared" si="10"/>
        <v>43009.375</v>
      </c>
      <c r="R13" s="37" t="s">
        <v>140</v>
      </c>
      <c r="S13" s="51">
        <v>1358.0336</v>
      </c>
      <c r="T13" s="37">
        <v>1395.02</v>
      </c>
      <c r="U13" s="37">
        <f t="shared" si="2"/>
        <v>16740.239999999998</v>
      </c>
      <c r="V13" s="37">
        <f>12.25*12</f>
        <v>147</v>
      </c>
      <c r="W13" s="37">
        <v>0</v>
      </c>
      <c r="X13" s="37">
        <f>40.24*12</f>
        <v>482.88</v>
      </c>
      <c r="Y13" s="37">
        <f t="shared" si="0"/>
        <v>11591.026562500001</v>
      </c>
      <c r="Z13" s="48">
        <f t="shared" si="3"/>
        <v>16740.239999999998</v>
      </c>
      <c r="AA13" s="48">
        <f t="shared" si="4"/>
        <v>193.15200000000002</v>
      </c>
      <c r="AB13" s="36">
        <f t="shared" si="5"/>
        <v>28671.418562499999</v>
      </c>
      <c r="AC13" s="38">
        <f t="shared" si="9"/>
        <v>3290.2171874999999</v>
      </c>
      <c r="AD13" s="36">
        <f t="shared" si="6"/>
        <v>45415.625</v>
      </c>
      <c r="AE13" s="106">
        <f t="shared" si="7"/>
        <v>12239.510937500001</v>
      </c>
      <c r="AF13" s="36">
        <f t="shared" si="8"/>
        <v>29319.902937499999</v>
      </c>
      <c r="AG13" s="38">
        <f t="shared" si="1"/>
        <v>3474.2953124999999</v>
      </c>
    </row>
    <row r="14" spans="1:33" s="49" customFormat="1" x14ac:dyDescent="0.25">
      <c r="A14" s="97">
        <v>12</v>
      </c>
      <c r="B14" s="151"/>
      <c r="C14" s="98" t="s">
        <v>154</v>
      </c>
      <c r="D14" s="99">
        <v>43556</v>
      </c>
      <c r="E14" s="98" t="s">
        <v>147</v>
      </c>
      <c r="F14" s="100">
        <v>503.5</v>
      </c>
      <c r="G14" s="100">
        <v>50</v>
      </c>
      <c r="H14" s="100">
        <v>24</v>
      </c>
      <c r="I14" s="100">
        <v>0</v>
      </c>
      <c r="J14" s="100">
        <v>24</v>
      </c>
      <c r="K14" s="100">
        <v>0</v>
      </c>
      <c r="L14" s="100">
        <v>0</v>
      </c>
      <c r="M14" s="101">
        <v>0</v>
      </c>
      <c r="N14" s="101">
        <v>8144.5</v>
      </c>
      <c r="O14" s="101">
        <v>0</v>
      </c>
      <c r="P14" s="101"/>
      <c r="Q14" s="98"/>
      <c r="R14" s="102" t="s">
        <v>139</v>
      </c>
      <c r="S14" s="103">
        <v>0</v>
      </c>
      <c r="T14" s="102">
        <v>0</v>
      </c>
      <c r="U14" s="102">
        <v>0</v>
      </c>
      <c r="V14" s="102">
        <v>0</v>
      </c>
      <c r="W14" s="102">
        <v>0</v>
      </c>
      <c r="X14" s="102">
        <v>0</v>
      </c>
      <c r="Y14" s="102">
        <f t="shared" si="0"/>
        <v>0</v>
      </c>
      <c r="Z14" s="101">
        <f t="shared" si="3"/>
        <v>0</v>
      </c>
      <c r="AA14" s="101">
        <f t="shared" si="4"/>
        <v>0</v>
      </c>
      <c r="AB14" s="101">
        <f t="shared" si="5"/>
        <v>0</v>
      </c>
      <c r="AC14" s="104">
        <v>0</v>
      </c>
      <c r="AD14" s="101"/>
      <c r="AE14" s="107"/>
      <c r="AF14" s="101"/>
      <c r="AG14" s="104">
        <f t="shared" si="1"/>
        <v>0</v>
      </c>
    </row>
    <row r="15" spans="1:33" s="49" customFormat="1" x14ac:dyDescent="0.25">
      <c r="A15" s="97">
        <v>13</v>
      </c>
      <c r="B15" s="151"/>
      <c r="C15" s="98" t="s">
        <v>154</v>
      </c>
      <c r="D15" s="99">
        <v>43913</v>
      </c>
      <c r="E15" s="98" t="s">
        <v>147</v>
      </c>
      <c r="F15" s="100">
        <v>1151</v>
      </c>
      <c r="G15" s="100">
        <v>120.5</v>
      </c>
      <c r="H15" s="100">
        <v>16</v>
      </c>
      <c r="I15" s="100">
        <v>0</v>
      </c>
      <c r="J15" s="100">
        <v>16</v>
      </c>
      <c r="K15" s="100">
        <v>0</v>
      </c>
      <c r="L15" s="100">
        <v>0</v>
      </c>
      <c r="M15" s="101">
        <v>0</v>
      </c>
      <c r="N15" s="101">
        <v>16365</v>
      </c>
      <c r="O15" s="101">
        <v>0</v>
      </c>
      <c r="P15" s="101"/>
      <c r="Q15" s="98"/>
      <c r="R15" s="102" t="s">
        <v>139</v>
      </c>
      <c r="S15" s="103">
        <v>0</v>
      </c>
      <c r="T15" s="102">
        <v>0</v>
      </c>
      <c r="U15" s="102">
        <v>0</v>
      </c>
      <c r="V15" s="102">
        <v>0</v>
      </c>
      <c r="W15" s="102">
        <v>0</v>
      </c>
      <c r="X15" s="102">
        <v>0</v>
      </c>
      <c r="Y15" s="102">
        <f t="shared" si="0"/>
        <v>0</v>
      </c>
      <c r="Z15" s="101">
        <f t="shared" si="3"/>
        <v>0</v>
      </c>
      <c r="AA15" s="101">
        <f t="shared" si="4"/>
        <v>0</v>
      </c>
      <c r="AB15" s="101">
        <f t="shared" si="5"/>
        <v>0</v>
      </c>
      <c r="AC15" s="104">
        <v>0</v>
      </c>
      <c r="AD15" s="101"/>
      <c r="AE15" s="107"/>
      <c r="AF15" s="101"/>
      <c r="AG15" s="104">
        <f t="shared" si="1"/>
        <v>0</v>
      </c>
    </row>
    <row r="16" spans="1:33" s="49" customFormat="1" x14ac:dyDescent="0.25">
      <c r="A16" s="27"/>
      <c r="B16" s="15"/>
      <c r="C16" s="15"/>
      <c r="D16" s="15"/>
      <c r="E16" s="15"/>
      <c r="F16" s="26"/>
      <c r="G16" s="15"/>
      <c r="H16" s="15"/>
      <c r="I16" s="15"/>
      <c r="J16" s="15"/>
      <c r="K16" s="15"/>
      <c r="L16" s="15"/>
      <c r="N16" s="36"/>
      <c r="O16" s="36"/>
      <c r="P16" s="36"/>
      <c r="Q16"/>
      <c r="R16" s="37"/>
      <c r="S16" s="51"/>
      <c r="T16" s="37"/>
      <c r="U16" s="37"/>
      <c r="V16" s="37"/>
      <c r="W16" s="37"/>
      <c r="X16" s="105"/>
      <c r="Y16" s="37"/>
      <c r="Z16" s="48"/>
      <c r="AA16" s="48"/>
      <c r="AB16" s="36"/>
      <c r="AC16" s="38"/>
      <c r="AD16" s="36"/>
      <c r="AE16" s="106"/>
      <c r="AF16" s="36"/>
      <c r="AG16" s="38"/>
    </row>
    <row r="17" spans="1:33" s="49" customFormat="1" x14ac:dyDescent="0.25">
      <c r="A17" s="27"/>
      <c r="B17" s="15"/>
      <c r="C17" s="15"/>
      <c r="D17" s="15"/>
      <c r="E17" s="15"/>
      <c r="F17" s="26"/>
      <c r="G17" s="15"/>
      <c r="H17" s="15"/>
      <c r="I17" s="15"/>
      <c r="J17" s="15"/>
      <c r="K17" s="15"/>
      <c r="L17" s="15"/>
      <c r="N17" s="36"/>
      <c r="O17" s="36"/>
      <c r="P17" s="36"/>
      <c r="Q17"/>
      <c r="R17" s="37"/>
      <c r="S17" s="51"/>
      <c r="T17" s="37"/>
      <c r="U17" s="37"/>
      <c r="V17" s="37"/>
      <c r="W17" s="37"/>
      <c r="X17" s="105"/>
      <c r="Y17" s="37"/>
      <c r="Z17" s="48"/>
      <c r="AA17" s="48"/>
      <c r="AB17" s="36"/>
      <c r="AC17" s="38"/>
      <c r="AD17" s="36"/>
      <c r="AE17" s="106"/>
      <c r="AF17" s="36"/>
      <c r="AG17" s="38"/>
    </row>
    <row r="18" spans="1:33" s="49" customFormat="1" x14ac:dyDescent="0.25">
      <c r="A18" s="82" t="s">
        <v>62</v>
      </c>
      <c r="B18" s="2"/>
      <c r="C18" s="2"/>
      <c r="D18" s="2"/>
      <c r="E18" s="2"/>
      <c r="F18" s="32"/>
      <c r="G18" s="2"/>
      <c r="H18" s="2"/>
      <c r="I18" s="2"/>
      <c r="J18" s="2"/>
      <c r="K18" s="2"/>
      <c r="L18" s="2"/>
      <c r="M18" s="108">
        <f>SUM(M3:M17)</f>
        <v>2700</v>
      </c>
      <c r="N18" s="54">
        <f>SUM(N3:N17)</f>
        <v>431618.79</v>
      </c>
      <c r="O18" s="54"/>
      <c r="P18" s="54">
        <f>SUM(P3:P17)</f>
        <v>428886.03500000003</v>
      </c>
      <c r="Q18" s="2"/>
      <c r="R18" s="109"/>
      <c r="S18" s="110">
        <f>SUM(S3:S17)</f>
        <v>6423.6127999999999</v>
      </c>
      <c r="T18" s="109">
        <f>SUM(T3:T17)</f>
        <v>8118.43</v>
      </c>
      <c r="U18" s="109">
        <f>SUM(U3:U17)</f>
        <v>97421.16</v>
      </c>
      <c r="V18" s="109">
        <f>SUM(V3:V17)</f>
        <v>1752</v>
      </c>
      <c r="W18" s="109"/>
      <c r="X18" s="109">
        <f t="shared" ref="X18:AE18" si="11">SUM(X3:X17)</f>
        <v>3689.7600000000007</v>
      </c>
      <c r="Y18" s="109">
        <f t="shared" si="11"/>
        <v>115584.78643250001</v>
      </c>
      <c r="Z18" s="111">
        <f t="shared" si="11"/>
        <v>97421.16</v>
      </c>
      <c r="AA18" s="111">
        <f t="shared" si="11"/>
        <v>1475.904</v>
      </c>
      <c r="AB18" s="54">
        <f t="shared" si="11"/>
        <v>216233.85043249998</v>
      </c>
      <c r="AC18" s="112">
        <f t="shared" si="11"/>
        <v>32809.781677500003</v>
      </c>
      <c r="AD18" s="54">
        <f t="shared" si="11"/>
        <v>449977.95999999996</v>
      </c>
      <c r="AE18" s="112">
        <f t="shared" si="11"/>
        <v>121269.06022</v>
      </c>
      <c r="AF18" s="54">
        <f>SUM(AF1:AF17)</f>
        <v>221918.12422000003</v>
      </c>
      <c r="AG18" s="112">
        <f>SUM(AG3:AG17)</f>
        <v>34423.31394</v>
      </c>
    </row>
    <row r="19" spans="1:33" s="49" customFormat="1" x14ac:dyDescent="0.25">
      <c r="A19" s="27"/>
      <c r="B19" s="15"/>
      <c r="C19" s="15"/>
      <c r="D19" s="15"/>
      <c r="E19" s="15"/>
      <c r="F19" s="26"/>
      <c r="G19" s="15"/>
      <c r="H19" s="15"/>
      <c r="I19" s="15"/>
      <c r="J19" s="15"/>
      <c r="K19" s="15"/>
      <c r="L19" s="15"/>
      <c r="N19" s="36"/>
      <c r="O19" s="36"/>
      <c r="P19" s="36"/>
      <c r="Q19"/>
      <c r="R19" s="37"/>
      <c r="S19" s="51"/>
      <c r="T19" s="37"/>
      <c r="U19" s="37"/>
      <c r="V19" s="37"/>
      <c r="W19" s="37"/>
      <c r="X19" s="37"/>
      <c r="Y19" s="37"/>
      <c r="Z19" s="48"/>
      <c r="AA19" s="48"/>
      <c r="AB19" s="36"/>
      <c r="AC19" s="38"/>
      <c r="AD19" s="36"/>
      <c r="AE19" s="15"/>
      <c r="AF19" s="36"/>
      <c r="AG19" s="38"/>
    </row>
    <row r="20" spans="1:33" s="49" customFormat="1" x14ac:dyDescent="0.25">
      <c r="A20" s="27"/>
      <c r="B20" s="15"/>
      <c r="C20" s="15"/>
      <c r="D20" s="15"/>
      <c r="E20" s="15"/>
      <c r="F20" s="26"/>
      <c r="G20" s="15"/>
      <c r="H20" s="15"/>
      <c r="I20" s="15"/>
      <c r="J20" s="15"/>
      <c r="K20" s="15"/>
      <c r="L20" s="15"/>
      <c r="N20" s="36"/>
      <c r="O20" s="36"/>
      <c r="P20" s="36"/>
      <c r="Q20"/>
      <c r="R20" s="37"/>
      <c r="S20" s="51"/>
      <c r="T20" s="37"/>
      <c r="U20" s="37"/>
      <c r="V20" s="37"/>
      <c r="W20" s="37"/>
      <c r="X20" s="37"/>
      <c r="Y20" s="37"/>
      <c r="Z20" s="48"/>
      <c r="AA20" s="48"/>
      <c r="AB20" s="36"/>
      <c r="AC20" s="38"/>
      <c r="AD20" s="36"/>
      <c r="AE20" s="15"/>
      <c r="AF20" s="36"/>
      <c r="AG20" s="38"/>
    </row>
    <row r="21" spans="1:33" s="49" customFormat="1" x14ac:dyDescent="0.25">
      <c r="A21" s="27"/>
      <c r="B21" s="15"/>
      <c r="C21" s="15"/>
      <c r="D21" s="15"/>
      <c r="E21" s="15"/>
      <c r="F21" s="26"/>
      <c r="G21" s="15"/>
      <c r="H21" s="15"/>
      <c r="I21" s="15"/>
      <c r="J21" s="15"/>
      <c r="K21" s="15"/>
      <c r="L21" s="15"/>
      <c r="N21" s="36"/>
      <c r="O21" s="36"/>
      <c r="P21" s="36"/>
      <c r="Q21"/>
      <c r="R21" s="37"/>
      <c r="S21" s="51"/>
      <c r="T21" s="37"/>
      <c r="U21" s="37"/>
      <c r="V21" s="37"/>
      <c r="W21" s="37"/>
      <c r="X21" s="37"/>
      <c r="Y21" s="37"/>
      <c r="Z21" s="48"/>
      <c r="AA21" s="48"/>
      <c r="AB21" s="36"/>
      <c r="AC21" s="38"/>
      <c r="AD21" s="36"/>
      <c r="AE21" s="15"/>
      <c r="AF21" s="36"/>
      <c r="AG21" s="38"/>
    </row>
    <row r="22" spans="1:33" s="49" customFormat="1" x14ac:dyDescent="0.25">
      <c r="A22" s="27"/>
      <c r="B22" s="15"/>
      <c r="C22" s="15"/>
      <c r="D22" s="15"/>
      <c r="E22" s="15"/>
      <c r="F22" s="26"/>
      <c r="G22" s="15"/>
      <c r="H22" s="15"/>
      <c r="I22" s="15"/>
      <c r="J22" s="15"/>
      <c r="K22" s="15"/>
      <c r="L22" s="15"/>
      <c r="N22" s="36"/>
      <c r="O22" s="36"/>
      <c r="P22" s="36"/>
      <c r="Q22"/>
      <c r="R22" s="37"/>
      <c r="S22" s="51"/>
      <c r="T22" s="37"/>
      <c r="U22" s="37"/>
      <c r="V22" s="37"/>
      <c r="W22" s="37"/>
      <c r="X22" s="37"/>
      <c r="Y22" s="37"/>
      <c r="Z22" s="48"/>
      <c r="AA22" s="48"/>
      <c r="AB22" s="36"/>
      <c r="AC22" s="38"/>
      <c r="AD22" s="36"/>
      <c r="AE22" s="15"/>
      <c r="AF22" s="36"/>
      <c r="AG22" s="38"/>
    </row>
    <row r="23" spans="1:33" s="49" customFormat="1" x14ac:dyDescent="0.25">
      <c r="A23" s="15"/>
      <c r="B23" s="15"/>
      <c r="C23" s="15"/>
      <c r="D23" s="15"/>
      <c r="E23" s="15"/>
      <c r="F23" s="15"/>
      <c r="G23" s="15"/>
      <c r="H23" s="15"/>
      <c r="I23" s="15"/>
      <c r="J23" s="15"/>
      <c r="K23" s="15"/>
      <c r="L23" s="15"/>
      <c r="M23" s="60"/>
      <c r="N23" s="38"/>
      <c r="O23" s="38"/>
      <c r="P23" s="38"/>
      <c r="Q23"/>
      <c r="R23" s="37"/>
      <c r="S23" s="52"/>
      <c r="T23" s="37"/>
      <c r="U23" s="38"/>
      <c r="V23" s="37"/>
      <c r="W23" s="37"/>
      <c r="X23" s="37"/>
      <c r="Y23" s="37"/>
      <c r="Z23" s="48"/>
      <c r="AA23" s="48"/>
      <c r="AB23" s="36"/>
      <c r="AC23" s="38"/>
      <c r="AD23" s="38"/>
      <c r="AE23" s="15"/>
      <c r="AF23" s="36"/>
      <c r="AG23" s="38"/>
    </row>
    <row r="24" spans="1:33" s="49" customFormat="1" x14ac:dyDescent="0.25">
      <c r="A24" s="15"/>
      <c r="B24" s="15" t="s">
        <v>266</v>
      </c>
      <c r="C24" s="15"/>
      <c r="D24" s="15"/>
      <c r="E24" s="15"/>
      <c r="F24" s="15"/>
      <c r="G24" s="15"/>
      <c r="H24" s="15"/>
      <c r="I24" s="15"/>
      <c r="J24" s="15"/>
      <c r="K24" s="15"/>
      <c r="L24" s="15"/>
      <c r="N24" s="15"/>
      <c r="O24" s="15"/>
      <c r="P24" s="14"/>
      <c r="Q24"/>
      <c r="R24" s="37"/>
      <c r="S24" s="52"/>
      <c r="T24" s="37"/>
      <c r="U24" s="37"/>
      <c r="V24" s="37"/>
      <c r="W24" s="37"/>
      <c r="X24" s="37"/>
      <c r="Y24" s="37"/>
      <c r="Z24" s="48"/>
      <c r="AA24" s="48"/>
      <c r="AB24" s="36"/>
      <c r="AC24" s="15"/>
      <c r="AD24" s="14"/>
      <c r="AE24" s="15"/>
      <c r="AF24" s="36"/>
      <c r="AG24" s="15"/>
    </row>
    <row r="25" spans="1:33" s="49" customFormat="1" x14ac:dyDescent="0.25">
      <c r="A25" s="15"/>
      <c r="B25" s="15" t="s">
        <v>272</v>
      </c>
      <c r="C25" s="15"/>
      <c r="D25" s="15"/>
      <c r="E25" s="15"/>
      <c r="F25" s="15"/>
      <c r="G25" s="15"/>
      <c r="H25" s="15"/>
      <c r="I25" s="15"/>
      <c r="J25" s="15"/>
      <c r="K25" s="15"/>
      <c r="L25" s="15"/>
      <c r="N25" s="15"/>
      <c r="O25" s="15"/>
      <c r="P25" s="14"/>
      <c r="Q25" s="15"/>
      <c r="R25" s="37"/>
      <c r="S25" s="52"/>
      <c r="T25" s="37"/>
      <c r="U25" s="37"/>
      <c r="V25" s="37"/>
      <c r="W25" s="37"/>
      <c r="X25" s="37"/>
      <c r="Y25" s="37"/>
      <c r="Z25" s="48"/>
      <c r="AA25" s="48"/>
      <c r="AB25" s="36"/>
      <c r="AC25" s="15"/>
      <c r="AD25" s="14"/>
      <c r="AE25" s="15"/>
      <c r="AF25" s="36"/>
      <c r="AG25" s="15"/>
    </row>
    <row r="26" spans="1:33" s="49" customFormat="1" x14ac:dyDescent="0.25">
      <c r="A26" s="15"/>
      <c r="B26" s="15" t="s">
        <v>269</v>
      </c>
      <c r="C26" s="15"/>
      <c r="D26" s="15"/>
      <c r="E26" s="15"/>
      <c r="F26" s="15"/>
      <c r="G26" s="15"/>
      <c r="H26" s="15"/>
      <c r="I26" s="15"/>
      <c r="J26" s="15"/>
      <c r="K26" s="15"/>
      <c r="L26" s="15"/>
      <c r="N26" s="15"/>
      <c r="O26" s="15"/>
      <c r="P26" s="15"/>
      <c r="Q26"/>
      <c r="R26" s="15"/>
      <c r="T26" s="15"/>
      <c r="U26" s="15"/>
      <c r="V26" s="15"/>
      <c r="W26" s="15"/>
      <c r="X26" s="15"/>
      <c r="Y26" s="15"/>
      <c r="Z26" s="48"/>
      <c r="AA26" s="48"/>
      <c r="AB26" s="36"/>
      <c r="AC26" s="38"/>
      <c r="AD26" s="15"/>
      <c r="AE26" s="15"/>
      <c r="AF26" s="36"/>
      <c r="AG26" s="38">
        <f>AF23+AG23</f>
        <v>0</v>
      </c>
    </row>
    <row r="27" spans="1:33" s="49" customFormat="1" x14ac:dyDescent="0.25">
      <c r="A27" s="15"/>
      <c r="B27" s="15" t="s">
        <v>270</v>
      </c>
      <c r="C27" s="15"/>
      <c r="D27" s="15"/>
      <c r="E27" s="15"/>
      <c r="F27" s="15"/>
      <c r="G27" s="15"/>
      <c r="H27" s="15"/>
      <c r="I27" s="15"/>
      <c r="J27" s="15"/>
      <c r="K27" s="15"/>
      <c r="L27" s="15"/>
      <c r="N27" s="15"/>
      <c r="O27" s="15"/>
      <c r="P27" s="15"/>
      <c r="Q27"/>
      <c r="R27" s="15"/>
      <c r="T27" s="15"/>
      <c r="U27" s="15"/>
      <c r="V27" s="15"/>
      <c r="W27" s="15"/>
      <c r="X27" s="15"/>
      <c r="Y27" s="15"/>
      <c r="Z27" s="48"/>
      <c r="AA27" s="48"/>
      <c r="AB27" s="36"/>
      <c r="AC27" s="15"/>
      <c r="AD27" s="15"/>
      <c r="AE27" s="15"/>
      <c r="AF27" s="36"/>
      <c r="AG27" s="15"/>
    </row>
    <row r="28" spans="1:33" s="49" customFormat="1" x14ac:dyDescent="0.25">
      <c r="A28" s="15"/>
      <c r="B28" s="15" t="s">
        <v>271</v>
      </c>
      <c r="C28" s="15"/>
      <c r="D28" s="15"/>
      <c r="E28" s="15"/>
      <c r="F28" s="15"/>
      <c r="G28" s="15"/>
      <c r="H28" s="15"/>
      <c r="I28" s="15"/>
      <c r="J28" s="15"/>
      <c r="K28" s="15"/>
      <c r="L28" s="15"/>
      <c r="N28" s="15"/>
      <c r="O28" s="15"/>
      <c r="P28" s="15"/>
      <c r="Q28"/>
      <c r="R28" s="15"/>
      <c r="T28" s="15"/>
      <c r="U28" s="15"/>
      <c r="V28" s="15"/>
      <c r="W28" s="15"/>
      <c r="X28" s="15"/>
      <c r="Y28" s="15"/>
      <c r="Z28" s="48"/>
      <c r="AA28" s="48"/>
      <c r="AB28" s="36"/>
      <c r="AC28" s="15"/>
      <c r="AD28" s="15"/>
      <c r="AE28" s="15"/>
      <c r="AF28" s="36"/>
      <c r="AG28" s="15"/>
    </row>
    <row r="29" spans="1:33" s="49" customFormat="1" x14ac:dyDescent="0.25">
      <c r="A29" s="15"/>
      <c r="B29" s="15"/>
      <c r="C29" s="15"/>
      <c r="D29" s="15"/>
      <c r="E29" s="15"/>
      <c r="F29" s="15"/>
      <c r="G29" s="15"/>
      <c r="H29" s="15"/>
      <c r="I29" s="15"/>
      <c r="J29" s="15"/>
      <c r="K29" s="15"/>
      <c r="L29" s="15"/>
      <c r="N29" s="15"/>
      <c r="O29" s="15"/>
      <c r="P29" s="15"/>
      <c r="Q29"/>
      <c r="R29" s="15"/>
      <c r="T29" s="15"/>
      <c r="U29" s="15"/>
      <c r="V29" s="15"/>
      <c r="W29" s="15"/>
      <c r="X29" s="15"/>
      <c r="Y29" s="15"/>
      <c r="Z29" s="48"/>
      <c r="AA29" s="48"/>
      <c r="AB29" s="36"/>
      <c r="AC29" s="15"/>
      <c r="AD29" s="15"/>
      <c r="AE29" s="15"/>
      <c r="AF29" s="36"/>
      <c r="AG29" s="15"/>
    </row>
    <row r="30" spans="1:33" s="49" customFormat="1" x14ac:dyDescent="0.25">
      <c r="A30" s="15"/>
      <c r="B30" s="15"/>
      <c r="C30" s="15"/>
      <c r="D30" s="15"/>
      <c r="E30" s="15"/>
      <c r="F30" s="15"/>
      <c r="G30" s="15"/>
      <c r="H30" s="15"/>
      <c r="I30" s="15"/>
      <c r="J30" s="15"/>
      <c r="K30" s="15"/>
      <c r="L30" s="15"/>
      <c r="N30" s="15"/>
      <c r="O30" s="15"/>
      <c r="P30" s="15"/>
      <c r="Q30"/>
      <c r="R30" s="15"/>
      <c r="T30" s="15"/>
      <c r="U30" s="15"/>
      <c r="V30" s="15"/>
      <c r="W30" s="15"/>
      <c r="X30" s="15"/>
      <c r="Y30" s="15"/>
      <c r="Z30" s="48"/>
      <c r="AA30" s="48"/>
      <c r="AB30" s="36"/>
      <c r="AC30" s="15"/>
      <c r="AD30" s="15"/>
      <c r="AE30" s="15"/>
      <c r="AF30" s="36"/>
      <c r="AG30" s="15"/>
    </row>
    <row r="31" spans="1:33" s="49" customFormat="1" x14ac:dyDescent="0.25">
      <c r="A31" s="15"/>
      <c r="B31" s="15"/>
      <c r="C31" s="15"/>
      <c r="D31" s="15"/>
      <c r="E31" s="15"/>
      <c r="F31" s="15"/>
      <c r="G31" s="15"/>
      <c r="H31" s="15"/>
      <c r="I31" s="15"/>
      <c r="J31" s="15"/>
      <c r="K31" s="15"/>
      <c r="L31" s="15"/>
      <c r="N31" s="15"/>
      <c r="O31" s="15"/>
      <c r="P31" s="26"/>
      <c r="Q31"/>
      <c r="R31" s="15"/>
      <c r="T31" s="15"/>
      <c r="U31" s="15"/>
      <c r="V31" s="15"/>
      <c r="W31" s="15"/>
      <c r="X31" s="15"/>
      <c r="Y31" s="15"/>
      <c r="Z31" s="48"/>
      <c r="AA31" s="48"/>
      <c r="AB31" s="36"/>
      <c r="AC31" s="15"/>
      <c r="AD31" s="26"/>
      <c r="AE31" s="15"/>
      <c r="AF31" s="36"/>
      <c r="AG31" s="15"/>
    </row>
    <row r="32" spans="1:33" s="49" customFormat="1" x14ac:dyDescent="0.25">
      <c r="A32" s="15"/>
      <c r="B32" s="15"/>
      <c r="C32" s="15"/>
      <c r="D32" s="15"/>
      <c r="E32" s="15"/>
      <c r="F32" s="15"/>
      <c r="G32" s="15"/>
      <c r="H32" s="15"/>
      <c r="I32" s="15"/>
      <c r="J32" s="15"/>
      <c r="K32" s="15"/>
      <c r="L32" s="15"/>
      <c r="N32" s="15"/>
      <c r="O32" s="15"/>
      <c r="P32" s="15"/>
      <c r="Q32"/>
      <c r="R32" s="15"/>
      <c r="T32" s="15"/>
      <c r="U32" s="15"/>
      <c r="V32" s="15"/>
      <c r="W32" s="15"/>
      <c r="X32" s="15"/>
      <c r="Y32" s="15"/>
      <c r="Z32" s="48"/>
      <c r="AA32" s="48"/>
      <c r="AB32" s="36"/>
      <c r="AC32" s="15"/>
      <c r="AD32" s="15"/>
      <c r="AE32" s="15"/>
      <c r="AF32" s="36"/>
      <c r="AG32" s="15"/>
    </row>
    <row r="33" spans="1:33" s="49" customFormat="1" x14ac:dyDescent="0.25">
      <c r="A33" s="15"/>
      <c r="B33" s="15"/>
      <c r="C33" s="15"/>
      <c r="D33" s="15"/>
      <c r="E33" s="15"/>
      <c r="F33" s="15"/>
      <c r="G33" s="15"/>
      <c r="H33" s="15"/>
      <c r="I33" s="15"/>
      <c r="J33" s="15"/>
      <c r="K33" s="15"/>
      <c r="L33" s="15"/>
      <c r="N33" s="15"/>
      <c r="O33" s="15"/>
      <c r="P33" s="15"/>
      <c r="Q33"/>
      <c r="R33" s="15"/>
      <c r="T33" s="15"/>
      <c r="U33" s="15"/>
      <c r="V33" s="15"/>
      <c r="W33" s="15"/>
      <c r="X33" s="15"/>
      <c r="Y33" s="15"/>
      <c r="Z33" s="48"/>
      <c r="AA33" s="48"/>
      <c r="AB33" s="36"/>
      <c r="AC33" s="15"/>
      <c r="AD33" s="15"/>
      <c r="AE33" s="15"/>
      <c r="AF33" s="36"/>
      <c r="AG33" s="15"/>
    </row>
    <row r="34" spans="1:33" s="49" customFormat="1" x14ac:dyDescent="0.25">
      <c r="A34" s="15"/>
      <c r="B34" s="15"/>
      <c r="C34" s="15"/>
      <c r="D34" s="15"/>
      <c r="E34" s="15"/>
      <c r="F34" s="15"/>
      <c r="G34" s="15"/>
      <c r="H34" s="15"/>
      <c r="I34" s="15"/>
      <c r="J34" s="15"/>
      <c r="K34" s="15"/>
      <c r="L34" s="15"/>
      <c r="N34" s="15"/>
      <c r="O34" s="15"/>
      <c r="P34" s="15"/>
      <c r="Q34"/>
      <c r="R34" s="15"/>
      <c r="T34" s="15"/>
      <c r="U34" s="15"/>
      <c r="V34" s="15"/>
      <c r="W34" s="15"/>
      <c r="X34" s="15"/>
      <c r="Y34" s="15"/>
      <c r="Z34" s="48"/>
      <c r="AA34" s="48"/>
      <c r="AB34" s="36"/>
      <c r="AC34" s="15"/>
      <c r="AD34" s="15"/>
      <c r="AE34" s="15"/>
      <c r="AF34" s="36"/>
      <c r="AG34" s="15"/>
    </row>
    <row r="35" spans="1:33" s="49" customFormat="1" x14ac:dyDescent="0.25">
      <c r="A35" s="15"/>
      <c r="B35" s="15"/>
      <c r="C35" s="15"/>
      <c r="D35" s="15"/>
      <c r="E35" s="15"/>
      <c r="F35" s="15"/>
      <c r="G35" s="15"/>
      <c r="H35" s="15"/>
      <c r="I35" s="15"/>
      <c r="J35" s="15"/>
      <c r="K35" s="15"/>
      <c r="L35" s="15"/>
      <c r="N35" s="15"/>
      <c r="O35" s="15"/>
      <c r="P35" s="15"/>
      <c r="Q35"/>
      <c r="R35" s="15"/>
      <c r="T35" s="15"/>
      <c r="U35" s="15"/>
      <c r="V35" s="15"/>
      <c r="W35" s="15"/>
      <c r="X35" s="15"/>
      <c r="Y35" s="15"/>
      <c r="Z35" s="48"/>
      <c r="AA35" s="48"/>
      <c r="AB35" s="36"/>
      <c r="AC35" s="15"/>
      <c r="AD35" s="15"/>
      <c r="AE35" s="15"/>
      <c r="AF35" s="36"/>
      <c r="AG35" s="15"/>
    </row>
    <row r="36" spans="1:33" s="49" customFormat="1" x14ac:dyDescent="0.25">
      <c r="A36" s="15"/>
      <c r="B36" s="15"/>
      <c r="C36" s="15"/>
      <c r="D36" s="15"/>
      <c r="E36" s="15"/>
      <c r="F36" s="15"/>
      <c r="G36" s="15"/>
      <c r="H36" s="15"/>
      <c r="I36" s="15"/>
      <c r="J36" s="15"/>
      <c r="K36" s="15"/>
      <c r="L36" s="15"/>
      <c r="N36" s="15"/>
      <c r="O36" s="15"/>
      <c r="P36" s="15"/>
      <c r="Q36"/>
      <c r="R36" s="15"/>
      <c r="T36" s="15"/>
      <c r="U36" s="15"/>
      <c r="V36" s="15"/>
      <c r="W36" s="15"/>
      <c r="X36" s="15"/>
      <c r="Y36" s="15"/>
      <c r="Z36" s="48"/>
      <c r="AA36" s="48"/>
      <c r="AB36" s="36"/>
      <c r="AC36" s="15"/>
      <c r="AD36" s="15"/>
      <c r="AE36" s="15"/>
      <c r="AF36" s="36"/>
      <c r="AG36" s="15"/>
    </row>
    <row r="37" spans="1:33" s="49" customFormat="1" x14ac:dyDescent="0.25">
      <c r="A37" s="15"/>
      <c r="B37" s="15"/>
      <c r="C37" s="15"/>
      <c r="D37" s="15"/>
      <c r="E37" s="15"/>
      <c r="F37" s="15"/>
      <c r="G37" s="15"/>
      <c r="H37" s="15"/>
      <c r="I37" s="15"/>
      <c r="J37" s="15"/>
      <c r="K37" s="15"/>
      <c r="L37" s="15"/>
      <c r="N37" s="15"/>
      <c r="O37" s="15"/>
      <c r="P37" s="15"/>
      <c r="Q37"/>
      <c r="R37" s="15"/>
      <c r="T37" s="15"/>
      <c r="U37" s="15"/>
      <c r="V37" s="15"/>
      <c r="W37" s="15"/>
      <c r="X37" s="15"/>
      <c r="Y37" s="15"/>
      <c r="Z37" s="48"/>
      <c r="AA37" s="48"/>
      <c r="AB37" s="36"/>
      <c r="AC37" s="15"/>
      <c r="AD37" s="15"/>
      <c r="AE37" s="15"/>
      <c r="AF37" s="36"/>
      <c r="AG37" s="15"/>
    </row>
    <row r="38" spans="1:33" s="49" customFormat="1" x14ac:dyDescent="0.25">
      <c r="A38" s="15"/>
      <c r="B38" s="15"/>
      <c r="C38" s="15"/>
      <c r="D38" s="15"/>
      <c r="E38" s="15"/>
      <c r="F38" s="15"/>
      <c r="G38" s="15"/>
      <c r="H38" s="15"/>
      <c r="I38" s="15"/>
      <c r="J38" s="15"/>
      <c r="K38" s="15"/>
      <c r="L38" s="15"/>
      <c r="N38" s="15"/>
      <c r="O38" s="15"/>
      <c r="P38" s="15"/>
      <c r="Q38"/>
      <c r="R38" s="15"/>
      <c r="T38" s="15"/>
      <c r="U38" s="15"/>
      <c r="V38" s="15"/>
      <c r="W38" s="15"/>
      <c r="X38" s="15"/>
      <c r="Y38" s="15"/>
      <c r="Z38" s="48"/>
      <c r="AA38" s="48"/>
      <c r="AB38" s="36"/>
      <c r="AC38" s="15"/>
      <c r="AD38" s="15"/>
      <c r="AE38" s="15"/>
      <c r="AF38" s="36"/>
      <c r="AG38" s="15"/>
    </row>
    <row r="39" spans="1:33" s="49" customFormat="1" x14ac:dyDescent="0.25">
      <c r="A39" s="15"/>
      <c r="B39" s="15"/>
      <c r="C39" s="15"/>
      <c r="D39" s="15"/>
      <c r="E39" s="15"/>
      <c r="F39" s="15"/>
      <c r="G39" s="15"/>
      <c r="H39" s="15"/>
      <c r="I39" s="15"/>
      <c r="J39" s="15"/>
      <c r="K39" s="15"/>
      <c r="L39" s="15"/>
      <c r="N39" s="15"/>
      <c r="O39" s="15"/>
      <c r="P39" s="15"/>
      <c r="Q39"/>
      <c r="R39" s="15"/>
      <c r="T39" s="15"/>
      <c r="U39" s="15"/>
      <c r="V39" s="15"/>
      <c r="W39" s="15"/>
      <c r="X39" s="15"/>
      <c r="Y39" s="15"/>
      <c r="Z39" s="48"/>
      <c r="AA39" s="48"/>
      <c r="AB39" s="36"/>
      <c r="AC39" s="15"/>
      <c r="AD39" s="15"/>
      <c r="AE39" s="15"/>
      <c r="AF39" s="36"/>
      <c r="AG39" s="15"/>
    </row>
    <row r="40" spans="1:33" s="49" customFormat="1" x14ac:dyDescent="0.25">
      <c r="A40" s="15"/>
      <c r="B40" s="15"/>
      <c r="C40" s="15"/>
      <c r="D40" s="15"/>
      <c r="E40" s="15"/>
      <c r="F40" s="15"/>
      <c r="G40" s="15"/>
      <c r="H40" s="15"/>
      <c r="I40" s="15"/>
      <c r="J40" s="15"/>
      <c r="K40" s="15"/>
      <c r="L40" s="15"/>
      <c r="N40" s="15"/>
      <c r="O40" s="15"/>
      <c r="P40" s="15"/>
      <c r="Q40"/>
      <c r="R40" s="15"/>
      <c r="T40" s="15"/>
      <c r="U40" s="15"/>
      <c r="V40" s="15"/>
      <c r="W40" s="15"/>
      <c r="X40" s="15"/>
      <c r="Y40" s="15"/>
      <c r="Z40" s="48"/>
      <c r="AA40" s="48"/>
      <c r="AB40" s="36"/>
      <c r="AC40" s="15"/>
      <c r="AD40" s="15"/>
      <c r="AE40" s="15"/>
      <c r="AF40" s="36"/>
      <c r="AG40" s="15"/>
    </row>
    <row r="41" spans="1:33" s="49" customFormat="1" x14ac:dyDescent="0.25">
      <c r="A41" s="15"/>
      <c r="B41" s="15"/>
      <c r="C41" s="15"/>
      <c r="D41" s="15"/>
      <c r="E41" s="15"/>
      <c r="F41" s="15"/>
      <c r="G41" s="15"/>
      <c r="H41" s="15"/>
      <c r="I41" s="15"/>
      <c r="J41" s="15"/>
      <c r="K41" s="15"/>
      <c r="L41" s="15"/>
      <c r="N41" s="15"/>
      <c r="O41" s="15"/>
      <c r="P41" s="15"/>
      <c r="Q41"/>
      <c r="R41" s="15"/>
      <c r="T41" s="15"/>
      <c r="U41" s="15"/>
      <c r="V41" s="15"/>
      <c r="W41" s="15"/>
      <c r="X41" s="15"/>
      <c r="Y41" s="15"/>
      <c r="Z41" s="48"/>
      <c r="AA41" s="48"/>
      <c r="AB41" s="36"/>
      <c r="AC41" s="15"/>
      <c r="AD41" s="15"/>
      <c r="AE41" s="15"/>
      <c r="AF41" s="36"/>
      <c r="AG41" s="15"/>
    </row>
    <row r="42" spans="1:33" s="49" customFormat="1" x14ac:dyDescent="0.25">
      <c r="A42" s="15"/>
      <c r="B42" s="15"/>
      <c r="C42" s="15"/>
      <c r="D42" s="15"/>
      <c r="E42" s="15"/>
      <c r="F42" s="15"/>
      <c r="G42" s="15"/>
      <c r="H42" s="15"/>
      <c r="I42" s="15"/>
      <c r="J42" s="15"/>
      <c r="K42" s="15"/>
      <c r="L42" s="15"/>
      <c r="N42" s="15"/>
      <c r="O42" s="15"/>
      <c r="P42" s="15"/>
      <c r="Q42"/>
      <c r="R42" s="15"/>
      <c r="T42" s="15"/>
      <c r="U42" s="15"/>
      <c r="V42" s="15"/>
      <c r="W42" s="15"/>
      <c r="X42" s="15"/>
      <c r="Y42" s="15"/>
      <c r="Z42" s="48"/>
      <c r="AA42" s="48"/>
      <c r="AB42" s="36"/>
      <c r="AC42" s="15"/>
      <c r="AD42" s="15"/>
      <c r="AE42" s="15"/>
      <c r="AF42" s="36"/>
      <c r="AG42" s="15"/>
    </row>
    <row r="43" spans="1:33" s="49" customFormat="1" x14ac:dyDescent="0.25">
      <c r="A43" s="15"/>
      <c r="B43" s="15"/>
      <c r="C43" s="15"/>
      <c r="D43" s="15"/>
      <c r="E43" s="15"/>
      <c r="F43" s="20"/>
      <c r="G43" s="15"/>
      <c r="H43" s="14"/>
      <c r="I43" s="15"/>
      <c r="J43" s="15"/>
      <c r="K43" s="15"/>
      <c r="L43" s="15"/>
      <c r="N43" s="15"/>
      <c r="O43" s="15"/>
      <c r="P43" s="15"/>
      <c r="Q43"/>
      <c r="R43" s="15"/>
      <c r="T43" s="15"/>
      <c r="U43" s="15"/>
      <c r="V43" s="15"/>
      <c r="W43" s="15"/>
      <c r="X43" s="15"/>
      <c r="Y43" s="15"/>
      <c r="Z43" s="48"/>
      <c r="AA43" s="48"/>
      <c r="AB43" s="36"/>
      <c r="AC43" s="15"/>
      <c r="AD43" s="15"/>
      <c r="AE43" s="15"/>
      <c r="AF43" s="36"/>
      <c r="AG43" s="15"/>
    </row>
    <row r="44" spans="1:33" s="49" customFormat="1" x14ac:dyDescent="0.25">
      <c r="A44" s="15"/>
      <c r="B44" s="15"/>
      <c r="C44" s="15"/>
      <c r="D44" s="15"/>
      <c r="E44" s="15"/>
      <c r="F44" s="20"/>
      <c r="G44" s="15"/>
      <c r="H44" s="14"/>
      <c r="I44" s="15"/>
      <c r="J44" s="15"/>
      <c r="K44" s="15"/>
      <c r="L44" s="15"/>
      <c r="N44" s="15"/>
      <c r="O44" s="15"/>
      <c r="P44" s="15"/>
      <c r="Q44"/>
      <c r="R44" s="15"/>
      <c r="T44" s="15"/>
      <c r="U44" s="15"/>
      <c r="V44" s="15"/>
      <c r="W44" s="15"/>
      <c r="X44" s="15"/>
      <c r="Y44" s="15"/>
      <c r="Z44" s="48"/>
      <c r="AA44" s="48"/>
      <c r="AB44" s="36"/>
      <c r="AC44" s="15"/>
      <c r="AD44" s="15"/>
      <c r="AE44" s="15"/>
      <c r="AF44" s="36"/>
      <c r="AG44" s="15"/>
    </row>
    <row r="45" spans="1:33" s="49" customFormat="1" x14ac:dyDescent="0.25">
      <c r="A45" s="15"/>
      <c r="B45" s="15"/>
      <c r="C45" s="15"/>
      <c r="D45" s="15"/>
      <c r="E45" s="15"/>
      <c r="F45" s="20"/>
      <c r="G45" s="15"/>
      <c r="H45" s="14"/>
      <c r="I45" s="15"/>
      <c r="J45" s="15"/>
      <c r="K45" s="15"/>
      <c r="L45" s="15"/>
      <c r="N45" s="15"/>
      <c r="O45" s="15"/>
      <c r="P45" s="15"/>
      <c r="Q45"/>
      <c r="R45" s="15"/>
      <c r="T45" s="15"/>
      <c r="U45" s="15"/>
      <c r="V45" s="15"/>
      <c r="W45" s="15"/>
      <c r="X45" s="15"/>
      <c r="Y45" s="15"/>
      <c r="Z45" s="48"/>
      <c r="AA45" s="48"/>
      <c r="AB45" s="36"/>
      <c r="AC45" s="15"/>
      <c r="AD45" s="15"/>
      <c r="AE45" s="15"/>
      <c r="AF45" s="36"/>
      <c r="AG45" s="15"/>
    </row>
    <row r="46" spans="1:33" s="49" customFormat="1" x14ac:dyDescent="0.25">
      <c r="A46" s="15"/>
      <c r="B46" s="15"/>
      <c r="C46" s="15"/>
      <c r="D46" s="15"/>
      <c r="E46" s="15"/>
      <c r="F46" s="20"/>
      <c r="G46" s="15"/>
      <c r="H46" s="14"/>
      <c r="I46" s="15"/>
      <c r="J46" s="15"/>
      <c r="K46" s="15"/>
      <c r="L46" s="15"/>
      <c r="N46" s="15"/>
      <c r="O46" s="15"/>
      <c r="P46" s="15"/>
      <c r="Q46"/>
      <c r="R46" s="15"/>
      <c r="T46" s="15"/>
      <c r="U46" s="15"/>
      <c r="V46" s="15"/>
      <c r="W46" s="15"/>
      <c r="X46" s="15"/>
      <c r="Y46" s="15"/>
      <c r="Z46" s="48"/>
      <c r="AA46" s="48"/>
      <c r="AB46" s="36"/>
      <c r="AC46" s="15"/>
      <c r="AD46" s="15"/>
      <c r="AE46" s="15"/>
      <c r="AF46" s="36"/>
      <c r="AG46" s="15"/>
    </row>
    <row r="47" spans="1:33" s="49" customFormat="1" x14ac:dyDescent="0.25">
      <c r="A47" s="15"/>
      <c r="B47" s="15"/>
      <c r="C47" s="15"/>
      <c r="D47" s="15"/>
      <c r="E47" s="15"/>
      <c r="F47" s="20"/>
      <c r="G47" s="15"/>
      <c r="H47" s="14"/>
      <c r="I47" s="15"/>
      <c r="J47" s="15"/>
      <c r="K47" s="15"/>
      <c r="L47" s="15"/>
      <c r="N47" s="15"/>
      <c r="O47" s="15"/>
      <c r="P47" s="15"/>
      <c r="Q47"/>
      <c r="R47" s="15"/>
      <c r="T47" s="15"/>
      <c r="U47" s="15"/>
      <c r="V47" s="15"/>
      <c r="W47" s="15"/>
      <c r="X47" s="15"/>
      <c r="Y47" s="15"/>
      <c r="Z47" s="48"/>
      <c r="AA47" s="48"/>
      <c r="AB47" s="36"/>
      <c r="AC47" s="15"/>
      <c r="AD47" s="15"/>
      <c r="AE47" s="15"/>
      <c r="AF47" s="36"/>
      <c r="AG47" s="15"/>
    </row>
    <row r="48" spans="1:33" s="49" customFormat="1" x14ac:dyDescent="0.25">
      <c r="A48" s="15"/>
      <c r="B48" s="15"/>
      <c r="C48" s="15"/>
      <c r="D48" s="15"/>
      <c r="E48" s="15"/>
      <c r="F48" s="20"/>
      <c r="G48" s="15"/>
      <c r="H48" s="14"/>
      <c r="I48" s="15"/>
      <c r="J48" s="15"/>
      <c r="K48" s="15"/>
      <c r="L48" s="15"/>
      <c r="N48" s="15"/>
      <c r="O48" s="15"/>
      <c r="P48" s="15"/>
      <c r="Q48"/>
      <c r="R48" s="15"/>
      <c r="T48" s="15"/>
      <c r="U48" s="15"/>
      <c r="V48" s="15"/>
      <c r="W48" s="15"/>
      <c r="X48" s="15"/>
      <c r="Y48" s="15"/>
      <c r="Z48" s="48"/>
      <c r="AA48" s="48"/>
      <c r="AB48" s="36"/>
      <c r="AC48" s="15"/>
      <c r="AD48" s="15"/>
      <c r="AE48" s="15"/>
      <c r="AF48" s="36"/>
      <c r="AG48" s="15"/>
    </row>
    <row r="49" spans="1:33" s="49" customFormat="1" x14ac:dyDescent="0.25">
      <c r="A49" s="15"/>
      <c r="B49" s="15"/>
      <c r="C49" s="15"/>
      <c r="D49" s="15"/>
      <c r="E49" s="15"/>
      <c r="F49" s="20"/>
      <c r="G49" s="15"/>
      <c r="H49" s="14"/>
      <c r="I49" s="15"/>
      <c r="J49" s="15"/>
      <c r="K49" s="15"/>
      <c r="L49" s="15"/>
      <c r="N49" s="15"/>
      <c r="O49" s="15"/>
      <c r="P49" s="15"/>
      <c r="Q49"/>
      <c r="R49" s="15"/>
      <c r="T49" s="15"/>
      <c r="U49" s="15"/>
      <c r="V49" s="15"/>
      <c r="W49" s="15"/>
      <c r="X49" s="15"/>
      <c r="Y49" s="15"/>
      <c r="Z49" s="48"/>
      <c r="AA49" s="48"/>
      <c r="AB49" s="36"/>
      <c r="AC49" s="15"/>
      <c r="AD49" s="15"/>
      <c r="AE49" s="15"/>
      <c r="AF49" s="36"/>
      <c r="AG49" s="15"/>
    </row>
    <row r="50" spans="1:33" s="49" customFormat="1" x14ac:dyDescent="0.25">
      <c r="A50" s="15"/>
      <c r="B50" s="15"/>
      <c r="C50" s="15"/>
      <c r="D50" s="15"/>
      <c r="E50" s="15"/>
      <c r="F50" s="15"/>
      <c r="G50" s="15"/>
      <c r="H50" s="14"/>
      <c r="I50" s="15"/>
      <c r="J50" s="15"/>
      <c r="K50" s="15"/>
      <c r="L50" s="15"/>
      <c r="N50" s="15"/>
      <c r="O50" s="15"/>
      <c r="P50" s="15"/>
      <c r="Q50"/>
      <c r="R50" s="15"/>
      <c r="T50" s="15"/>
      <c r="U50" s="15"/>
      <c r="V50" s="15"/>
      <c r="W50" s="15"/>
      <c r="X50" s="15"/>
      <c r="Y50" s="15"/>
      <c r="Z50" s="48"/>
      <c r="AA50" s="48"/>
      <c r="AB50" s="36"/>
      <c r="AC50" s="15"/>
      <c r="AD50" s="15"/>
      <c r="AE50" s="15"/>
      <c r="AF50" s="36"/>
      <c r="AG50" s="15"/>
    </row>
  </sheetData>
  <mergeCells count="31">
    <mergeCell ref="AF1:AF2"/>
    <mergeCell ref="AG1:AG2"/>
    <mergeCell ref="AC1:AC2"/>
    <mergeCell ref="X1:X2"/>
    <mergeCell ref="AD1:AD2"/>
    <mergeCell ref="AE1:AE2"/>
    <mergeCell ref="W1:W2"/>
    <mergeCell ref="Z1:Z2"/>
    <mergeCell ref="AB1:AB2"/>
    <mergeCell ref="O1:O2"/>
    <mergeCell ref="U1:U2"/>
    <mergeCell ref="V1:V2"/>
    <mergeCell ref="P1:P2"/>
    <mergeCell ref="R1:R2"/>
    <mergeCell ref="S1:T1"/>
    <mergeCell ref="Y1:Y2"/>
    <mergeCell ref="AA1:AA2"/>
    <mergeCell ref="N1:N2"/>
    <mergeCell ref="H1:H2"/>
    <mergeCell ref="I1:I2"/>
    <mergeCell ref="A1:A2"/>
    <mergeCell ref="B1:B2"/>
    <mergeCell ref="E1:E2"/>
    <mergeCell ref="F1:F2"/>
    <mergeCell ref="G1:G2"/>
    <mergeCell ref="C1:C2"/>
    <mergeCell ref="D1:D2"/>
    <mergeCell ref="J1:J2"/>
    <mergeCell ref="K1:K2"/>
    <mergeCell ref="L1:L2"/>
    <mergeCell ref="M1:M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8D15-EBDC-46FA-AC99-DA22AADABF2C}">
  <dimension ref="A1:L22"/>
  <sheetViews>
    <sheetView topLeftCell="A4" workbookViewId="0">
      <selection activeCell="B7" sqref="B7:B19"/>
    </sheetView>
  </sheetViews>
  <sheetFormatPr defaultColWidth="9.140625" defaultRowHeight="15" x14ac:dyDescent="0.25"/>
  <cols>
    <col min="1" max="1" width="12.28515625" style="15" customWidth="1"/>
    <col min="2" max="2" width="19.28515625" style="15" bestFit="1" customWidth="1"/>
    <col min="3" max="3" width="1.7109375" style="15" customWidth="1"/>
    <col min="4" max="4" width="20.7109375" style="20" bestFit="1" customWidth="1"/>
    <col min="5" max="5" width="1.7109375" style="15" customWidth="1"/>
    <col min="6" max="6" width="18.5703125" style="15" bestFit="1" customWidth="1"/>
    <col min="7" max="7" width="1.7109375" style="15" customWidth="1"/>
    <col min="8" max="8" width="16.7109375" style="15" bestFit="1" customWidth="1"/>
    <col min="9" max="9" width="1.7109375" style="15" customWidth="1"/>
    <col min="10" max="10" width="17.7109375" style="15" bestFit="1" customWidth="1"/>
    <col min="11" max="11" width="1.7109375" style="15" customWidth="1"/>
    <col min="12" max="12" width="11" style="15" bestFit="1" customWidth="1"/>
    <col min="13" max="16384" width="9.140625" style="15"/>
  </cols>
  <sheetData>
    <row r="1" spans="1:12" s="2" customFormat="1" x14ac:dyDescent="0.25">
      <c r="B1" s="152" t="s">
        <v>157</v>
      </c>
      <c r="C1" s="152"/>
      <c r="D1" s="152"/>
      <c r="E1" s="152"/>
      <c r="F1" s="152"/>
      <c r="G1" s="152"/>
      <c r="H1" s="152"/>
      <c r="I1" s="152"/>
      <c r="J1" s="152"/>
    </row>
    <row r="2" spans="1:12" s="2" customFormat="1" x14ac:dyDescent="0.25">
      <c r="B2" s="152"/>
      <c r="C2" s="152"/>
      <c r="D2" s="152"/>
      <c r="E2" s="152"/>
      <c r="F2" s="152"/>
      <c r="G2" s="152"/>
      <c r="H2" s="152"/>
      <c r="I2" s="152"/>
      <c r="J2" s="152"/>
    </row>
    <row r="3" spans="1:12" s="2" customFormat="1" x14ac:dyDescent="0.25">
      <c r="D3" s="61"/>
    </row>
    <row r="4" spans="1:12" s="59" customFormat="1" x14ac:dyDescent="0.25">
      <c r="A4" s="81"/>
      <c r="D4" s="62" t="s">
        <v>158</v>
      </c>
      <c r="F4" s="59">
        <v>2021</v>
      </c>
      <c r="H4" s="59">
        <v>2021</v>
      </c>
      <c r="J4" s="59">
        <v>2021</v>
      </c>
    </row>
    <row r="5" spans="1:12" s="59" customFormat="1" ht="30" x14ac:dyDescent="0.25">
      <c r="A5" s="83" t="s">
        <v>274</v>
      </c>
      <c r="B5" s="59" t="s">
        <v>159</v>
      </c>
      <c r="D5" s="63" t="s">
        <v>160</v>
      </c>
      <c r="F5" s="59" t="s">
        <v>161</v>
      </c>
      <c r="H5" s="59" t="s">
        <v>162</v>
      </c>
      <c r="J5" s="59" t="s">
        <v>163</v>
      </c>
    </row>
    <row r="7" spans="1:12" x14ac:dyDescent="0.25">
      <c r="A7" s="27">
        <v>1</v>
      </c>
      <c r="B7" s="151"/>
      <c r="D7" s="20">
        <v>955.07</v>
      </c>
      <c r="F7" s="15">
        <v>0.12</v>
      </c>
      <c r="H7" s="14">
        <f>D7*F7</f>
        <v>114.6084</v>
      </c>
      <c r="J7" s="14">
        <f>D7-H7</f>
        <v>840.46160000000009</v>
      </c>
      <c r="L7" s="14"/>
    </row>
    <row r="8" spans="1:12" x14ac:dyDescent="0.25">
      <c r="A8" s="27">
        <v>2</v>
      </c>
      <c r="B8" s="151"/>
      <c r="D8" s="20">
        <v>0</v>
      </c>
      <c r="F8" s="15">
        <v>0.12</v>
      </c>
      <c r="H8" s="14">
        <f t="shared" ref="H8:H19" si="0">D8*F8</f>
        <v>0</v>
      </c>
      <c r="J8" s="14">
        <f t="shared" ref="J8:J19" si="1">D8-H8</f>
        <v>0</v>
      </c>
      <c r="L8" s="14"/>
    </row>
    <row r="9" spans="1:12" x14ac:dyDescent="0.25">
      <c r="A9" s="27">
        <v>3</v>
      </c>
      <c r="B9" s="151"/>
      <c r="D9" s="20">
        <v>955.07</v>
      </c>
      <c r="F9" s="15">
        <v>0.12</v>
      </c>
      <c r="H9" s="14">
        <f t="shared" si="0"/>
        <v>114.6084</v>
      </c>
      <c r="J9" s="14">
        <f t="shared" si="1"/>
        <v>840.46160000000009</v>
      </c>
      <c r="L9" s="14"/>
    </row>
    <row r="10" spans="1:12" x14ac:dyDescent="0.25">
      <c r="A10" s="27">
        <v>4</v>
      </c>
      <c r="B10" s="151"/>
      <c r="D10" s="20">
        <v>748.84</v>
      </c>
      <c r="F10" s="15">
        <v>0.12</v>
      </c>
      <c r="H10" s="14">
        <f t="shared" si="0"/>
        <v>89.860799999999998</v>
      </c>
      <c r="J10" s="14">
        <f t="shared" si="1"/>
        <v>658.97919999999999</v>
      </c>
      <c r="L10" s="14"/>
    </row>
    <row r="11" spans="1:12" x14ac:dyDescent="0.25">
      <c r="A11" s="27">
        <v>5</v>
      </c>
      <c r="B11" s="151"/>
      <c r="D11" s="20">
        <v>0</v>
      </c>
      <c r="F11" s="15">
        <v>0.12</v>
      </c>
      <c r="H11" s="14">
        <f t="shared" si="0"/>
        <v>0</v>
      </c>
      <c r="J11" s="14">
        <f t="shared" si="1"/>
        <v>0</v>
      </c>
      <c r="L11" s="14"/>
    </row>
    <row r="12" spans="1:12" x14ac:dyDescent="0.25">
      <c r="A12" s="27">
        <v>6</v>
      </c>
      <c r="B12" s="151"/>
      <c r="D12" s="20">
        <v>1315.13</v>
      </c>
      <c r="F12" s="15">
        <v>0.12</v>
      </c>
      <c r="H12" s="14">
        <f t="shared" si="0"/>
        <v>157.81560000000002</v>
      </c>
      <c r="J12" s="14">
        <f t="shared" si="1"/>
        <v>1157.3144000000002</v>
      </c>
      <c r="L12" s="14"/>
    </row>
    <row r="13" spans="1:12" x14ac:dyDescent="0.25">
      <c r="A13" s="27">
        <v>7</v>
      </c>
      <c r="B13" s="151"/>
      <c r="D13" s="20">
        <v>1465.94</v>
      </c>
      <c r="F13" s="15">
        <v>0.12</v>
      </c>
      <c r="H13" s="14">
        <f t="shared" si="0"/>
        <v>175.9128</v>
      </c>
      <c r="J13" s="14">
        <f t="shared" si="1"/>
        <v>1290.0272</v>
      </c>
      <c r="L13" s="14"/>
    </row>
    <row r="14" spans="1:12" x14ac:dyDescent="0.25">
      <c r="A14" s="27">
        <v>8</v>
      </c>
      <c r="B14" s="151"/>
      <c r="D14" s="20">
        <v>955.07</v>
      </c>
      <c r="F14" s="15">
        <v>0.12</v>
      </c>
      <c r="H14" s="14">
        <f t="shared" si="0"/>
        <v>114.6084</v>
      </c>
      <c r="J14" s="14">
        <f t="shared" si="1"/>
        <v>840.46160000000009</v>
      </c>
      <c r="L14" s="14"/>
    </row>
    <row r="15" spans="1:12" x14ac:dyDescent="0.25">
      <c r="A15" s="27">
        <v>9</v>
      </c>
      <c r="B15" s="151"/>
      <c r="D15" s="20">
        <v>955.07</v>
      </c>
      <c r="F15" s="15">
        <v>0.12</v>
      </c>
      <c r="H15" s="14">
        <f t="shared" si="0"/>
        <v>114.6084</v>
      </c>
      <c r="J15" s="14">
        <f t="shared" si="1"/>
        <v>840.46160000000009</v>
      </c>
      <c r="L15" s="14"/>
    </row>
    <row r="16" spans="1:12" x14ac:dyDescent="0.25">
      <c r="A16" s="27">
        <v>10</v>
      </c>
      <c r="B16" s="151"/>
      <c r="D16" s="20">
        <v>290.06</v>
      </c>
      <c r="F16" s="15">
        <v>0.12</v>
      </c>
      <c r="H16" s="14">
        <f t="shared" si="0"/>
        <v>34.807200000000002</v>
      </c>
      <c r="J16" s="14">
        <f t="shared" si="1"/>
        <v>255.25280000000001</v>
      </c>
      <c r="L16" s="14"/>
    </row>
    <row r="17" spans="1:12" x14ac:dyDescent="0.25">
      <c r="A17" s="27">
        <v>11</v>
      </c>
      <c r="B17" s="151"/>
      <c r="D17" s="20">
        <v>1585.25</v>
      </c>
      <c r="F17" s="15">
        <v>0.12</v>
      </c>
      <c r="H17" s="14">
        <f t="shared" si="0"/>
        <v>190.23</v>
      </c>
      <c r="J17" s="14">
        <f>D17-H17-0.01</f>
        <v>1395.01</v>
      </c>
      <c r="L17" s="14"/>
    </row>
    <row r="18" spans="1:12" x14ac:dyDescent="0.25">
      <c r="A18" s="27">
        <v>12</v>
      </c>
      <c r="B18" s="151"/>
      <c r="D18" s="64">
        <v>0</v>
      </c>
      <c r="F18" s="15">
        <v>0.12</v>
      </c>
      <c r="H18" s="14">
        <f t="shared" si="0"/>
        <v>0</v>
      </c>
      <c r="J18" s="14">
        <f t="shared" si="1"/>
        <v>0</v>
      </c>
      <c r="L18" s="14"/>
    </row>
    <row r="19" spans="1:12" x14ac:dyDescent="0.25">
      <c r="A19" s="27">
        <v>13</v>
      </c>
      <c r="B19" s="151"/>
      <c r="D19" s="64">
        <v>0</v>
      </c>
      <c r="F19" s="15">
        <v>0.12</v>
      </c>
      <c r="H19" s="14">
        <f t="shared" si="0"/>
        <v>0</v>
      </c>
      <c r="J19" s="14">
        <f t="shared" si="1"/>
        <v>0</v>
      </c>
      <c r="L19" s="14"/>
    </row>
    <row r="21" spans="1:12" s="2" customFormat="1" ht="15.75" thickBot="1" x14ac:dyDescent="0.3">
      <c r="B21" s="2" t="s">
        <v>164</v>
      </c>
      <c r="D21" s="65">
        <f>SUM(D7:D20)</f>
        <v>9225.5</v>
      </c>
      <c r="F21" s="66"/>
      <c r="H21" s="67">
        <f>SUM(H7:H20)</f>
        <v>1107.06</v>
      </c>
      <c r="J21" s="67">
        <f>SUM(J7:J20)</f>
        <v>8118.4300000000021</v>
      </c>
      <c r="L21" s="68"/>
    </row>
    <row r="22" spans="1:12" ht="15.75" thickTop="1" x14ac:dyDescent="0.25">
      <c r="B22" s="15" t="s">
        <v>273</v>
      </c>
      <c r="J22" s="14">
        <f>D21-H21-0.01</f>
        <v>8118.43</v>
      </c>
      <c r="L22" s="14"/>
    </row>
  </sheetData>
  <mergeCells count="1">
    <mergeCell ref="B1: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D481-6854-4A1A-82BE-2A6B54BC36F3}">
  <sheetPr>
    <pageSetUpPr fitToPage="1"/>
  </sheetPr>
  <dimension ref="A1:J130"/>
  <sheetViews>
    <sheetView topLeftCell="A93" workbookViewId="0">
      <selection activeCell="J43" sqref="J43"/>
    </sheetView>
  </sheetViews>
  <sheetFormatPr defaultColWidth="9.140625" defaultRowHeight="15" x14ac:dyDescent="0.25"/>
  <cols>
    <col min="1" max="1" width="33.85546875" style="15" customWidth="1"/>
    <col min="2" max="2" width="10.5703125" style="15" bestFit="1" customWidth="1"/>
    <col min="3" max="4" width="13" style="15" customWidth="1"/>
    <col min="5" max="5" width="15.85546875" style="15" bestFit="1" customWidth="1"/>
    <col min="6" max="6" width="15" style="15" customWidth="1"/>
    <col min="7" max="7" width="13.7109375" style="15" customWidth="1"/>
    <col min="8" max="8" width="11.28515625" style="15" customWidth="1"/>
    <col min="9" max="9" width="15.140625" style="15" customWidth="1"/>
    <col min="10" max="10" width="11.7109375" style="143" customWidth="1"/>
    <col min="11" max="16384" width="9.140625" style="15"/>
  </cols>
  <sheetData>
    <row r="1" spans="1:10" x14ac:dyDescent="0.25">
      <c r="A1" s="2" t="s">
        <v>104</v>
      </c>
    </row>
    <row r="2" spans="1:10" x14ac:dyDescent="0.25">
      <c r="A2" s="34"/>
      <c r="B2" s="34" t="s">
        <v>95</v>
      </c>
      <c r="C2" s="34" t="s">
        <v>96</v>
      </c>
      <c r="D2" s="34" t="s">
        <v>105</v>
      </c>
      <c r="E2" s="34" t="s">
        <v>106</v>
      </c>
      <c r="F2" s="34" t="s">
        <v>107</v>
      </c>
      <c r="G2" s="34" t="s">
        <v>108</v>
      </c>
      <c r="H2" s="34" t="s">
        <v>97</v>
      </c>
    </row>
    <row r="3" spans="1:10" x14ac:dyDescent="0.25">
      <c r="A3" s="15" t="s">
        <v>112</v>
      </c>
      <c r="B3" s="23">
        <f>9521+239+89+791</f>
        <v>10640</v>
      </c>
      <c r="C3" s="23">
        <f>3792100+77400+19400+169700</f>
        <v>4058600</v>
      </c>
      <c r="D3" s="23">
        <f>C3</f>
        <v>4058600</v>
      </c>
      <c r="E3" s="23"/>
      <c r="F3" s="23"/>
      <c r="G3" s="23"/>
      <c r="H3" s="23"/>
    </row>
    <row r="4" spans="1:10" x14ac:dyDescent="0.25">
      <c r="A4" s="15" t="s">
        <v>109</v>
      </c>
      <c r="B4" s="23">
        <f>44324+382+57+206</f>
        <v>44969</v>
      </c>
      <c r="C4" s="23">
        <f>156136200+1518200+174400+668900</f>
        <v>158497700</v>
      </c>
      <c r="D4" s="23">
        <f>B4*1000</f>
        <v>44969000</v>
      </c>
      <c r="E4" s="23">
        <f>C4-D4</f>
        <v>113528700</v>
      </c>
      <c r="F4" s="23"/>
      <c r="G4" s="23"/>
      <c r="H4" s="23"/>
    </row>
    <row r="5" spans="1:10" x14ac:dyDescent="0.25">
      <c r="A5" s="15" t="s">
        <v>110</v>
      </c>
      <c r="B5" s="23">
        <f>1528+57+12+8</f>
        <v>1605</v>
      </c>
      <c r="C5" s="23">
        <f>20089200+778600+168400+103200</f>
        <v>21139400</v>
      </c>
      <c r="D5" s="23">
        <f>B5*1000</f>
        <v>1605000</v>
      </c>
      <c r="E5" s="23">
        <f>B5*9000</f>
        <v>14445000</v>
      </c>
      <c r="F5" s="23">
        <f>C5-(D5+E5)</f>
        <v>5089400</v>
      </c>
      <c r="G5" s="23"/>
      <c r="H5" s="23"/>
    </row>
    <row r="6" spans="1:10" x14ac:dyDescent="0.25">
      <c r="A6" s="15" t="s">
        <v>111</v>
      </c>
      <c r="B6" s="23">
        <f>233+14+15</f>
        <v>262</v>
      </c>
      <c r="C6" s="23">
        <f>6037400+368800+456300</f>
        <v>6862500</v>
      </c>
      <c r="D6" s="23">
        <f>B6*1000</f>
        <v>262000</v>
      </c>
      <c r="E6" s="23">
        <f>B6*9000</f>
        <v>2358000</v>
      </c>
      <c r="F6" s="23">
        <f>B6*10000</f>
        <v>2620000</v>
      </c>
      <c r="G6" s="23">
        <f>C6-(D6+E6+F6)</f>
        <v>1622500</v>
      </c>
      <c r="H6" s="23"/>
    </row>
    <row r="7" spans="1:10" x14ac:dyDescent="0.25">
      <c r="A7" s="15" t="s">
        <v>98</v>
      </c>
      <c r="B7" s="23">
        <f>58+2+1+12</f>
        <v>73</v>
      </c>
      <c r="C7" s="23">
        <f>4071900+209700+54700+572300</f>
        <v>4908600</v>
      </c>
      <c r="D7" s="23">
        <f>B7*1000</f>
        <v>73000</v>
      </c>
      <c r="E7" s="23">
        <f>B7*9000</f>
        <v>657000</v>
      </c>
      <c r="F7" s="23">
        <f>B7*10000</f>
        <v>730000</v>
      </c>
      <c r="G7" s="23">
        <f>B7*20000</f>
        <v>1460000</v>
      </c>
      <c r="H7" s="23">
        <f>C7-(D7+E7+F7+G7)</f>
        <v>1988600</v>
      </c>
    </row>
    <row r="8" spans="1:10" x14ac:dyDescent="0.25">
      <c r="A8" s="15" t="s">
        <v>62</v>
      </c>
      <c r="B8" s="39">
        <f>SUM(B3:B7)</f>
        <v>57549</v>
      </c>
      <c r="C8" s="23">
        <f>SUM(C3:C7)</f>
        <v>195466800</v>
      </c>
      <c r="D8" s="23">
        <f>SUM(D3:D7)</f>
        <v>50967600</v>
      </c>
      <c r="E8" s="23">
        <f>SUM(E4:E7)</f>
        <v>130988700</v>
      </c>
      <c r="F8" s="23">
        <f>SUM(F5:F7)</f>
        <v>8439400</v>
      </c>
      <c r="G8" s="23">
        <f>SUM(G6:G7)</f>
        <v>3082500</v>
      </c>
      <c r="H8" s="23">
        <f>SUM(H7)</f>
        <v>1988600</v>
      </c>
    </row>
    <row r="9" spans="1:10" x14ac:dyDescent="0.25">
      <c r="I9" s="15" t="s">
        <v>329</v>
      </c>
      <c r="J9" s="143">
        <f>C8/B8</f>
        <v>3396.5281759891573</v>
      </c>
    </row>
    <row r="10" spans="1:10" x14ac:dyDescent="0.25">
      <c r="A10" s="2" t="s">
        <v>113</v>
      </c>
    </row>
    <row r="11" spans="1:10" x14ac:dyDescent="0.25">
      <c r="B11" s="6" t="s">
        <v>95</v>
      </c>
      <c r="C11" s="6" t="s">
        <v>96</v>
      </c>
      <c r="D11" s="6" t="s">
        <v>115</v>
      </c>
      <c r="E11" s="6" t="s">
        <v>107</v>
      </c>
      <c r="F11" s="6" t="s">
        <v>108</v>
      </c>
      <c r="G11" s="6" t="s">
        <v>97</v>
      </c>
    </row>
    <row r="12" spans="1:10" x14ac:dyDescent="0.25">
      <c r="A12" s="15" t="s">
        <v>114</v>
      </c>
      <c r="B12" s="15">
        <f>24+57+24+11</f>
        <v>116</v>
      </c>
      <c r="C12" s="23">
        <f>114900+62300+73800+7700</f>
        <v>258700</v>
      </c>
      <c r="D12" s="23">
        <f>C12</f>
        <v>258700</v>
      </c>
      <c r="E12" s="23"/>
      <c r="F12" s="23"/>
      <c r="G12" s="23"/>
      <c r="H12" s="23"/>
    </row>
    <row r="13" spans="1:10" x14ac:dyDescent="0.25">
      <c r="A13" s="15" t="s">
        <v>110</v>
      </c>
      <c r="B13" s="15">
        <f>15+7+1</f>
        <v>23</v>
      </c>
      <c r="C13" s="23">
        <f>226000+84200+15500</f>
        <v>325700</v>
      </c>
      <c r="D13" s="23">
        <f>B13*10000</f>
        <v>230000</v>
      </c>
      <c r="E13" s="23">
        <f>C13-D13</f>
        <v>95700</v>
      </c>
      <c r="F13" s="23"/>
      <c r="G13" s="23"/>
      <c r="H13" s="23"/>
    </row>
    <row r="14" spans="1:10" x14ac:dyDescent="0.25">
      <c r="A14" s="15" t="s">
        <v>111</v>
      </c>
      <c r="B14" s="15">
        <f>11+4</f>
        <v>15</v>
      </c>
      <c r="C14" s="23">
        <f>260600+100900</f>
        <v>361500</v>
      </c>
      <c r="D14" s="23">
        <f>B14*10000</f>
        <v>150000</v>
      </c>
      <c r="E14" s="23">
        <f>B14*10000</f>
        <v>150000</v>
      </c>
      <c r="F14" s="23">
        <f>C14-(D14+E14)</f>
        <v>61500</v>
      </c>
      <c r="G14" s="23"/>
      <c r="H14" s="23"/>
    </row>
    <row r="15" spans="1:10" x14ac:dyDescent="0.25">
      <c r="A15" s="15" t="s">
        <v>98</v>
      </c>
      <c r="B15" s="39">
        <f>1+2</f>
        <v>3</v>
      </c>
      <c r="C15" s="23">
        <f>94300+113200</f>
        <v>207500</v>
      </c>
      <c r="D15" s="23">
        <f>B15*10000</f>
        <v>30000</v>
      </c>
      <c r="E15" s="23">
        <f>B15*10000</f>
        <v>30000</v>
      </c>
      <c r="F15" s="23">
        <f>B15*20000</f>
        <v>60000</v>
      </c>
      <c r="G15" s="23">
        <f>C15-(D15+E15+F15)</f>
        <v>87500</v>
      </c>
      <c r="H15" s="23"/>
    </row>
    <row r="16" spans="1:10" x14ac:dyDescent="0.25">
      <c r="A16" s="15" t="s">
        <v>62</v>
      </c>
      <c r="B16" s="39">
        <f>SUM(B12:B15)</f>
        <v>157</v>
      </c>
      <c r="C16" s="23">
        <f>SUM(C12:C15)</f>
        <v>1153400</v>
      </c>
      <c r="D16" s="23">
        <f>SUM(D12:D15)</f>
        <v>668700</v>
      </c>
      <c r="E16" s="23">
        <f>SUM(E13:E15)</f>
        <v>275700</v>
      </c>
      <c r="F16" s="23">
        <f>SUM(F14:F15)</f>
        <v>121500</v>
      </c>
      <c r="G16" s="23">
        <f>SUM(G15)</f>
        <v>87500</v>
      </c>
      <c r="H16" s="23"/>
    </row>
    <row r="17" spans="1:10" x14ac:dyDescent="0.25">
      <c r="B17" s="39"/>
      <c r="C17" s="39"/>
      <c r="I17" s="15" t="s">
        <v>329</v>
      </c>
      <c r="J17" s="143">
        <f>C16/B16</f>
        <v>7346.496815286624</v>
      </c>
    </row>
    <row r="18" spans="1:10" x14ac:dyDescent="0.25">
      <c r="A18" s="2" t="s">
        <v>116</v>
      </c>
    </row>
    <row r="19" spans="1:10" x14ac:dyDescent="0.25">
      <c r="B19" s="6" t="s">
        <v>95</v>
      </c>
      <c r="C19" s="6" t="s">
        <v>96</v>
      </c>
      <c r="D19" s="6" t="s">
        <v>118</v>
      </c>
      <c r="E19" s="6" t="s">
        <v>108</v>
      </c>
      <c r="F19" s="6" t="s">
        <v>97</v>
      </c>
    </row>
    <row r="20" spans="1:10" x14ac:dyDescent="0.25">
      <c r="A20" s="15" t="s">
        <v>117</v>
      </c>
      <c r="B20" s="15">
        <f>10</f>
        <v>10</v>
      </c>
      <c r="C20" s="23">
        <f>10000</f>
        <v>10000</v>
      </c>
      <c r="D20" s="23">
        <f>C20</f>
        <v>10000</v>
      </c>
      <c r="E20" s="23"/>
      <c r="F20" s="23"/>
      <c r="G20" s="23"/>
      <c r="H20" s="23"/>
    </row>
    <row r="21" spans="1:10" x14ac:dyDescent="0.25">
      <c r="A21" s="15" t="s">
        <v>111</v>
      </c>
      <c r="B21" s="39">
        <f>1</f>
        <v>1</v>
      </c>
      <c r="C21" s="23">
        <f>32000</f>
        <v>32000</v>
      </c>
      <c r="D21" s="23">
        <f>B21*20000</f>
        <v>20000</v>
      </c>
      <c r="E21" s="23">
        <f>C21-D21</f>
        <v>12000</v>
      </c>
      <c r="F21" s="23"/>
      <c r="G21" s="23"/>
      <c r="H21" s="23"/>
    </row>
    <row r="22" spans="1:10" x14ac:dyDescent="0.25">
      <c r="A22" s="15" t="s">
        <v>98</v>
      </c>
      <c r="B22" s="39"/>
      <c r="C22" s="23"/>
      <c r="D22" s="23">
        <f>B22*20000</f>
        <v>0</v>
      </c>
      <c r="E22" s="23">
        <f>B22*20000</f>
        <v>0</v>
      </c>
      <c r="F22" s="23">
        <f>C22-(D22+E22)</f>
        <v>0</v>
      </c>
      <c r="G22" s="23"/>
      <c r="H22" s="23"/>
    </row>
    <row r="23" spans="1:10" x14ac:dyDescent="0.25">
      <c r="A23" s="15" t="s">
        <v>62</v>
      </c>
      <c r="B23" s="39">
        <f>SUM(B20:B22)</f>
        <v>11</v>
      </c>
      <c r="C23" s="23">
        <f>SUM(C20:C22)</f>
        <v>42000</v>
      </c>
      <c r="D23" s="23">
        <f>SUM(D20:D22)</f>
        <v>30000</v>
      </c>
      <c r="E23" s="23">
        <f>SUM(E21:E22)</f>
        <v>12000</v>
      </c>
      <c r="F23" s="23">
        <f>SUM(F22)</f>
        <v>0</v>
      </c>
      <c r="G23" s="23"/>
      <c r="H23" s="23"/>
    </row>
    <row r="24" spans="1:10" x14ac:dyDescent="0.25">
      <c r="B24" s="39"/>
      <c r="C24" s="39"/>
      <c r="I24" s="15" t="s">
        <v>329</v>
      </c>
      <c r="J24" s="143">
        <f>C23/B23</f>
        <v>3818.181818181818</v>
      </c>
    </row>
    <row r="25" spans="1:10" x14ac:dyDescent="0.25">
      <c r="B25" s="39"/>
      <c r="C25" s="39"/>
    </row>
    <row r="26" spans="1:10" x14ac:dyDescent="0.25">
      <c r="A26" s="2" t="s">
        <v>119</v>
      </c>
    </row>
    <row r="27" spans="1:10" x14ac:dyDescent="0.25">
      <c r="B27" s="6" t="s">
        <v>95</v>
      </c>
      <c r="C27" s="6" t="s">
        <v>96</v>
      </c>
      <c r="D27" s="6" t="s">
        <v>121</v>
      </c>
      <c r="E27" s="6" t="s">
        <v>97</v>
      </c>
    </row>
    <row r="28" spans="1:10" x14ac:dyDescent="0.25">
      <c r="A28" s="15" t="s">
        <v>120</v>
      </c>
      <c r="B28" s="15">
        <f>12+12</f>
        <v>24</v>
      </c>
      <c r="C28" s="23">
        <f>4800+95900</f>
        <v>100700</v>
      </c>
      <c r="D28" s="23">
        <f>C28</f>
        <v>100700</v>
      </c>
      <c r="E28" s="23"/>
      <c r="F28" s="23"/>
      <c r="G28" s="23"/>
      <c r="H28" s="23"/>
    </row>
    <row r="29" spans="1:10" x14ac:dyDescent="0.25">
      <c r="A29" s="15" t="s">
        <v>98</v>
      </c>
      <c r="B29" s="39">
        <f>1</f>
        <v>1</v>
      </c>
      <c r="C29" s="23">
        <f>364300</f>
        <v>364300</v>
      </c>
      <c r="D29" s="23">
        <f>B29*40000</f>
        <v>40000</v>
      </c>
      <c r="E29" s="23">
        <f>C29-D29</f>
        <v>324300</v>
      </c>
      <c r="F29" s="23"/>
      <c r="G29" s="23"/>
      <c r="H29" s="23"/>
    </row>
    <row r="30" spans="1:10" x14ac:dyDescent="0.25">
      <c r="A30" s="15" t="s">
        <v>62</v>
      </c>
      <c r="B30" s="39">
        <f>SUM(B28:B29)</f>
        <v>25</v>
      </c>
      <c r="C30" s="23">
        <f>SUM(C28:C29)</f>
        <v>465000</v>
      </c>
      <c r="D30" s="23">
        <f>SUM(D28:D29)</f>
        <v>140700</v>
      </c>
      <c r="E30" s="23">
        <f>SUM(E29)</f>
        <v>324300</v>
      </c>
      <c r="F30" s="23"/>
      <c r="G30" s="23"/>
      <c r="H30" s="23"/>
    </row>
    <row r="31" spans="1:10" x14ac:dyDescent="0.25">
      <c r="B31" s="39"/>
      <c r="C31" s="39"/>
      <c r="I31" s="15" t="s">
        <v>329</v>
      </c>
      <c r="J31" s="143">
        <f>C30/B30</f>
        <v>18600</v>
      </c>
    </row>
    <row r="32" spans="1:10" x14ac:dyDescent="0.25">
      <c r="A32" s="2" t="s">
        <v>122</v>
      </c>
      <c r="B32" s="39"/>
      <c r="C32" s="39"/>
    </row>
    <row r="33" spans="1:10" x14ac:dyDescent="0.25">
      <c r="B33" s="40" t="s">
        <v>95</v>
      </c>
      <c r="C33" s="40" t="s">
        <v>96</v>
      </c>
      <c r="D33" s="6" t="s">
        <v>125</v>
      </c>
      <c r="E33" s="6" t="s">
        <v>126</v>
      </c>
    </row>
    <row r="34" spans="1:10" x14ac:dyDescent="0.25">
      <c r="A34" s="15" t="s">
        <v>123</v>
      </c>
      <c r="B34" s="39">
        <f>9+21</f>
        <v>30</v>
      </c>
      <c r="C34" s="39">
        <f>540500+255500</f>
        <v>796000</v>
      </c>
      <c r="D34" s="39">
        <f>C34</f>
        <v>796000</v>
      </c>
      <c r="E34" s="39"/>
    </row>
    <row r="35" spans="1:10" x14ac:dyDescent="0.25">
      <c r="A35" s="15" t="s">
        <v>124</v>
      </c>
      <c r="B35" s="39">
        <f>3+15</f>
        <v>18</v>
      </c>
      <c r="C35" s="39">
        <f>342500+4426800</f>
        <v>4769300</v>
      </c>
      <c r="D35" s="15">
        <v>0</v>
      </c>
      <c r="E35" s="39">
        <f>C35-D35</f>
        <v>4769300</v>
      </c>
    </row>
    <row r="36" spans="1:10" x14ac:dyDescent="0.25">
      <c r="A36" s="15" t="s">
        <v>62</v>
      </c>
      <c r="B36" s="39">
        <f>SUM(B34:B35)</f>
        <v>48</v>
      </c>
      <c r="C36" s="39">
        <f>SUM(C34:C35)</f>
        <v>5565300</v>
      </c>
      <c r="D36" s="15">
        <f>SUM(D34)</f>
        <v>796000</v>
      </c>
      <c r="E36" s="39">
        <f>SUM(E34:E35)</f>
        <v>4769300</v>
      </c>
    </row>
    <row r="37" spans="1:10" x14ac:dyDescent="0.25">
      <c r="B37" s="39"/>
      <c r="C37" s="39"/>
      <c r="I37" s="15" t="s">
        <v>329</v>
      </c>
      <c r="J37" s="143">
        <f>C36/B36</f>
        <v>115943.75</v>
      </c>
    </row>
    <row r="38" spans="1:10" x14ac:dyDescent="0.25">
      <c r="A38" s="2" t="s">
        <v>127</v>
      </c>
      <c r="B38" s="39"/>
      <c r="C38" s="39"/>
    </row>
    <row r="39" spans="1:10" x14ac:dyDescent="0.25">
      <c r="B39" s="40" t="s">
        <v>95</v>
      </c>
      <c r="C39" s="40" t="s">
        <v>96</v>
      </c>
      <c r="D39" s="6" t="s">
        <v>130</v>
      </c>
      <c r="E39" s="6" t="s">
        <v>131</v>
      </c>
    </row>
    <row r="40" spans="1:10" x14ac:dyDescent="0.25">
      <c r="A40" s="15" t="s">
        <v>128</v>
      </c>
      <c r="B40" s="39">
        <f>19+10</f>
        <v>29</v>
      </c>
      <c r="C40" s="23">
        <f>1376400+1728000</f>
        <v>3104400</v>
      </c>
      <c r="D40" s="23">
        <f>C40</f>
        <v>3104400</v>
      </c>
      <c r="E40" s="23"/>
      <c r="F40" s="23"/>
      <c r="G40" s="23"/>
      <c r="H40" s="23"/>
    </row>
    <row r="41" spans="1:10" x14ac:dyDescent="0.25">
      <c r="A41" s="15" t="s">
        <v>129</v>
      </c>
      <c r="B41" s="39">
        <f>17+2</f>
        <v>19</v>
      </c>
      <c r="C41" s="23">
        <f>22464700+474500</f>
        <v>22939200</v>
      </c>
      <c r="D41" s="23">
        <v>0</v>
      </c>
      <c r="E41" s="23">
        <f>C41-D41</f>
        <v>22939200</v>
      </c>
      <c r="F41" s="23"/>
      <c r="G41" s="23"/>
      <c r="H41" s="23"/>
    </row>
    <row r="42" spans="1:10" x14ac:dyDescent="0.25">
      <c r="A42" s="15" t="s">
        <v>62</v>
      </c>
      <c r="B42" s="39">
        <f>SUM(B40:B41)</f>
        <v>48</v>
      </c>
      <c r="C42" s="23">
        <f>SUM(C40:C41)</f>
        <v>26043600</v>
      </c>
      <c r="D42" s="23">
        <f>SUM(D40)</f>
        <v>3104400</v>
      </c>
      <c r="E42" s="23">
        <f>SUM(E40:E41)</f>
        <v>22939200</v>
      </c>
      <c r="F42" s="23"/>
      <c r="G42" s="23"/>
      <c r="H42" s="23"/>
    </row>
    <row r="43" spans="1:10" x14ac:dyDescent="0.25">
      <c r="B43" s="39"/>
      <c r="C43" s="39"/>
      <c r="I43" s="15" t="s">
        <v>329</v>
      </c>
      <c r="J43" s="143">
        <f>C42/B42</f>
        <v>542575</v>
      </c>
    </row>
    <row r="44" spans="1:10" x14ac:dyDescent="0.25">
      <c r="A44" s="15" t="s">
        <v>149</v>
      </c>
      <c r="B44" s="40" t="s">
        <v>95</v>
      </c>
      <c r="C44" s="40" t="s">
        <v>96</v>
      </c>
    </row>
    <row r="45" spans="1:10" x14ac:dyDescent="0.25">
      <c r="A45" s="2"/>
      <c r="B45" s="39">
        <f t="shared" ref="B45:H45" si="0">B8+B16+B23+B30+B36+B42</f>
        <v>57838</v>
      </c>
      <c r="C45" s="39">
        <f t="shared" si="0"/>
        <v>228736100</v>
      </c>
      <c r="D45" s="39">
        <f t="shared" si="0"/>
        <v>55707400</v>
      </c>
      <c r="E45" s="39">
        <f t="shared" si="0"/>
        <v>159309200</v>
      </c>
      <c r="F45" s="39">
        <f t="shared" si="0"/>
        <v>8560900</v>
      </c>
      <c r="G45" s="39">
        <f t="shared" si="0"/>
        <v>3170000</v>
      </c>
      <c r="H45" s="39">
        <f t="shared" si="0"/>
        <v>1988600</v>
      </c>
    </row>
    <row r="46" spans="1:10" x14ac:dyDescent="0.25">
      <c r="A46" s="2"/>
      <c r="B46" s="39"/>
      <c r="C46" s="39"/>
    </row>
    <row r="47" spans="1:10" x14ac:dyDescent="0.25">
      <c r="B47" s="44" t="s">
        <v>99</v>
      </c>
      <c r="C47" s="44"/>
      <c r="D47" s="44"/>
      <c r="E47" s="44"/>
      <c r="F47" s="44"/>
    </row>
    <row r="48" spans="1:10" x14ac:dyDescent="0.25">
      <c r="B48" s="34"/>
      <c r="C48" s="34"/>
      <c r="D48" s="34"/>
      <c r="E48" s="34"/>
      <c r="F48" s="34"/>
    </row>
    <row r="49" spans="1:6" x14ac:dyDescent="0.25">
      <c r="A49" s="34" t="s">
        <v>104</v>
      </c>
      <c r="B49" s="34" t="s">
        <v>95</v>
      </c>
      <c r="C49" s="34" t="s">
        <v>96</v>
      </c>
      <c r="D49" s="160" t="s">
        <v>100</v>
      </c>
      <c r="E49" s="160"/>
      <c r="F49" s="34" t="s">
        <v>101</v>
      </c>
    </row>
    <row r="50" spans="1:6" x14ac:dyDescent="0.25">
      <c r="A50" s="15" t="s">
        <v>112</v>
      </c>
      <c r="B50" s="23">
        <f>B8</f>
        <v>57549</v>
      </c>
      <c r="C50" s="23">
        <f>D8</f>
        <v>50967600</v>
      </c>
      <c r="D50" s="36">
        <v>18.25</v>
      </c>
      <c r="E50" s="15" t="s">
        <v>102</v>
      </c>
      <c r="F50" s="36">
        <f>B50*D50</f>
        <v>1050269.25</v>
      </c>
    </row>
    <row r="51" spans="1:6" x14ac:dyDescent="0.25">
      <c r="A51" s="15" t="s">
        <v>109</v>
      </c>
      <c r="B51" s="23"/>
      <c r="C51" s="23">
        <f>E8</f>
        <v>130988700</v>
      </c>
      <c r="D51" s="36">
        <v>9.4</v>
      </c>
      <c r="E51" s="15" t="s">
        <v>103</v>
      </c>
      <c r="F51" s="36">
        <f>(C51*D51)/1000</f>
        <v>1231293.78</v>
      </c>
    </row>
    <row r="52" spans="1:6" x14ac:dyDescent="0.25">
      <c r="A52" s="15" t="s">
        <v>110</v>
      </c>
      <c r="B52" s="23"/>
      <c r="C52" s="23">
        <f>F8</f>
        <v>8439400</v>
      </c>
      <c r="D52" s="36">
        <v>6.4</v>
      </c>
      <c r="E52" s="15" t="s">
        <v>103</v>
      </c>
      <c r="F52" s="36">
        <f>(C52*D52)/1000</f>
        <v>54012.160000000003</v>
      </c>
    </row>
    <row r="53" spans="1:6" x14ac:dyDescent="0.25">
      <c r="A53" s="15" t="s">
        <v>111</v>
      </c>
      <c r="B53" s="39"/>
      <c r="C53" s="23">
        <f>G8</f>
        <v>3082500</v>
      </c>
      <c r="D53" s="36">
        <v>5.95</v>
      </c>
      <c r="E53" s="15" t="s">
        <v>103</v>
      </c>
      <c r="F53" s="36">
        <f>C53*D53/1000</f>
        <v>18340.875</v>
      </c>
    </row>
    <row r="54" spans="1:6" x14ac:dyDescent="0.25">
      <c r="A54" s="15" t="s">
        <v>98</v>
      </c>
      <c r="C54" s="23">
        <f>H8</f>
        <v>1988600</v>
      </c>
      <c r="D54" s="36">
        <v>5.7</v>
      </c>
      <c r="E54" s="15" t="s">
        <v>103</v>
      </c>
      <c r="F54" s="36">
        <f>C54*D54/1000</f>
        <v>11335.02</v>
      </c>
    </row>
    <row r="55" spans="1:6" x14ac:dyDescent="0.25">
      <c r="A55" s="15" t="s">
        <v>62</v>
      </c>
      <c r="C55" s="23">
        <f>SUM(C50:C54)</f>
        <v>195466800</v>
      </c>
      <c r="F55" s="38">
        <f>SUM(F50:F54)</f>
        <v>2365251.0850000004</v>
      </c>
    </row>
    <row r="56" spans="1:6" x14ac:dyDescent="0.25">
      <c r="C56" s="39"/>
      <c r="F56" s="38"/>
    </row>
    <row r="57" spans="1:6" x14ac:dyDescent="0.25">
      <c r="A57" s="34" t="s">
        <v>113</v>
      </c>
      <c r="B57" s="34" t="s">
        <v>95</v>
      </c>
      <c r="C57" s="41" t="s">
        <v>96</v>
      </c>
      <c r="D57" s="34" t="s">
        <v>100</v>
      </c>
      <c r="E57" s="34"/>
      <c r="F57" s="42" t="s">
        <v>101</v>
      </c>
    </row>
    <row r="58" spans="1:6" x14ac:dyDescent="0.25">
      <c r="A58" s="15" t="s">
        <v>114</v>
      </c>
      <c r="B58" s="39">
        <f>B16</f>
        <v>157</v>
      </c>
      <c r="C58" s="23">
        <f>D16</f>
        <v>668700</v>
      </c>
      <c r="D58" s="36">
        <v>102.85</v>
      </c>
      <c r="E58" s="15" t="s">
        <v>102</v>
      </c>
      <c r="F58" s="38">
        <f>B58*D58</f>
        <v>16147.449999999999</v>
      </c>
    </row>
    <row r="59" spans="1:6" x14ac:dyDescent="0.25">
      <c r="A59" s="15" t="s">
        <v>110</v>
      </c>
      <c r="C59" s="23">
        <f>E16</f>
        <v>275700</v>
      </c>
      <c r="D59" s="36">
        <v>6.4</v>
      </c>
      <c r="E59" s="15" t="s">
        <v>103</v>
      </c>
      <c r="F59" s="38">
        <f>(C59*D59)/1000</f>
        <v>1764.48</v>
      </c>
    </row>
    <row r="60" spans="1:6" x14ac:dyDescent="0.25">
      <c r="A60" s="15" t="s">
        <v>111</v>
      </c>
      <c r="C60" s="23">
        <f>F16</f>
        <v>121500</v>
      </c>
      <c r="D60" s="36">
        <v>5.95</v>
      </c>
      <c r="E60" s="15" t="s">
        <v>103</v>
      </c>
      <c r="F60" s="38">
        <f>C60*D60/1000</f>
        <v>722.92499999999995</v>
      </c>
    </row>
    <row r="61" spans="1:6" x14ac:dyDescent="0.25">
      <c r="A61" s="15" t="s">
        <v>98</v>
      </c>
      <c r="C61" s="23">
        <f>G16</f>
        <v>87500</v>
      </c>
      <c r="D61" s="36">
        <v>5.7</v>
      </c>
      <c r="E61" s="15" t="s">
        <v>103</v>
      </c>
      <c r="F61" s="38">
        <f>C61*D61/1000</f>
        <v>498.75</v>
      </c>
    </row>
    <row r="62" spans="1:6" x14ac:dyDescent="0.25">
      <c r="A62" s="15" t="s">
        <v>62</v>
      </c>
      <c r="C62" s="23">
        <f>SUM(C58:C61)</f>
        <v>1153400</v>
      </c>
      <c r="F62" s="38">
        <f>SUM(F58:F61)</f>
        <v>19133.605</v>
      </c>
    </row>
    <row r="63" spans="1:6" x14ac:dyDescent="0.25">
      <c r="C63" s="39"/>
      <c r="F63" s="38"/>
    </row>
    <row r="64" spans="1:6" x14ac:dyDescent="0.25">
      <c r="A64" s="6" t="s">
        <v>116</v>
      </c>
      <c r="B64" s="6" t="s">
        <v>95</v>
      </c>
      <c r="C64" s="40" t="s">
        <v>96</v>
      </c>
      <c r="D64" s="6" t="s">
        <v>100</v>
      </c>
      <c r="E64" s="6"/>
      <c r="F64" s="43" t="s">
        <v>101</v>
      </c>
    </row>
    <row r="65" spans="1:6" x14ac:dyDescent="0.25">
      <c r="A65" s="15" t="s">
        <v>117</v>
      </c>
      <c r="B65" s="39">
        <f>B23</f>
        <v>11</v>
      </c>
      <c r="C65" s="23">
        <f>D23</f>
        <v>30000</v>
      </c>
      <c r="D65" s="36">
        <v>166.85</v>
      </c>
      <c r="E65" s="15" t="s">
        <v>102</v>
      </c>
      <c r="F65" s="38">
        <f>B65*D65</f>
        <v>1835.35</v>
      </c>
    </row>
    <row r="66" spans="1:6" x14ac:dyDescent="0.25">
      <c r="A66" s="15" t="s">
        <v>111</v>
      </c>
      <c r="C66" s="23">
        <f>E23</f>
        <v>12000</v>
      </c>
      <c r="D66" s="36">
        <v>5.95</v>
      </c>
      <c r="E66" s="15" t="s">
        <v>103</v>
      </c>
      <c r="F66" s="38">
        <f>C66*D66/1000</f>
        <v>71.400000000000006</v>
      </c>
    </row>
    <row r="67" spans="1:6" x14ac:dyDescent="0.25">
      <c r="A67" s="15" t="s">
        <v>98</v>
      </c>
      <c r="C67" s="23">
        <f>F23</f>
        <v>0</v>
      </c>
      <c r="D67" s="36">
        <v>5.7</v>
      </c>
      <c r="E67" s="15" t="s">
        <v>103</v>
      </c>
      <c r="F67" s="38">
        <f>C67*D67/1000</f>
        <v>0</v>
      </c>
    </row>
    <row r="68" spans="1:6" x14ac:dyDescent="0.25">
      <c r="A68" s="15" t="s">
        <v>62</v>
      </c>
      <c r="C68" s="23">
        <f>SUM(C65:C67)</f>
        <v>42000</v>
      </c>
      <c r="F68" s="38">
        <f>SUM(F65:F67)</f>
        <v>1906.75</v>
      </c>
    </row>
    <row r="70" spans="1:6" x14ac:dyDescent="0.25">
      <c r="A70" s="6" t="s">
        <v>119</v>
      </c>
      <c r="B70" s="6" t="s">
        <v>95</v>
      </c>
      <c r="C70" s="6" t="s">
        <v>96</v>
      </c>
      <c r="D70" s="6" t="s">
        <v>100</v>
      </c>
      <c r="E70" s="6"/>
      <c r="F70" s="6" t="s">
        <v>101</v>
      </c>
    </row>
    <row r="71" spans="1:6" x14ac:dyDescent="0.25">
      <c r="A71" s="15" t="s">
        <v>120</v>
      </c>
      <c r="B71" s="39">
        <f>B30</f>
        <v>25</v>
      </c>
      <c r="C71" s="23">
        <f>D30</f>
        <v>140700</v>
      </c>
      <c r="D71" s="36">
        <v>285.85000000000002</v>
      </c>
      <c r="E71" s="15" t="s">
        <v>102</v>
      </c>
      <c r="F71" s="36">
        <f>B30*D71</f>
        <v>7146.2500000000009</v>
      </c>
    </row>
    <row r="72" spans="1:6" x14ac:dyDescent="0.25">
      <c r="A72" s="15" t="s">
        <v>98</v>
      </c>
      <c r="C72" s="23">
        <f>E30</f>
        <v>324300</v>
      </c>
      <c r="D72" s="36">
        <v>5.7</v>
      </c>
      <c r="E72" s="15" t="s">
        <v>103</v>
      </c>
      <c r="F72" s="36">
        <f>(C72*D72)/1000</f>
        <v>1848.51</v>
      </c>
    </row>
    <row r="73" spans="1:6" x14ac:dyDescent="0.25">
      <c r="A73" s="15" t="s">
        <v>62</v>
      </c>
      <c r="C73" s="23">
        <f>SUM(C71:C72)</f>
        <v>465000</v>
      </c>
      <c r="F73" s="36">
        <f>SUM(F71:F72)</f>
        <v>8994.76</v>
      </c>
    </row>
    <row r="75" spans="1:6" x14ac:dyDescent="0.25">
      <c r="A75" s="6" t="s">
        <v>122</v>
      </c>
      <c r="B75" s="6" t="s">
        <v>95</v>
      </c>
      <c r="C75" s="6" t="s">
        <v>96</v>
      </c>
      <c r="D75" s="6" t="s">
        <v>100</v>
      </c>
      <c r="E75" s="6"/>
      <c r="F75" s="6" t="s">
        <v>101</v>
      </c>
    </row>
    <row r="76" spans="1:6" x14ac:dyDescent="0.25">
      <c r="A76" s="15" t="s">
        <v>123</v>
      </c>
      <c r="B76" s="39">
        <f>B36</f>
        <v>48</v>
      </c>
      <c r="C76" s="23">
        <f>D36</f>
        <v>796000</v>
      </c>
      <c r="D76" s="36">
        <v>627.85</v>
      </c>
      <c r="E76" s="15" t="s">
        <v>102</v>
      </c>
      <c r="F76" s="36">
        <f>B76*D76</f>
        <v>30136.800000000003</v>
      </c>
    </row>
    <row r="77" spans="1:6" x14ac:dyDescent="0.25">
      <c r="A77" s="15" t="s">
        <v>124</v>
      </c>
      <c r="C77" s="23">
        <f>E36</f>
        <v>4769300</v>
      </c>
      <c r="D77" s="36">
        <v>5.7</v>
      </c>
      <c r="E77" s="15" t="s">
        <v>103</v>
      </c>
      <c r="F77" s="36">
        <f>(C77*D77)/1000</f>
        <v>27185.01</v>
      </c>
    </row>
    <row r="78" spans="1:6" x14ac:dyDescent="0.25">
      <c r="A78" s="15" t="s">
        <v>62</v>
      </c>
      <c r="C78" s="23">
        <f>SUM(C76:C77)</f>
        <v>5565300</v>
      </c>
      <c r="F78" s="36">
        <f>SUM(F76:F77)</f>
        <v>57321.81</v>
      </c>
    </row>
    <row r="80" spans="1:6" x14ac:dyDescent="0.25">
      <c r="A80" s="34" t="s">
        <v>127</v>
      </c>
      <c r="B80" s="34" t="s">
        <v>95</v>
      </c>
      <c r="C80" s="34" t="s">
        <v>96</v>
      </c>
      <c r="D80" s="34" t="s">
        <v>100</v>
      </c>
      <c r="E80" s="34"/>
      <c r="F80" s="34" t="s">
        <v>101</v>
      </c>
    </row>
    <row r="81" spans="1:9" x14ac:dyDescent="0.25">
      <c r="A81" s="15" t="s">
        <v>128</v>
      </c>
      <c r="B81" s="39">
        <f>B42</f>
        <v>48</v>
      </c>
      <c r="C81" s="23">
        <f>D42</f>
        <v>3104400</v>
      </c>
      <c r="D81" s="36">
        <v>1197.8499999999999</v>
      </c>
      <c r="E81" s="15" t="s">
        <v>102</v>
      </c>
      <c r="F81" s="36">
        <f>B81*D81</f>
        <v>57496.799999999996</v>
      </c>
    </row>
    <row r="82" spans="1:9" x14ac:dyDescent="0.25">
      <c r="A82" s="15" t="s">
        <v>129</v>
      </c>
      <c r="C82" s="23">
        <f>E42</f>
        <v>22939200</v>
      </c>
      <c r="D82" s="36">
        <v>5.7</v>
      </c>
      <c r="E82" s="15" t="s">
        <v>103</v>
      </c>
      <c r="F82" s="36">
        <f>(C82*D82)/1000</f>
        <v>130753.44</v>
      </c>
    </row>
    <row r="83" spans="1:9" x14ac:dyDescent="0.25">
      <c r="A83" s="15" t="s">
        <v>62</v>
      </c>
      <c r="C83" s="23">
        <f>SUM(C81:C82)</f>
        <v>26043600</v>
      </c>
      <c r="F83" s="36">
        <f>SUM(F81:F82)</f>
        <v>188250.23999999999</v>
      </c>
    </row>
    <row r="85" spans="1:9" x14ac:dyDescent="0.25">
      <c r="A85" s="2" t="s">
        <v>149</v>
      </c>
      <c r="B85" s="39">
        <f>B45</f>
        <v>57838</v>
      </c>
      <c r="C85" s="39">
        <f>C45</f>
        <v>228736100</v>
      </c>
      <c r="D85" s="36"/>
      <c r="F85" s="36"/>
    </row>
    <row r="86" spans="1:9" x14ac:dyDescent="0.25">
      <c r="C86" s="39"/>
      <c r="D86" s="36"/>
      <c r="F86" s="36"/>
    </row>
    <row r="87" spans="1:9" x14ac:dyDescent="0.25">
      <c r="E87" s="15" t="s">
        <v>132</v>
      </c>
      <c r="F87" s="38">
        <f>F55+F62+F68+F73+F78+F83</f>
        <v>2640858.25</v>
      </c>
      <c r="G87" s="14">
        <f>'Schedule Of Adjusted Operations'!B8</f>
        <v>2637371</v>
      </c>
      <c r="H87" s="38">
        <f>F87-G87</f>
        <v>3487.25</v>
      </c>
      <c r="I87" s="15" t="s">
        <v>165</v>
      </c>
    </row>
    <row r="89" spans="1:9" x14ac:dyDescent="0.25">
      <c r="A89" s="152" t="s">
        <v>133</v>
      </c>
      <c r="B89" s="152"/>
      <c r="C89" s="152"/>
      <c r="D89" s="152"/>
      <c r="E89" s="152"/>
      <c r="F89" s="152"/>
    </row>
    <row r="90" spans="1:9" x14ac:dyDescent="0.25">
      <c r="A90" s="34" t="s">
        <v>104</v>
      </c>
      <c r="B90" s="34" t="s">
        <v>95</v>
      </c>
      <c r="C90" s="34" t="s">
        <v>96</v>
      </c>
      <c r="D90" s="34" t="s">
        <v>100</v>
      </c>
      <c r="E90" s="34"/>
      <c r="F90" s="34" t="s">
        <v>101</v>
      </c>
    </row>
    <row r="91" spans="1:9" x14ac:dyDescent="0.25">
      <c r="A91" s="15" t="s">
        <v>112</v>
      </c>
      <c r="B91" s="39">
        <f>B8</f>
        <v>57549</v>
      </c>
      <c r="C91" s="23">
        <f>D8</f>
        <v>50967600</v>
      </c>
      <c r="D91" s="36">
        <f>(1+('RevReq Calculation'!B14*0.01))*18.25</f>
        <v>19.451456483586622</v>
      </c>
      <c r="E91" s="15" t="s">
        <v>102</v>
      </c>
      <c r="F91" s="36">
        <f>B91*D91</f>
        <v>1119411.8691739265</v>
      </c>
    </row>
    <row r="92" spans="1:9" x14ac:dyDescent="0.25">
      <c r="A92" s="15" t="s">
        <v>109</v>
      </c>
      <c r="C92" s="23">
        <f>E8</f>
        <v>130988700</v>
      </c>
      <c r="D92" s="36">
        <f>(1+('RevReq Calculation'!B14*0.01))*9.4</f>
        <v>10.018832380587082</v>
      </c>
      <c r="E92" s="15" t="s">
        <v>103</v>
      </c>
      <c r="F92" s="36">
        <f>(C92*D92)/1000</f>
        <v>1312353.8290510071</v>
      </c>
    </row>
    <row r="93" spans="1:9" x14ac:dyDescent="0.25">
      <c r="A93" s="15" t="s">
        <v>110</v>
      </c>
      <c r="C93" s="23">
        <f>F8</f>
        <v>8439400</v>
      </c>
      <c r="D93" s="36">
        <f>(1+('RevReq Calculation'!B14*0.01))*6.4</f>
        <v>6.8213326846550348</v>
      </c>
      <c r="E93" s="15" t="s">
        <v>103</v>
      </c>
      <c r="F93" s="36">
        <f>(C93*D93)/1000</f>
        <v>57567.955058877698</v>
      </c>
    </row>
    <row r="94" spans="1:9" x14ac:dyDescent="0.25">
      <c r="A94" s="15" t="s">
        <v>111</v>
      </c>
      <c r="C94" s="23">
        <f>G8</f>
        <v>3082500</v>
      </c>
      <c r="D94" s="36">
        <f>(1+('RevReq Calculation'!B14*0.01))*5.95</f>
        <v>6.3417077302652274</v>
      </c>
      <c r="E94" s="15" t="s">
        <v>103</v>
      </c>
      <c r="F94" s="36">
        <f>C94*D94/1000</f>
        <v>19548.314078542564</v>
      </c>
    </row>
    <row r="95" spans="1:9" x14ac:dyDescent="0.25">
      <c r="A95" s="15" t="s">
        <v>98</v>
      </c>
      <c r="C95" s="23">
        <f>H8</f>
        <v>1988600</v>
      </c>
      <c r="D95" s="36">
        <f>(1+('RevReq Calculation'!B14*0.01))*5.7</f>
        <v>6.0752494222708906</v>
      </c>
      <c r="E95" s="15" t="s">
        <v>103</v>
      </c>
      <c r="F95" s="36">
        <f>C95*D95/1000</f>
        <v>12081.241001127893</v>
      </c>
    </row>
    <row r="96" spans="1:9" x14ac:dyDescent="0.25">
      <c r="A96" s="15" t="s">
        <v>62</v>
      </c>
      <c r="C96" s="23">
        <f>SUM(C91:C95)</f>
        <v>195466800</v>
      </c>
      <c r="F96" s="36">
        <f>SUM(F91:F95)</f>
        <v>2520963.2083634818</v>
      </c>
    </row>
    <row r="98" spans="1:6" x14ac:dyDescent="0.25">
      <c r="A98" s="6" t="s">
        <v>113</v>
      </c>
      <c r="B98" s="6" t="s">
        <v>95</v>
      </c>
      <c r="C98" s="6" t="s">
        <v>96</v>
      </c>
      <c r="D98" s="6" t="s">
        <v>100</v>
      </c>
      <c r="E98" s="6"/>
      <c r="F98" s="6" t="s">
        <v>101</v>
      </c>
    </row>
    <row r="99" spans="1:6" x14ac:dyDescent="0.25">
      <c r="A99" s="15" t="s">
        <v>114</v>
      </c>
      <c r="B99" s="39">
        <f>B16</f>
        <v>157</v>
      </c>
      <c r="C99" s="23">
        <f>D16</f>
        <v>668700</v>
      </c>
      <c r="D99" s="36">
        <f>(1+('RevReq Calculation'!B14*0.01))*102.85</f>
        <v>109.62094790887035</v>
      </c>
      <c r="E99" s="15" t="s">
        <v>102</v>
      </c>
      <c r="F99" s="36">
        <f>B99*D99</f>
        <v>17210.488821692645</v>
      </c>
    </row>
    <row r="100" spans="1:6" x14ac:dyDescent="0.25">
      <c r="A100" s="15" t="s">
        <v>110</v>
      </c>
      <c r="C100" s="23">
        <f>E16</f>
        <v>275700</v>
      </c>
      <c r="D100" s="36">
        <f>(1+('RevReq Calculation'!B14*0.01))*6.4</f>
        <v>6.8213326846550348</v>
      </c>
      <c r="E100" s="15" t="s">
        <v>103</v>
      </c>
      <c r="F100" s="36">
        <f>(C100*D100)/1000</f>
        <v>1880.6414211593931</v>
      </c>
    </row>
    <row r="101" spans="1:6" x14ac:dyDescent="0.25">
      <c r="A101" s="15" t="s">
        <v>111</v>
      </c>
      <c r="C101" s="23">
        <f>F16</f>
        <v>121500</v>
      </c>
      <c r="D101" s="36">
        <f>(1+('RevReq Calculation'!B14*0.01))*5.95</f>
        <v>6.3417077302652274</v>
      </c>
      <c r="E101" s="15" t="s">
        <v>103</v>
      </c>
      <c r="F101" s="36">
        <f>C101*D101/1000</f>
        <v>770.51748922722504</v>
      </c>
    </row>
    <row r="102" spans="1:6" x14ac:dyDescent="0.25">
      <c r="A102" s="15" t="s">
        <v>98</v>
      </c>
      <c r="C102" s="23">
        <f>G16</f>
        <v>87500</v>
      </c>
      <c r="D102" s="36">
        <f>(1+('RevReq Calculation'!B14*0.01))*5.7</f>
        <v>6.0752494222708906</v>
      </c>
      <c r="E102" s="15" t="s">
        <v>103</v>
      </c>
      <c r="F102" s="36">
        <f>C102*D102/1000</f>
        <v>531.584324448703</v>
      </c>
    </row>
    <row r="103" spans="1:6" x14ac:dyDescent="0.25">
      <c r="A103" s="15" t="s">
        <v>62</v>
      </c>
      <c r="C103" s="23">
        <f>SUM(C99:C102)</f>
        <v>1153400</v>
      </c>
      <c r="F103" s="36">
        <f>SUM(F99:F102)</f>
        <v>20393.23205652797</v>
      </c>
    </row>
    <row r="105" spans="1:6" x14ac:dyDescent="0.25">
      <c r="A105" s="6" t="s">
        <v>116</v>
      </c>
      <c r="B105" s="6" t="s">
        <v>95</v>
      </c>
      <c r="C105" s="6" t="s">
        <v>96</v>
      </c>
      <c r="D105" s="6" t="s">
        <v>100</v>
      </c>
      <c r="E105" s="6"/>
      <c r="F105" s="6" t="s">
        <v>101</v>
      </c>
    </row>
    <row r="106" spans="1:6" x14ac:dyDescent="0.25">
      <c r="A106" s="15" t="s">
        <v>117</v>
      </c>
      <c r="B106" s="39">
        <f>B23</f>
        <v>11</v>
      </c>
      <c r="C106" s="23">
        <f>D23</f>
        <v>30000</v>
      </c>
      <c r="D106" s="36">
        <f>(1+('RevReq Calculation'!B14*0.01))*166.85</f>
        <v>177.83427475542069</v>
      </c>
      <c r="E106" s="15" t="s">
        <v>102</v>
      </c>
      <c r="F106" s="36">
        <f>B106*D106</f>
        <v>1956.1770223096275</v>
      </c>
    </row>
    <row r="107" spans="1:6" x14ac:dyDescent="0.25">
      <c r="A107" s="15" t="s">
        <v>111</v>
      </c>
      <c r="C107" s="23">
        <f>E23</f>
        <v>12000</v>
      </c>
      <c r="D107" s="36">
        <f>(1+('RevReq Calculation'!B14*0.01))*5.95</f>
        <v>6.3417077302652274</v>
      </c>
      <c r="E107" s="15" t="s">
        <v>103</v>
      </c>
      <c r="F107" s="36">
        <f>C107*D107/1000</f>
        <v>76.100492763182729</v>
      </c>
    </row>
    <row r="108" spans="1:6" x14ac:dyDescent="0.25">
      <c r="A108" s="15" t="s">
        <v>98</v>
      </c>
      <c r="C108" s="23">
        <f>F23</f>
        <v>0</v>
      </c>
      <c r="D108" s="36">
        <f>(1+('RevReq Calculation'!B14*0.01))*5.7</f>
        <v>6.0752494222708906</v>
      </c>
      <c r="E108" s="15" t="s">
        <v>103</v>
      </c>
      <c r="F108" s="36">
        <f>C108*D108/1000</f>
        <v>0</v>
      </c>
    </row>
    <row r="109" spans="1:6" x14ac:dyDescent="0.25">
      <c r="A109" s="15" t="s">
        <v>62</v>
      </c>
      <c r="C109" s="23">
        <f>SUM(C106:C108)</f>
        <v>42000</v>
      </c>
      <c r="F109" s="36">
        <f>SUM(F106:F108)</f>
        <v>2032.2775150728103</v>
      </c>
    </row>
    <row r="111" spans="1:6" x14ac:dyDescent="0.25">
      <c r="A111" s="6" t="s">
        <v>119</v>
      </c>
      <c r="B111" s="6" t="s">
        <v>95</v>
      </c>
      <c r="C111" s="6" t="s">
        <v>96</v>
      </c>
      <c r="D111" s="6" t="s">
        <v>100</v>
      </c>
      <c r="E111" s="6"/>
      <c r="F111" s="6" t="s">
        <v>101</v>
      </c>
    </row>
    <row r="112" spans="1:6" x14ac:dyDescent="0.25">
      <c r="A112" s="15" t="s">
        <v>120</v>
      </c>
      <c r="B112" s="39">
        <f>B30</f>
        <v>25</v>
      </c>
      <c r="C112" s="23">
        <f>D30</f>
        <v>140700</v>
      </c>
      <c r="D112" s="36">
        <f>(1+('RevReq Calculation'!B14*0.01))*285.85</f>
        <v>304.66842936072527</v>
      </c>
      <c r="E112" s="15" t="s">
        <v>102</v>
      </c>
      <c r="F112" s="36">
        <f>B71*D112</f>
        <v>7616.7107340181319</v>
      </c>
    </row>
    <row r="113" spans="1:10" x14ac:dyDescent="0.25">
      <c r="A113" s="15" t="s">
        <v>98</v>
      </c>
      <c r="C113" s="23">
        <f>E30</f>
        <v>324300</v>
      </c>
      <c r="D113" s="36">
        <f>(1+('RevReq Calculation'!B14*0.01))*5.7</f>
        <v>6.0752494222708906</v>
      </c>
      <c r="E113" s="15" t="s">
        <v>103</v>
      </c>
      <c r="F113" s="36">
        <f>(C113*D113)/1000</f>
        <v>1970.20338764245</v>
      </c>
    </row>
    <row r="114" spans="1:10" x14ac:dyDescent="0.25">
      <c r="A114" s="15" t="s">
        <v>62</v>
      </c>
      <c r="C114" s="23">
        <f>SUM(C112:C113)</f>
        <v>465000</v>
      </c>
      <c r="F114" s="36">
        <f>SUM(F112:F113)</f>
        <v>9586.9141216605822</v>
      </c>
    </row>
    <row r="116" spans="1:10" x14ac:dyDescent="0.25">
      <c r="A116" s="6" t="s">
        <v>122</v>
      </c>
      <c r="B116" s="6" t="s">
        <v>95</v>
      </c>
      <c r="C116" s="6" t="s">
        <v>96</v>
      </c>
      <c r="D116" s="6" t="s">
        <v>100</v>
      </c>
      <c r="E116" s="6"/>
      <c r="F116" s="6" t="s">
        <v>101</v>
      </c>
    </row>
    <row r="117" spans="1:10" x14ac:dyDescent="0.25">
      <c r="A117" s="15" t="s">
        <v>123</v>
      </c>
      <c r="B117" s="39">
        <f>B36</f>
        <v>48</v>
      </c>
      <c r="C117" s="23">
        <f>D36</f>
        <v>796000</v>
      </c>
      <c r="D117" s="36">
        <f>(1+('RevReq Calculation'!B14*0.01))*627.85</f>
        <v>669.18339469697867</v>
      </c>
      <c r="E117" s="15" t="s">
        <v>102</v>
      </c>
      <c r="F117" s="36">
        <f>B117*D117</f>
        <v>32120.802945454976</v>
      </c>
    </row>
    <row r="118" spans="1:10" x14ac:dyDescent="0.25">
      <c r="A118" s="15" t="s">
        <v>124</v>
      </c>
      <c r="C118" s="23">
        <f>E36</f>
        <v>4769300</v>
      </c>
      <c r="D118" s="36">
        <f>(1+('RevReq Calculation'!B14*0.01))*5.7</f>
        <v>6.0752494222708906</v>
      </c>
      <c r="E118" s="15" t="s">
        <v>103</v>
      </c>
      <c r="F118" s="36">
        <f>(C118*D118)/1000</f>
        <v>28974.687069636559</v>
      </c>
    </row>
    <row r="119" spans="1:10" x14ac:dyDescent="0.25">
      <c r="A119" s="15" t="s">
        <v>62</v>
      </c>
      <c r="C119" s="23">
        <f>SUM(C117:C118)</f>
        <v>5565300</v>
      </c>
      <c r="F119" s="36">
        <f>SUM(F117:F118)</f>
        <v>61095.490015091535</v>
      </c>
    </row>
    <row r="121" spans="1:10" x14ac:dyDescent="0.25">
      <c r="A121" s="6" t="s">
        <v>127</v>
      </c>
      <c r="B121" s="6" t="s">
        <v>95</v>
      </c>
      <c r="C121" s="6" t="s">
        <v>96</v>
      </c>
      <c r="D121" s="6" t="s">
        <v>100</v>
      </c>
      <c r="E121" s="6"/>
      <c r="F121" s="6" t="s">
        <v>101</v>
      </c>
    </row>
    <row r="122" spans="1:10" x14ac:dyDescent="0.25">
      <c r="A122" s="15" t="s">
        <v>128</v>
      </c>
      <c r="B122" s="39">
        <f>B42</f>
        <v>48</v>
      </c>
      <c r="C122" s="23">
        <f>D42</f>
        <v>3104400</v>
      </c>
      <c r="D122" s="36">
        <f>(1+('RevReq Calculation'!B14*0.01))*1197.85</f>
        <v>1276.7083369240677</v>
      </c>
      <c r="E122" s="15" t="s">
        <v>102</v>
      </c>
      <c r="F122" s="36">
        <f>B122*D122</f>
        <v>61282.000172355249</v>
      </c>
    </row>
    <row r="123" spans="1:10" x14ac:dyDescent="0.25">
      <c r="A123" s="15" t="s">
        <v>129</v>
      </c>
      <c r="C123" s="23">
        <f>E42</f>
        <v>22939200</v>
      </c>
      <c r="D123" s="36">
        <f>(1+('RevReq Calculation'!B14*0.01))*5.7</f>
        <v>6.0752494222708906</v>
      </c>
      <c r="E123" s="15" t="s">
        <v>103</v>
      </c>
      <c r="F123" s="36">
        <f>(C123*D123)/1000</f>
        <v>139361.36154735641</v>
      </c>
    </row>
    <row r="124" spans="1:10" x14ac:dyDescent="0.25">
      <c r="A124" s="15" t="s">
        <v>62</v>
      </c>
      <c r="C124" s="23">
        <f>SUM(C122:C123)</f>
        <v>26043600</v>
      </c>
      <c r="F124" s="36">
        <f>SUM(F122:F123)</f>
        <v>200643.36171971165</v>
      </c>
    </row>
    <row r="126" spans="1:10" x14ac:dyDescent="0.25">
      <c r="A126" s="2" t="s">
        <v>149</v>
      </c>
      <c r="C126" s="39">
        <f>C45</f>
        <v>228736100</v>
      </c>
      <c r="D126" s="36"/>
      <c r="F126" s="36"/>
    </row>
    <row r="128" spans="1:10" s="56" customFormat="1" x14ac:dyDescent="0.25">
      <c r="A128" s="55" t="s">
        <v>152</v>
      </c>
      <c r="F128" s="57" t="e">
        <f>#REF!</f>
        <v>#REF!</v>
      </c>
      <c r="J128" s="144"/>
    </row>
    <row r="130" spans="5:6" x14ac:dyDescent="0.25">
      <c r="E130" s="2" t="s">
        <v>132</v>
      </c>
      <c r="F130" s="54" t="e">
        <f>F96+F103+F109+F114+F119+F124+F128</f>
        <v>#REF!</v>
      </c>
    </row>
  </sheetData>
  <mergeCells count="2">
    <mergeCell ref="A89:F89"/>
    <mergeCell ref="D49:E49"/>
  </mergeCells>
  <pageMargins left="0.7" right="0.7" top="0.75" bottom="0.75" header="0.3" footer="0.3"/>
  <pageSetup scale="35" orientation="portrait" horizontalDpi="4294967293" verticalDpi="4294967293"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84FEE-7DFF-4064-A532-8C33E624A846}">
  <dimension ref="A1:E12"/>
  <sheetViews>
    <sheetView workbookViewId="0">
      <selection activeCell="A17" sqref="A17"/>
    </sheetView>
  </sheetViews>
  <sheetFormatPr defaultRowHeight="15" x14ac:dyDescent="0.25"/>
  <cols>
    <col min="1" max="1" width="27.28515625" bestFit="1" customWidth="1"/>
    <col min="2" max="2" width="11.5703125" bestFit="1" customWidth="1"/>
  </cols>
  <sheetData>
    <row r="1" spans="1:5" s="15" customFormat="1" x14ac:dyDescent="0.25">
      <c r="A1" s="15" t="s">
        <v>149</v>
      </c>
    </row>
    <row r="2" spans="1:5" x14ac:dyDescent="0.25">
      <c r="A2" s="15" t="s">
        <v>179</v>
      </c>
      <c r="B2" s="15"/>
      <c r="C2" s="15"/>
      <c r="D2" s="15"/>
      <c r="E2" s="15"/>
    </row>
    <row r="3" spans="1:5" x14ac:dyDescent="0.25">
      <c r="A3" s="15" t="s">
        <v>181</v>
      </c>
      <c r="B3" s="15" t="s">
        <v>180</v>
      </c>
      <c r="C3" s="15"/>
      <c r="D3" s="15"/>
      <c r="E3" s="15"/>
    </row>
    <row r="4" spans="1:5" x14ac:dyDescent="0.25">
      <c r="A4" s="15"/>
      <c r="B4" s="20"/>
      <c r="C4" s="15"/>
      <c r="D4" s="15"/>
      <c r="E4" s="15"/>
    </row>
    <row r="5" spans="1:5" s="15" customFormat="1" x14ac:dyDescent="0.25">
      <c r="A5" s="73">
        <v>2017</v>
      </c>
      <c r="B5" s="20">
        <v>57812.26</v>
      </c>
    </row>
    <row r="6" spans="1:5" s="15" customFormat="1" x14ac:dyDescent="0.25">
      <c r="A6" s="73">
        <v>2018</v>
      </c>
      <c r="B6" s="20">
        <v>59930.55</v>
      </c>
    </row>
    <row r="7" spans="1:5" x14ac:dyDescent="0.25">
      <c r="A7" s="73">
        <v>2019</v>
      </c>
      <c r="B7" s="20">
        <v>55218.97</v>
      </c>
      <c r="C7" s="15"/>
      <c r="D7" s="15"/>
      <c r="E7" s="15"/>
    </row>
    <row r="8" spans="1:5" x14ac:dyDescent="0.25">
      <c r="A8" s="15"/>
      <c r="B8" s="20"/>
      <c r="C8" s="15"/>
      <c r="D8" s="15"/>
      <c r="E8" s="15"/>
    </row>
    <row r="9" spans="1:5" ht="15.75" thickBot="1" x14ac:dyDescent="0.3">
      <c r="A9" s="15" t="s">
        <v>62</v>
      </c>
      <c r="B9" s="58">
        <f>SUM(B5:B8)</f>
        <v>172961.78</v>
      </c>
      <c r="C9" s="15"/>
      <c r="D9" s="15"/>
      <c r="E9" s="15"/>
    </row>
    <row r="10" spans="1:5" x14ac:dyDescent="0.25">
      <c r="A10" s="15"/>
      <c r="B10" s="15"/>
      <c r="C10" s="15"/>
      <c r="D10" s="15"/>
      <c r="E10" s="15"/>
    </row>
    <row r="11" spans="1:5" ht="15.75" thickBot="1" x14ac:dyDescent="0.3">
      <c r="A11" s="15" t="s">
        <v>178</v>
      </c>
      <c r="B11" s="76">
        <f>B9/3</f>
        <v>57653.926666666666</v>
      </c>
      <c r="C11" s="15"/>
      <c r="D11" s="15"/>
      <c r="E11" s="15"/>
    </row>
    <row r="12" spans="1:5" ht="15.75" thickTop="1" x14ac:dyDescent="0.2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214C-0D5F-4F08-84CF-142DACCB0424}">
  <sheetPr>
    <pageSetUpPr fitToPage="1"/>
  </sheetPr>
  <dimension ref="A1:AH37"/>
  <sheetViews>
    <sheetView workbookViewId="0">
      <selection activeCell="A20" sqref="A20"/>
    </sheetView>
  </sheetViews>
  <sheetFormatPr defaultRowHeight="15" x14ac:dyDescent="0.25"/>
  <cols>
    <col min="1" max="1" width="16" style="49" customWidth="1"/>
    <col min="2" max="2" width="52.5703125" style="49" bestFit="1" customWidth="1"/>
    <col min="3" max="3" width="7.140625" style="49" bestFit="1" customWidth="1"/>
    <col min="4" max="4" width="15" style="49" bestFit="1" customWidth="1"/>
    <col min="5" max="5" width="7.85546875" style="49" bestFit="1" customWidth="1"/>
    <col min="6" max="6" width="20.85546875" style="91" bestFit="1" customWidth="1"/>
    <col min="7" max="7" width="1.7109375" style="49" customWidth="1"/>
    <col min="8" max="8" width="15.7109375" style="64" bestFit="1" customWidth="1"/>
    <col min="9" max="9" width="1.7109375" style="64" customWidth="1"/>
    <col min="10" max="10" width="15.5703125" style="64" customWidth="1"/>
    <col min="11" max="11" width="1.7109375" style="49" customWidth="1"/>
    <col min="12" max="12" width="19.28515625" style="49" bestFit="1" customWidth="1"/>
    <col min="13" max="13" width="1.7109375" style="49" customWidth="1"/>
    <col min="14" max="14" width="19.28515625" style="49" bestFit="1" customWidth="1"/>
    <col min="15" max="15" width="1.7109375" style="49" customWidth="1"/>
    <col min="16" max="16" width="17.7109375" style="49" bestFit="1" customWidth="1"/>
    <col min="17" max="17" width="1.7109375" style="49" customWidth="1"/>
    <col min="18" max="18" width="14.28515625" style="49" bestFit="1" customWidth="1"/>
    <col min="19" max="19" width="2.7109375" style="49" customWidth="1"/>
    <col min="20" max="20" width="15.42578125" style="49" bestFit="1" customWidth="1"/>
    <col min="21" max="21" width="1.7109375" style="49" customWidth="1"/>
    <col min="22" max="22" width="16.42578125" style="49" bestFit="1" customWidth="1"/>
    <col min="23" max="23" width="1.7109375" style="49" customWidth="1"/>
    <col min="24" max="24" width="14.28515625" style="49" bestFit="1" customWidth="1"/>
    <col min="25" max="25" width="2.7109375" style="49" customWidth="1"/>
    <col min="26" max="26" width="15.42578125" style="49" bestFit="1" customWidth="1"/>
    <col min="27" max="27" width="1.7109375" style="49" customWidth="1"/>
    <col min="28" max="28" width="16.42578125" style="49" bestFit="1" customWidth="1"/>
    <col min="29" max="29" width="1.7109375" style="49" customWidth="1"/>
    <col min="30" max="30" width="14.28515625" style="49" bestFit="1" customWidth="1"/>
    <col min="31" max="31" width="1.7109375" style="49" customWidth="1"/>
    <col min="32" max="32" width="11.5703125" style="49" bestFit="1" customWidth="1"/>
    <col min="33" max="34" width="10.5703125" style="49" bestFit="1" customWidth="1"/>
    <col min="35" max="16384" width="9.140625" style="49"/>
  </cols>
  <sheetData>
    <row r="1" spans="1:34" s="84" customFormat="1" x14ac:dyDescent="0.25">
      <c r="A1" s="84" t="s">
        <v>149</v>
      </c>
      <c r="F1" s="85"/>
      <c r="H1" s="86"/>
      <c r="I1" s="86"/>
      <c r="J1" s="86"/>
      <c r="N1" s="84" t="s">
        <v>187</v>
      </c>
    </row>
    <row r="2" spans="1:34" s="84" customFormat="1" x14ac:dyDescent="0.25">
      <c r="A2" s="84" t="s">
        <v>188</v>
      </c>
      <c r="F2" s="85"/>
      <c r="H2" s="86"/>
      <c r="I2" s="86"/>
      <c r="J2" s="86"/>
      <c r="N2" s="84" t="s">
        <v>189</v>
      </c>
    </row>
    <row r="3" spans="1:34" s="84" customFormat="1" x14ac:dyDescent="0.25">
      <c r="A3" s="84" t="s">
        <v>190</v>
      </c>
      <c r="F3" s="85"/>
      <c r="H3" s="86"/>
      <c r="I3" s="86"/>
      <c r="J3" s="86"/>
      <c r="L3" s="84" t="s">
        <v>191</v>
      </c>
      <c r="N3" s="84" t="s">
        <v>191</v>
      </c>
    </row>
    <row r="4" spans="1:34" s="87" customFormat="1" x14ac:dyDescent="0.25">
      <c r="F4" s="88"/>
      <c r="H4" s="87" t="s">
        <v>192</v>
      </c>
      <c r="J4" s="87" t="s">
        <v>193</v>
      </c>
      <c r="L4" s="87" t="s">
        <v>194</v>
      </c>
      <c r="N4" s="87" t="s">
        <v>194</v>
      </c>
      <c r="P4" s="87" t="s">
        <v>62</v>
      </c>
    </row>
    <row r="5" spans="1:34" s="87" customFormat="1" x14ac:dyDescent="0.25">
      <c r="A5" s="87" t="s">
        <v>195</v>
      </c>
      <c r="B5" s="87" t="s">
        <v>196</v>
      </c>
      <c r="C5" s="87" t="s">
        <v>197</v>
      </c>
      <c r="D5" s="87" t="s">
        <v>198</v>
      </c>
      <c r="E5" s="87" t="s">
        <v>151</v>
      </c>
      <c r="F5" s="89" t="s">
        <v>199</v>
      </c>
      <c r="H5" s="90" t="s">
        <v>200</v>
      </c>
      <c r="I5" s="90"/>
      <c r="J5" s="90" t="s">
        <v>201</v>
      </c>
      <c r="L5" s="87" t="s">
        <v>202</v>
      </c>
      <c r="N5" s="90" t="s">
        <v>203</v>
      </c>
      <c r="P5" s="90" t="s">
        <v>204</v>
      </c>
      <c r="T5" s="90"/>
      <c r="V5" s="90"/>
      <c r="Z5" s="90"/>
      <c r="AB5" s="90"/>
    </row>
    <row r="6" spans="1:34" x14ac:dyDescent="0.25">
      <c r="P6" s="92"/>
    </row>
    <row r="7" spans="1:34" x14ac:dyDescent="0.25">
      <c r="A7" s="49" t="s">
        <v>205</v>
      </c>
      <c r="B7" s="49" t="s">
        <v>206</v>
      </c>
      <c r="C7" s="49">
        <v>215</v>
      </c>
      <c r="D7" s="49" t="s">
        <v>207</v>
      </c>
      <c r="E7" s="92">
        <v>12</v>
      </c>
      <c r="F7" s="91">
        <v>27202</v>
      </c>
      <c r="H7" s="64">
        <v>3611.45</v>
      </c>
      <c r="J7" s="91">
        <f>F7</f>
        <v>27202</v>
      </c>
      <c r="L7" s="92">
        <f>J7*0.01</f>
        <v>272.02</v>
      </c>
      <c r="N7" s="91">
        <f t="shared" ref="N7:N30" si="0">(25-22.5)*12</f>
        <v>30</v>
      </c>
      <c r="O7" s="93"/>
      <c r="P7" s="91">
        <f t="shared" ref="P7:P30" si="1">L7+N7</f>
        <v>302.02</v>
      </c>
      <c r="Q7" s="93"/>
      <c r="R7" s="93"/>
      <c r="S7" s="64"/>
      <c r="T7" s="93"/>
      <c r="U7" s="93"/>
      <c r="V7" s="93"/>
      <c r="W7" s="93"/>
      <c r="X7" s="93"/>
      <c r="Z7" s="93"/>
      <c r="AA7" s="93"/>
      <c r="AB7" s="93"/>
      <c r="AC7" s="93"/>
      <c r="AD7" s="93"/>
      <c r="AF7" s="93"/>
      <c r="AG7" s="93"/>
      <c r="AH7" s="93"/>
    </row>
    <row r="8" spans="1:34" x14ac:dyDescent="0.25">
      <c r="A8" s="49" t="s">
        <v>208</v>
      </c>
      <c r="B8" s="49" t="s">
        <v>209</v>
      </c>
      <c r="C8" s="49">
        <v>211</v>
      </c>
      <c r="D8" s="49" t="s">
        <v>207</v>
      </c>
      <c r="E8" s="92">
        <v>12</v>
      </c>
      <c r="F8" s="91">
        <v>124</v>
      </c>
      <c r="H8" s="64">
        <v>357.18</v>
      </c>
      <c r="J8" s="91">
        <f t="shared" ref="J8:J30" si="2">F8</f>
        <v>124</v>
      </c>
      <c r="L8" s="92">
        <f t="shared" ref="L8:L30" si="3">J8*0.01</f>
        <v>1.24</v>
      </c>
      <c r="N8" s="91">
        <f t="shared" si="0"/>
        <v>30</v>
      </c>
      <c r="O8" s="64"/>
      <c r="P8" s="91">
        <f t="shared" si="1"/>
        <v>31.24</v>
      </c>
      <c r="Q8" s="64"/>
      <c r="R8" s="64"/>
      <c r="S8" s="64"/>
      <c r="T8" s="64"/>
      <c r="U8" s="64"/>
      <c r="V8" s="64"/>
      <c r="W8" s="64"/>
      <c r="X8" s="64"/>
      <c r="Z8" s="64"/>
      <c r="AA8" s="64"/>
      <c r="AB8" s="64"/>
      <c r="AC8" s="64"/>
      <c r="AD8" s="64"/>
      <c r="AF8" s="93"/>
      <c r="AG8" s="93"/>
      <c r="AH8" s="93"/>
    </row>
    <row r="9" spans="1:34" x14ac:dyDescent="0.25">
      <c r="A9" s="49" t="s">
        <v>210</v>
      </c>
      <c r="B9" s="49" t="s">
        <v>211</v>
      </c>
      <c r="C9" s="49">
        <v>211</v>
      </c>
      <c r="D9" s="49" t="s">
        <v>207</v>
      </c>
      <c r="E9" s="92">
        <v>4</v>
      </c>
      <c r="F9" s="91">
        <v>3308</v>
      </c>
      <c r="H9" s="64">
        <v>524.28</v>
      </c>
      <c r="J9" s="91">
        <f>F9/14*12</f>
        <v>2835.4285714285716</v>
      </c>
      <c r="L9" s="92">
        <f t="shared" si="3"/>
        <v>28.354285714285716</v>
      </c>
      <c r="N9" s="91">
        <f t="shared" si="0"/>
        <v>30</v>
      </c>
      <c r="O9" s="64"/>
      <c r="P9" s="91">
        <f t="shared" si="1"/>
        <v>58.354285714285716</v>
      </c>
      <c r="Q9" s="64"/>
      <c r="R9" s="64"/>
      <c r="S9" s="64"/>
      <c r="T9" s="64"/>
      <c r="U9" s="64"/>
      <c r="V9" s="64"/>
      <c r="W9" s="64"/>
      <c r="X9" s="64"/>
      <c r="Z9" s="64"/>
      <c r="AA9" s="64"/>
      <c r="AB9" s="64"/>
      <c r="AC9" s="64"/>
      <c r="AD9" s="64"/>
      <c r="AF9" s="93"/>
      <c r="AG9" s="93"/>
      <c r="AH9" s="93"/>
    </row>
    <row r="10" spans="1:34" x14ac:dyDescent="0.25">
      <c r="A10" s="49" t="s">
        <v>212</v>
      </c>
      <c r="B10" s="49" t="s">
        <v>213</v>
      </c>
      <c r="C10" s="49">
        <v>211</v>
      </c>
      <c r="D10" s="49" t="s">
        <v>207</v>
      </c>
      <c r="E10" s="92">
        <v>12</v>
      </c>
      <c r="F10" s="91">
        <v>125</v>
      </c>
      <c r="H10" s="64">
        <v>357.14</v>
      </c>
      <c r="J10" s="91">
        <f t="shared" si="2"/>
        <v>125</v>
      </c>
      <c r="L10" s="92">
        <f t="shared" si="3"/>
        <v>1.25</v>
      </c>
      <c r="N10" s="91">
        <f t="shared" si="0"/>
        <v>30</v>
      </c>
      <c r="O10" s="64"/>
      <c r="P10" s="91">
        <f t="shared" si="1"/>
        <v>31.25</v>
      </c>
      <c r="Q10" s="64"/>
      <c r="R10" s="64"/>
      <c r="S10" s="64"/>
      <c r="T10" s="64"/>
      <c r="U10" s="64"/>
      <c r="V10" s="64"/>
      <c r="W10" s="64"/>
      <c r="X10" s="64"/>
      <c r="Z10" s="64"/>
      <c r="AA10" s="64"/>
      <c r="AB10" s="64"/>
      <c r="AC10" s="64"/>
      <c r="AD10" s="64"/>
      <c r="AF10" s="93"/>
      <c r="AG10" s="93"/>
      <c r="AH10" s="93"/>
    </row>
    <row r="11" spans="1:34" x14ac:dyDescent="0.25">
      <c r="A11" s="49" t="s">
        <v>214</v>
      </c>
      <c r="B11" s="49" t="s">
        <v>215</v>
      </c>
      <c r="C11" s="49">
        <v>211</v>
      </c>
      <c r="D11" s="49" t="s">
        <v>207</v>
      </c>
      <c r="E11" s="92">
        <v>12</v>
      </c>
      <c r="F11" s="91">
        <v>11322</v>
      </c>
      <c r="H11" s="64">
        <v>1615.66</v>
      </c>
      <c r="J11" s="91">
        <f t="shared" si="2"/>
        <v>11322</v>
      </c>
      <c r="L11" s="92">
        <f t="shared" si="3"/>
        <v>113.22</v>
      </c>
      <c r="N11" s="91">
        <f t="shared" si="0"/>
        <v>30</v>
      </c>
      <c r="O11" s="64"/>
      <c r="P11" s="91">
        <f t="shared" si="1"/>
        <v>143.22</v>
      </c>
      <c r="Q11" s="64"/>
      <c r="R11" s="64"/>
      <c r="S11" s="64"/>
      <c r="AG11" s="93"/>
    </row>
    <row r="12" spans="1:34" x14ac:dyDescent="0.25">
      <c r="A12" s="49" t="s">
        <v>216</v>
      </c>
      <c r="B12" s="49" t="s">
        <v>217</v>
      </c>
      <c r="C12" s="49">
        <v>211</v>
      </c>
      <c r="D12" s="49" t="s">
        <v>207</v>
      </c>
      <c r="E12" s="92">
        <v>12</v>
      </c>
      <c r="F12" s="91">
        <v>5072</v>
      </c>
      <c r="H12" s="64">
        <v>914.93</v>
      </c>
      <c r="J12" s="91">
        <f t="shared" si="2"/>
        <v>5072</v>
      </c>
      <c r="L12" s="92">
        <f t="shared" si="3"/>
        <v>50.72</v>
      </c>
      <c r="N12" s="91">
        <f t="shared" si="0"/>
        <v>30</v>
      </c>
      <c r="O12" s="64"/>
      <c r="P12" s="91">
        <f t="shared" si="1"/>
        <v>80.72</v>
      </c>
      <c r="Q12" s="64"/>
      <c r="R12" s="64"/>
      <c r="S12" s="64"/>
      <c r="T12" s="64"/>
      <c r="U12" s="64"/>
      <c r="V12" s="64"/>
      <c r="W12" s="64"/>
      <c r="X12" s="64"/>
      <c r="Z12" s="64"/>
      <c r="AA12" s="64"/>
      <c r="AB12" s="64"/>
      <c r="AC12" s="64"/>
      <c r="AD12" s="64"/>
      <c r="AF12" s="93"/>
      <c r="AG12" s="93"/>
      <c r="AH12" s="93"/>
    </row>
    <row r="13" spans="1:34" x14ac:dyDescent="0.25">
      <c r="A13" s="49" t="s">
        <v>218</v>
      </c>
      <c r="B13" s="49" t="s">
        <v>219</v>
      </c>
      <c r="C13" s="49">
        <v>211</v>
      </c>
      <c r="D13" s="49" t="s">
        <v>207</v>
      </c>
      <c r="E13" s="92">
        <v>8</v>
      </c>
      <c r="F13" s="91">
        <v>2644</v>
      </c>
      <c r="H13" s="64">
        <v>515.57000000000005</v>
      </c>
      <c r="J13" s="91">
        <f>F13/8*12</f>
        <v>3966</v>
      </c>
      <c r="L13" s="92">
        <f t="shared" si="3"/>
        <v>39.660000000000004</v>
      </c>
      <c r="N13" s="91">
        <f t="shared" si="0"/>
        <v>30</v>
      </c>
      <c r="O13" s="64"/>
      <c r="P13" s="91">
        <f t="shared" si="1"/>
        <v>69.66</v>
      </c>
      <c r="Q13" s="64"/>
      <c r="R13" s="64"/>
      <c r="S13" s="64"/>
      <c r="T13" s="64"/>
      <c r="U13" s="64"/>
      <c r="V13" s="64"/>
      <c r="W13" s="64"/>
      <c r="X13" s="64"/>
      <c r="Z13" s="64"/>
      <c r="AA13" s="64"/>
      <c r="AB13" s="64"/>
      <c r="AC13" s="64"/>
      <c r="AD13" s="64"/>
      <c r="AF13" s="93"/>
      <c r="AG13" s="93"/>
      <c r="AH13" s="93"/>
    </row>
    <row r="14" spans="1:34" x14ac:dyDescent="0.25">
      <c r="A14" s="49" t="s">
        <v>220</v>
      </c>
      <c r="B14" s="49" t="s">
        <v>221</v>
      </c>
      <c r="C14" s="49">
        <v>215</v>
      </c>
      <c r="D14" s="49" t="s">
        <v>207</v>
      </c>
      <c r="E14" s="92">
        <v>12</v>
      </c>
      <c r="F14" s="91">
        <v>61861</v>
      </c>
      <c r="H14" s="64">
        <v>7325.37</v>
      </c>
      <c r="J14" s="91">
        <f t="shared" si="2"/>
        <v>61861</v>
      </c>
      <c r="L14" s="92">
        <f t="shared" si="3"/>
        <v>618.61</v>
      </c>
      <c r="N14" s="91">
        <f t="shared" si="0"/>
        <v>30</v>
      </c>
      <c r="O14" s="93"/>
      <c r="P14" s="91">
        <f t="shared" si="1"/>
        <v>648.61</v>
      </c>
      <c r="Q14" s="93"/>
      <c r="R14" s="93"/>
      <c r="S14" s="64"/>
    </row>
    <row r="15" spans="1:34" x14ac:dyDescent="0.25">
      <c r="A15" s="49" t="s">
        <v>222</v>
      </c>
      <c r="B15" s="49" t="s">
        <v>223</v>
      </c>
      <c r="C15" s="49">
        <v>211</v>
      </c>
      <c r="D15" s="49" t="s">
        <v>207</v>
      </c>
      <c r="E15" s="92">
        <v>12</v>
      </c>
      <c r="F15" s="91">
        <v>0</v>
      </c>
      <c r="H15" s="64">
        <v>343.43</v>
      </c>
      <c r="J15" s="91">
        <f t="shared" si="2"/>
        <v>0</v>
      </c>
      <c r="L15" s="92">
        <f t="shared" si="3"/>
        <v>0</v>
      </c>
      <c r="N15" s="91">
        <f t="shared" si="0"/>
        <v>30</v>
      </c>
      <c r="O15" s="64"/>
      <c r="P15" s="91">
        <f t="shared" si="1"/>
        <v>30</v>
      </c>
      <c r="Q15" s="64"/>
      <c r="R15" s="64"/>
      <c r="S15" s="64"/>
      <c r="T15" s="64"/>
      <c r="U15" s="64"/>
      <c r="V15" s="64"/>
      <c r="W15" s="64"/>
      <c r="X15" s="64"/>
      <c r="Z15" s="64"/>
      <c r="AA15" s="64"/>
      <c r="AB15" s="64"/>
      <c r="AC15" s="64"/>
      <c r="AD15" s="64"/>
      <c r="AF15" s="93"/>
      <c r="AG15" s="93"/>
      <c r="AH15" s="93"/>
    </row>
    <row r="16" spans="1:34" x14ac:dyDescent="0.25">
      <c r="A16" s="49" t="s">
        <v>224</v>
      </c>
      <c r="B16" s="49" t="s">
        <v>225</v>
      </c>
      <c r="C16" s="49">
        <v>211</v>
      </c>
      <c r="D16" s="49" t="s">
        <v>207</v>
      </c>
      <c r="E16" s="92">
        <v>12</v>
      </c>
      <c r="F16" s="91">
        <v>162</v>
      </c>
      <c r="H16" s="64">
        <v>361.32</v>
      </c>
      <c r="J16" s="91">
        <f t="shared" si="2"/>
        <v>162</v>
      </c>
      <c r="L16" s="92">
        <f t="shared" si="3"/>
        <v>1.62</v>
      </c>
      <c r="N16" s="91">
        <f t="shared" si="0"/>
        <v>30</v>
      </c>
      <c r="O16" s="64"/>
      <c r="P16" s="91">
        <f t="shared" si="1"/>
        <v>31.62</v>
      </c>
      <c r="Q16" s="64"/>
      <c r="R16" s="64"/>
      <c r="S16" s="64"/>
      <c r="T16" s="64"/>
      <c r="U16" s="64"/>
      <c r="V16" s="64"/>
      <c r="W16" s="64"/>
      <c r="X16" s="64"/>
      <c r="Z16" s="64"/>
      <c r="AA16" s="64"/>
      <c r="AB16" s="64"/>
      <c r="AC16" s="64"/>
      <c r="AD16" s="64"/>
      <c r="AF16" s="93"/>
      <c r="AG16" s="93"/>
      <c r="AH16" s="93"/>
    </row>
    <row r="17" spans="1:34" x14ac:dyDescent="0.25">
      <c r="A17" s="49" t="s">
        <v>226</v>
      </c>
      <c r="B17" s="49" t="s">
        <v>227</v>
      </c>
      <c r="C17" s="49">
        <v>211</v>
      </c>
      <c r="D17" s="49" t="s">
        <v>207</v>
      </c>
      <c r="E17" s="92">
        <v>12</v>
      </c>
      <c r="F17" s="91">
        <v>2119</v>
      </c>
      <c r="H17" s="64">
        <v>584.69000000000005</v>
      </c>
      <c r="J17" s="91">
        <f t="shared" si="2"/>
        <v>2119</v>
      </c>
      <c r="L17" s="92">
        <f t="shared" si="3"/>
        <v>21.19</v>
      </c>
      <c r="N17" s="91">
        <f t="shared" si="0"/>
        <v>30</v>
      </c>
      <c r="O17" s="64"/>
      <c r="P17" s="91">
        <f t="shared" si="1"/>
        <v>51.19</v>
      </c>
      <c r="Q17" s="64"/>
      <c r="R17" s="64"/>
      <c r="S17" s="64"/>
      <c r="V17" s="64"/>
      <c r="AB17" s="64"/>
    </row>
    <row r="18" spans="1:34" x14ac:dyDescent="0.25">
      <c r="A18" s="49" t="s">
        <v>228</v>
      </c>
      <c r="B18" s="49" t="s">
        <v>229</v>
      </c>
      <c r="C18" s="49">
        <v>215</v>
      </c>
      <c r="D18" s="49" t="s">
        <v>207</v>
      </c>
      <c r="E18" s="92">
        <v>12</v>
      </c>
      <c r="F18" s="91">
        <v>50880</v>
      </c>
      <c r="H18" s="64">
        <v>6335.68</v>
      </c>
      <c r="J18" s="91">
        <f t="shared" si="2"/>
        <v>50880</v>
      </c>
      <c r="L18" s="92">
        <f t="shared" si="3"/>
        <v>508.8</v>
      </c>
      <c r="N18" s="91">
        <f t="shared" si="0"/>
        <v>30</v>
      </c>
      <c r="O18" s="64"/>
      <c r="P18" s="91">
        <f t="shared" si="1"/>
        <v>538.79999999999995</v>
      </c>
      <c r="Q18" s="64"/>
      <c r="R18" s="64"/>
      <c r="S18" s="64"/>
      <c r="T18" s="64"/>
      <c r="U18" s="64"/>
      <c r="V18" s="64"/>
      <c r="W18" s="64"/>
      <c r="X18" s="64"/>
      <c r="Z18" s="64"/>
      <c r="AA18" s="64"/>
      <c r="AB18" s="64"/>
      <c r="AC18" s="64"/>
      <c r="AD18" s="64"/>
      <c r="AF18" s="93"/>
      <c r="AG18" s="93"/>
      <c r="AH18" s="93"/>
    </row>
    <row r="19" spans="1:34" x14ac:dyDescent="0.25">
      <c r="A19" s="49" t="s">
        <v>230</v>
      </c>
      <c r="B19" s="49" t="s">
        <v>231</v>
      </c>
      <c r="C19" s="49">
        <v>211</v>
      </c>
      <c r="D19" s="49" t="s">
        <v>207</v>
      </c>
      <c r="E19" s="92">
        <v>12</v>
      </c>
      <c r="F19" s="91">
        <v>619</v>
      </c>
      <c r="H19" s="64">
        <v>412.97</v>
      </c>
      <c r="J19" s="91">
        <f t="shared" si="2"/>
        <v>619</v>
      </c>
      <c r="L19" s="92">
        <f t="shared" si="3"/>
        <v>6.19</v>
      </c>
      <c r="N19" s="91">
        <f t="shared" si="0"/>
        <v>30</v>
      </c>
      <c r="O19" s="64"/>
      <c r="P19" s="91">
        <f t="shared" si="1"/>
        <v>36.19</v>
      </c>
      <c r="Q19" s="64"/>
      <c r="R19" s="64"/>
      <c r="S19" s="64"/>
      <c r="T19" s="64"/>
      <c r="U19" s="64"/>
      <c r="V19" s="64"/>
      <c r="W19" s="64"/>
      <c r="X19" s="64"/>
      <c r="Z19" s="64"/>
      <c r="AA19" s="64"/>
      <c r="AB19" s="64"/>
      <c r="AC19" s="64"/>
      <c r="AD19" s="64"/>
      <c r="AF19" s="93"/>
      <c r="AG19" s="93"/>
      <c r="AH19" s="93"/>
    </row>
    <row r="20" spans="1:34" x14ac:dyDescent="0.25">
      <c r="A20" s="49" t="s">
        <v>232</v>
      </c>
      <c r="B20" s="49" t="s">
        <v>233</v>
      </c>
      <c r="C20" s="49">
        <v>215</v>
      </c>
      <c r="D20" s="49" t="s">
        <v>207</v>
      </c>
      <c r="E20" s="92">
        <v>12</v>
      </c>
      <c r="F20" s="91">
        <v>16211</v>
      </c>
      <c r="H20" s="64">
        <v>2299.23</v>
      </c>
      <c r="J20" s="91">
        <f t="shared" si="2"/>
        <v>16211</v>
      </c>
      <c r="L20" s="92">
        <f t="shared" si="3"/>
        <v>162.11000000000001</v>
      </c>
      <c r="N20" s="91">
        <f t="shared" si="0"/>
        <v>30</v>
      </c>
      <c r="O20" s="64"/>
      <c r="P20" s="91">
        <f t="shared" si="1"/>
        <v>192.11</v>
      </c>
      <c r="Q20" s="64"/>
      <c r="R20" s="64"/>
      <c r="S20" s="64"/>
      <c r="T20" s="64"/>
      <c r="U20" s="64"/>
      <c r="V20" s="64"/>
      <c r="W20" s="64"/>
      <c r="X20" s="64"/>
      <c r="Z20" s="64"/>
      <c r="AA20" s="64"/>
      <c r="AB20" s="64"/>
      <c r="AC20" s="64"/>
      <c r="AD20" s="64"/>
      <c r="AF20" s="93"/>
      <c r="AG20" s="93"/>
      <c r="AH20" s="93"/>
    </row>
    <row r="21" spans="1:34" x14ac:dyDescent="0.25">
      <c r="A21" s="49" t="s">
        <v>234</v>
      </c>
      <c r="B21" s="49" t="s">
        <v>235</v>
      </c>
      <c r="C21" s="49">
        <v>211</v>
      </c>
      <c r="D21" s="49" t="s">
        <v>207</v>
      </c>
      <c r="E21" s="92">
        <v>12</v>
      </c>
      <c r="F21" s="91">
        <v>144</v>
      </c>
      <c r="H21" s="64">
        <v>359.33</v>
      </c>
      <c r="J21" s="91">
        <f t="shared" si="2"/>
        <v>144</v>
      </c>
      <c r="L21" s="92">
        <f t="shared" si="3"/>
        <v>1.44</v>
      </c>
      <c r="N21" s="91">
        <f t="shared" si="0"/>
        <v>30</v>
      </c>
      <c r="O21" s="64"/>
      <c r="P21" s="91">
        <f t="shared" si="1"/>
        <v>31.44</v>
      </c>
      <c r="Q21" s="64"/>
      <c r="R21" s="64"/>
      <c r="S21" s="64"/>
      <c r="T21" s="64"/>
      <c r="U21" s="64"/>
      <c r="V21" s="64"/>
      <c r="W21" s="64"/>
      <c r="X21" s="64"/>
      <c r="Z21" s="64"/>
      <c r="AA21" s="64"/>
      <c r="AB21" s="64"/>
      <c r="AC21" s="64"/>
      <c r="AD21" s="64"/>
      <c r="AF21" s="93"/>
      <c r="AG21" s="93"/>
      <c r="AH21" s="93"/>
    </row>
    <row r="22" spans="1:34" x14ac:dyDescent="0.25">
      <c r="A22" s="49" t="s">
        <v>236</v>
      </c>
      <c r="B22" s="49" t="s">
        <v>237</v>
      </c>
      <c r="C22" s="49">
        <v>211</v>
      </c>
      <c r="D22" s="49" t="s">
        <v>207</v>
      </c>
      <c r="E22" s="92">
        <v>12</v>
      </c>
      <c r="F22" s="91">
        <v>121</v>
      </c>
      <c r="H22" s="64">
        <v>356.85</v>
      </c>
      <c r="J22" s="91">
        <f t="shared" si="2"/>
        <v>121</v>
      </c>
      <c r="L22" s="92">
        <f t="shared" si="3"/>
        <v>1.21</v>
      </c>
      <c r="N22" s="91">
        <f t="shared" si="0"/>
        <v>30</v>
      </c>
      <c r="O22" s="64"/>
      <c r="P22" s="91">
        <f t="shared" si="1"/>
        <v>31.21</v>
      </c>
      <c r="Q22" s="64"/>
      <c r="R22" s="64"/>
      <c r="S22" s="64"/>
      <c r="T22" s="64"/>
      <c r="U22" s="64"/>
      <c r="V22" s="64"/>
      <c r="W22" s="64"/>
      <c r="X22" s="64"/>
      <c r="Z22" s="64"/>
      <c r="AA22" s="64"/>
      <c r="AB22" s="64"/>
      <c r="AC22" s="64"/>
      <c r="AD22" s="64"/>
      <c r="AF22" s="93"/>
      <c r="AG22" s="93"/>
      <c r="AH22" s="93"/>
    </row>
    <row r="23" spans="1:34" x14ac:dyDescent="0.25">
      <c r="A23" s="49" t="s">
        <v>238</v>
      </c>
      <c r="B23" s="49" t="s">
        <v>239</v>
      </c>
      <c r="C23" s="49">
        <v>211</v>
      </c>
      <c r="D23" s="49" t="s">
        <v>207</v>
      </c>
      <c r="E23" s="92">
        <v>12</v>
      </c>
      <c r="F23" s="91">
        <v>12036</v>
      </c>
      <c r="H23" s="64">
        <v>1673.12</v>
      </c>
      <c r="J23" s="91">
        <f t="shared" si="2"/>
        <v>12036</v>
      </c>
      <c r="L23" s="92">
        <f t="shared" si="3"/>
        <v>120.36</v>
      </c>
      <c r="N23" s="91">
        <f t="shared" si="0"/>
        <v>30</v>
      </c>
      <c r="O23" s="64"/>
      <c r="P23" s="91">
        <f t="shared" si="1"/>
        <v>150.36000000000001</v>
      </c>
      <c r="Q23" s="64"/>
      <c r="R23" s="64"/>
      <c r="S23" s="64"/>
      <c r="T23" s="64"/>
      <c r="U23" s="64"/>
      <c r="V23" s="64"/>
      <c r="W23" s="64"/>
      <c r="X23" s="64"/>
      <c r="Z23" s="64"/>
      <c r="AA23" s="64"/>
      <c r="AB23" s="64"/>
      <c r="AC23" s="64"/>
      <c r="AD23" s="64"/>
      <c r="AF23" s="93"/>
      <c r="AG23" s="93"/>
      <c r="AH23" s="93"/>
    </row>
    <row r="24" spans="1:34" x14ac:dyDescent="0.25">
      <c r="A24" s="49" t="s">
        <v>240</v>
      </c>
      <c r="B24" s="49" t="s">
        <v>241</v>
      </c>
      <c r="C24" s="49">
        <v>215</v>
      </c>
      <c r="D24" s="49" t="s">
        <v>207</v>
      </c>
      <c r="E24" s="92">
        <v>12</v>
      </c>
      <c r="F24" s="91">
        <v>112169</v>
      </c>
      <c r="G24" s="93"/>
      <c r="H24" s="64">
        <v>13849.19</v>
      </c>
      <c r="J24" s="91">
        <f t="shared" si="2"/>
        <v>112169</v>
      </c>
      <c r="L24" s="92">
        <f t="shared" si="3"/>
        <v>1121.69</v>
      </c>
      <c r="N24" s="91">
        <f t="shared" si="0"/>
        <v>30</v>
      </c>
      <c r="O24" s="64"/>
      <c r="P24" s="91">
        <f t="shared" si="1"/>
        <v>1151.69</v>
      </c>
      <c r="Q24" s="64"/>
      <c r="R24" s="64"/>
      <c r="S24" s="64"/>
      <c r="V24" s="64"/>
      <c r="AB24" s="64"/>
      <c r="AG24" s="93"/>
    </row>
    <row r="25" spans="1:34" x14ac:dyDescent="0.25">
      <c r="A25" s="49" t="s">
        <v>242</v>
      </c>
      <c r="B25" s="49" t="s">
        <v>243</v>
      </c>
      <c r="C25" s="49">
        <v>211</v>
      </c>
      <c r="D25" s="49" t="s">
        <v>207</v>
      </c>
      <c r="E25" s="92">
        <v>12</v>
      </c>
      <c r="F25" s="91">
        <v>161</v>
      </c>
      <c r="G25" s="94"/>
      <c r="H25" s="64">
        <v>361.25</v>
      </c>
      <c r="J25" s="91">
        <f t="shared" si="2"/>
        <v>161</v>
      </c>
      <c r="L25" s="92">
        <f t="shared" si="3"/>
        <v>1.61</v>
      </c>
      <c r="N25" s="91">
        <f t="shared" si="0"/>
        <v>30</v>
      </c>
      <c r="O25" s="64"/>
      <c r="P25" s="91">
        <f t="shared" si="1"/>
        <v>31.61</v>
      </c>
      <c r="Q25" s="64"/>
      <c r="R25" s="64"/>
      <c r="S25" s="64"/>
      <c r="V25" s="94"/>
      <c r="AB25" s="94"/>
      <c r="AG25" s="94"/>
    </row>
    <row r="26" spans="1:34" x14ac:dyDescent="0.25">
      <c r="A26" s="49" t="s">
        <v>244</v>
      </c>
      <c r="B26" s="49" t="s">
        <v>245</v>
      </c>
      <c r="C26" s="49">
        <v>211</v>
      </c>
      <c r="D26" s="49" t="s">
        <v>207</v>
      </c>
      <c r="E26" s="92">
        <v>8</v>
      </c>
      <c r="F26" s="91">
        <v>42888</v>
      </c>
      <c r="H26" s="64">
        <v>5281.17</v>
      </c>
      <c r="J26" s="91">
        <f>F26/8*12</f>
        <v>64332</v>
      </c>
      <c r="L26" s="92">
        <f t="shared" si="3"/>
        <v>643.32000000000005</v>
      </c>
      <c r="N26" s="91">
        <f t="shared" si="0"/>
        <v>30</v>
      </c>
      <c r="O26" s="64"/>
      <c r="P26" s="91">
        <f t="shared" si="1"/>
        <v>673.32</v>
      </c>
      <c r="Q26" s="64"/>
      <c r="R26" s="64"/>
      <c r="S26" s="64"/>
      <c r="T26" s="64"/>
      <c r="U26" s="64"/>
      <c r="V26" s="64"/>
      <c r="W26" s="64"/>
      <c r="X26" s="64"/>
      <c r="Z26" s="64"/>
      <c r="AA26" s="64"/>
      <c r="AB26" s="64"/>
      <c r="AC26" s="64"/>
      <c r="AD26" s="64"/>
      <c r="AF26" s="93"/>
      <c r="AG26" s="93"/>
      <c r="AH26" s="93"/>
    </row>
    <row r="27" spans="1:34" x14ac:dyDescent="0.25">
      <c r="A27" s="49" t="s">
        <v>246</v>
      </c>
      <c r="B27" s="49" t="s">
        <v>247</v>
      </c>
      <c r="C27" s="49">
        <v>211</v>
      </c>
      <c r="D27" s="49" t="s">
        <v>207</v>
      </c>
      <c r="E27" s="92">
        <v>12</v>
      </c>
      <c r="F27" s="91">
        <v>219</v>
      </c>
      <c r="H27" s="64">
        <v>367.18</v>
      </c>
      <c r="J27" s="91">
        <f t="shared" si="2"/>
        <v>219</v>
      </c>
      <c r="L27" s="92">
        <f t="shared" si="3"/>
        <v>2.19</v>
      </c>
      <c r="N27" s="91">
        <f t="shared" si="0"/>
        <v>30</v>
      </c>
      <c r="O27" s="64"/>
      <c r="P27" s="91">
        <f t="shared" si="1"/>
        <v>32.19</v>
      </c>
      <c r="Q27" s="64"/>
      <c r="R27" s="64"/>
      <c r="S27" s="64"/>
    </row>
    <row r="28" spans="1:34" x14ac:dyDescent="0.25">
      <c r="A28" s="49" t="s">
        <v>248</v>
      </c>
      <c r="B28" s="49" t="s">
        <v>249</v>
      </c>
      <c r="C28" s="49">
        <v>211</v>
      </c>
      <c r="D28" s="49" t="s">
        <v>207</v>
      </c>
      <c r="E28" s="92">
        <v>12</v>
      </c>
      <c r="F28" s="91">
        <v>770</v>
      </c>
      <c r="H28" s="64">
        <v>429.26</v>
      </c>
      <c r="J28" s="91">
        <f t="shared" si="2"/>
        <v>770</v>
      </c>
      <c r="L28" s="92">
        <f t="shared" si="3"/>
        <v>7.7</v>
      </c>
      <c r="N28" s="91">
        <f t="shared" si="0"/>
        <v>30</v>
      </c>
      <c r="O28" s="64"/>
      <c r="P28" s="91">
        <f t="shared" si="1"/>
        <v>37.700000000000003</v>
      </c>
      <c r="Q28" s="64"/>
      <c r="R28" s="64"/>
      <c r="S28" s="64"/>
      <c r="T28" s="64"/>
      <c r="U28" s="64"/>
      <c r="V28" s="64"/>
      <c r="W28" s="64"/>
      <c r="X28" s="64"/>
      <c r="Z28" s="64"/>
      <c r="AA28" s="64"/>
      <c r="AB28" s="64"/>
      <c r="AC28" s="64"/>
      <c r="AD28" s="64"/>
    </row>
    <row r="29" spans="1:34" x14ac:dyDescent="0.25">
      <c r="A29" s="49" t="s">
        <v>250</v>
      </c>
      <c r="B29" s="49" t="s">
        <v>235</v>
      </c>
      <c r="C29" s="49">
        <v>215</v>
      </c>
      <c r="D29" s="49" t="s">
        <v>207</v>
      </c>
      <c r="E29" s="92">
        <v>12</v>
      </c>
      <c r="F29" s="91">
        <v>99022</v>
      </c>
      <c r="H29" s="64">
        <v>11917.81</v>
      </c>
      <c r="J29" s="91">
        <f t="shared" si="2"/>
        <v>99022</v>
      </c>
      <c r="L29" s="92">
        <f t="shared" si="3"/>
        <v>990.22</v>
      </c>
      <c r="N29" s="91">
        <f t="shared" si="0"/>
        <v>30</v>
      </c>
      <c r="O29" s="64"/>
      <c r="P29" s="91">
        <f t="shared" si="1"/>
        <v>1020.22</v>
      </c>
      <c r="Q29" s="64"/>
      <c r="R29" s="64"/>
      <c r="S29" s="64"/>
      <c r="T29" s="64"/>
      <c r="U29" s="64"/>
      <c r="V29" s="64"/>
      <c r="W29" s="64"/>
      <c r="X29" s="64"/>
      <c r="Z29" s="64"/>
      <c r="AA29" s="64"/>
      <c r="AB29" s="64"/>
      <c r="AC29" s="64"/>
      <c r="AD29" s="64"/>
      <c r="AF29" s="93"/>
      <c r="AG29" s="93"/>
      <c r="AH29" s="93"/>
    </row>
    <row r="30" spans="1:34" x14ac:dyDescent="0.25">
      <c r="A30" s="49" t="s">
        <v>251</v>
      </c>
      <c r="B30" s="49" t="s">
        <v>252</v>
      </c>
      <c r="C30" s="49">
        <v>215</v>
      </c>
      <c r="D30" s="49" t="s">
        <v>207</v>
      </c>
      <c r="E30" s="92">
        <v>12</v>
      </c>
      <c r="F30" s="91">
        <v>242080</v>
      </c>
      <c r="H30" s="64">
        <v>29468.36</v>
      </c>
      <c r="J30" s="91">
        <f t="shared" si="2"/>
        <v>242080</v>
      </c>
      <c r="L30" s="92">
        <f t="shared" si="3"/>
        <v>2420.8000000000002</v>
      </c>
      <c r="N30" s="91">
        <f t="shared" si="0"/>
        <v>30</v>
      </c>
      <c r="O30" s="64"/>
      <c r="P30" s="91">
        <f t="shared" si="1"/>
        <v>2450.8000000000002</v>
      </c>
      <c r="Q30" s="64"/>
      <c r="R30" s="64"/>
      <c r="S30" s="64"/>
      <c r="T30" s="64"/>
      <c r="U30" s="64"/>
      <c r="V30" s="64"/>
      <c r="W30" s="64"/>
      <c r="X30" s="64"/>
      <c r="Z30" s="64"/>
      <c r="AA30" s="64"/>
      <c r="AB30" s="64"/>
      <c r="AC30" s="64"/>
      <c r="AD30" s="64"/>
      <c r="AF30" s="93"/>
      <c r="AG30" s="93"/>
      <c r="AH30" s="93"/>
    </row>
    <row r="31" spans="1:34" x14ac:dyDescent="0.25">
      <c r="E31" s="92"/>
      <c r="J31" s="91"/>
      <c r="L31" s="92"/>
      <c r="N31" s="91"/>
      <c r="O31" s="64"/>
      <c r="P31" s="91"/>
      <c r="Q31" s="64"/>
      <c r="R31" s="64"/>
      <c r="S31" s="64"/>
    </row>
    <row r="32" spans="1:34" x14ac:dyDescent="0.25">
      <c r="B32" s="49" t="s">
        <v>164</v>
      </c>
      <c r="E32" s="92"/>
      <c r="F32" s="91">
        <f>SUM(F7:F31)</f>
        <v>691259</v>
      </c>
      <c r="H32" s="48">
        <f>SUM(H7:H31)</f>
        <v>89622.42</v>
      </c>
      <c r="I32" s="48"/>
      <c r="J32" s="91">
        <f>SUM(J7:J31)</f>
        <v>713552.42857142864</v>
      </c>
      <c r="L32" s="92">
        <f>SUM(L7:L31)</f>
        <v>7135.5242857142857</v>
      </c>
      <c r="N32" s="92">
        <f>SUM(N7:N31)</f>
        <v>720</v>
      </c>
      <c r="P32" s="92">
        <f>SUM(P7:P31)</f>
        <v>7855.5242857142857</v>
      </c>
    </row>
    <row r="33" spans="5:16" x14ac:dyDescent="0.25">
      <c r="E33" s="92"/>
      <c r="N33" s="92"/>
      <c r="P33" s="92">
        <f>L32+N32</f>
        <v>7855.5242857142857</v>
      </c>
    </row>
    <row r="34" spans="5:16" x14ac:dyDescent="0.25">
      <c r="E34" s="92"/>
    </row>
    <row r="35" spans="5:16" x14ac:dyDescent="0.25">
      <c r="E35" s="92"/>
    </row>
    <row r="36" spans="5:16" x14ac:dyDescent="0.25">
      <c r="E36" s="92"/>
    </row>
    <row r="37" spans="5:16" x14ac:dyDescent="0.25">
      <c r="E37" s="92"/>
    </row>
  </sheetData>
  <printOptions horizontalCentered="1" verticalCentered="1"/>
  <pageMargins left="0.7" right="0.7" top="0.75" bottom="0.75" header="0.3" footer="0.3"/>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Schedule Of Adjusted Operations</vt:lpstr>
      <vt:lpstr>Adjustments</vt:lpstr>
      <vt:lpstr>RevReq Calculation</vt:lpstr>
      <vt:lpstr>DebtServiceRequirements</vt:lpstr>
      <vt:lpstr>Wage-Benefits</vt:lpstr>
      <vt:lpstr>Health Benefits Calc</vt:lpstr>
      <vt:lpstr>BillingAnalysis</vt:lpstr>
      <vt:lpstr>Forfeited Adj.</vt:lpstr>
      <vt:lpstr>ElectricPowerAdjustment</vt:lpstr>
      <vt:lpstr>2020 Depreciation</vt:lpstr>
      <vt:lpstr>Adj Depreciation Schedule</vt:lpstr>
      <vt:lpstr>NRC Cost Justification</vt:lpstr>
      <vt:lpstr>ElectricPowerAdjustment!Print_Area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2022-03-24T17:09:39Z</dcterms:created>
  <dcterms:modified xsi:type="dcterms:W3CDTF">2022-03-24T17:24:05Z</dcterms:modified>
</cp:coreProperties>
</file>