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620783bd5d64abe/South Woodford WD/"/>
    </mc:Choice>
  </mc:AlternateContent>
  <xr:revisionPtr revIDLastSave="29" documentId="8_{990D74FB-2083-4F93-9AC6-9BDB9CEC0973}" xr6:coauthVersionLast="47" xr6:coauthVersionMax="47" xr10:uidLastSave="{F7DBEA89-76E9-4E5A-B152-733A746691EA}"/>
  <bookViews>
    <workbookView xWindow="-98" yWindow="-98" windowWidth="20715" windowHeight="13155" xr2:uid="{00000000-000D-0000-FFFF-FFFF00000000}"/>
  </bookViews>
  <sheets>
    <sheet name="SAO" sheetId="6" r:id="rId1"/>
    <sheet name="Wages" sheetId="55" r:id="rId2"/>
    <sheet name="Dental" sheetId="40" r:id="rId3"/>
    <sheet name="Contractors" sheetId="58" r:id="rId4"/>
    <sheet name="Depreciation" sheetId="51" r:id="rId5"/>
    <sheet name="Debt Service" sheetId="50" r:id="rId6"/>
    <sheet name="Capital" sheetId="56" r:id="rId7"/>
    <sheet name="Water Loss" sheetId="54" r:id="rId8"/>
    <sheet name="Rates" sheetId="2" r:id="rId9"/>
    <sheet name="Bills" sheetId="42" r:id="rId10"/>
    <sheet name="Bills with Surcharge" sheetId="57" r:id="rId11"/>
    <sheet name="ExBA" sheetId="52" r:id="rId12"/>
    <sheet name="PrBA" sheetId="53" r:id="rId13"/>
    <sheet name="Notice_R" sheetId="36" r:id="rId14"/>
  </sheets>
  <definedNames>
    <definedName name="AHV">#REF!</definedName>
    <definedName name="_xlnm.Print_Area" localSheetId="9">Bills!$B$1:$I$27</definedName>
    <definedName name="_xlnm.Print_Area" localSheetId="3">Contractors!$A$1:$G$23</definedName>
    <definedName name="_xlnm.Print_Area" localSheetId="5">'Debt Service'!$A$1:$O$25</definedName>
    <definedName name="_xlnm.Print_Area" localSheetId="4">Depreciation!$A$1:$M$47</definedName>
    <definedName name="_xlnm.Print_Area" localSheetId="11">ExBA!$B$1:$K$30</definedName>
    <definedName name="_xlnm.Print_Area" localSheetId="12">PrBA!$B$1:$K$30</definedName>
    <definedName name="_xlnm.Print_Area" localSheetId="8">Rates!$A$1:$J$23</definedName>
    <definedName name="_xlnm.Print_Area" localSheetId="0">SAO!$A$1:$L$56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58" l="1"/>
  <c r="F18" i="58"/>
  <c r="G18" i="58" s="1"/>
  <c r="D18" i="58"/>
  <c r="B23" i="58"/>
  <c r="F22" i="58"/>
  <c r="F21" i="58"/>
  <c r="F20" i="58"/>
  <c r="F19" i="58"/>
  <c r="D22" i="58"/>
  <c r="D21" i="58"/>
  <c r="D20" i="58"/>
  <c r="D19" i="58"/>
  <c r="F17" i="58"/>
  <c r="D17" i="58"/>
  <c r="E14" i="6"/>
  <c r="G29" i="6"/>
  <c r="E25" i="57"/>
  <c r="E24" i="57"/>
  <c r="E23" i="57"/>
  <c r="E22" i="57"/>
  <c r="E21" i="57"/>
  <c r="E20" i="57"/>
  <c r="E19" i="57"/>
  <c r="E18" i="57"/>
  <c r="E17" i="57"/>
  <c r="E16" i="57"/>
  <c r="E15" i="57"/>
  <c r="E14" i="57"/>
  <c r="E13" i="57"/>
  <c r="E12" i="57"/>
  <c r="E11" i="57"/>
  <c r="E10" i="57"/>
  <c r="E24" i="42"/>
  <c r="E23" i="42"/>
  <c r="E11" i="42"/>
  <c r="G12" i="6"/>
  <c r="G8" i="6"/>
  <c r="C17" i="50"/>
  <c r="E17" i="50" s="1"/>
  <c r="M17" i="50" s="1"/>
  <c r="G12" i="58"/>
  <c r="G11" i="58"/>
  <c r="G10" i="58"/>
  <c r="G9" i="58"/>
  <c r="F13" i="58"/>
  <c r="D13" i="58"/>
  <c r="G6" i="58"/>
  <c r="E26" i="6" s="1"/>
  <c r="E36" i="6" s="1"/>
  <c r="E40" i="6" s="1"/>
  <c r="G18" i="6"/>
  <c r="E29" i="6"/>
  <c r="E20" i="6"/>
  <c r="G20" i="6" s="1"/>
  <c r="E32" i="6"/>
  <c r="C14" i="40"/>
  <c r="E27" i="6"/>
  <c r="E24" i="6"/>
  <c r="L16" i="50"/>
  <c r="K16" i="50"/>
  <c r="J16" i="50"/>
  <c r="I16" i="50"/>
  <c r="H16" i="50"/>
  <c r="G16" i="50"/>
  <c r="F16" i="50"/>
  <c r="E16" i="50"/>
  <c r="C16" i="50"/>
  <c r="D16" i="50"/>
  <c r="H13" i="36"/>
  <c r="D13" i="36"/>
  <c r="H12" i="36"/>
  <c r="F12" i="36"/>
  <c r="D12" i="36"/>
  <c r="H11" i="36"/>
  <c r="F11" i="36"/>
  <c r="D11" i="36"/>
  <c r="H10" i="36"/>
  <c r="F10" i="36"/>
  <c r="D10" i="36"/>
  <c r="H9" i="36"/>
  <c r="B12" i="36"/>
  <c r="B13" i="36"/>
  <c r="B11" i="36"/>
  <c r="B10" i="36"/>
  <c r="G4" i="52"/>
  <c r="F4" i="52"/>
  <c r="H5" i="53"/>
  <c r="K19" i="52"/>
  <c r="K18" i="52"/>
  <c r="K17" i="52"/>
  <c r="K16" i="52"/>
  <c r="K15" i="52"/>
  <c r="G4" i="53"/>
  <c r="F4" i="53"/>
  <c r="F29" i="52"/>
  <c r="F28" i="52"/>
  <c r="F27" i="52"/>
  <c r="F26" i="52"/>
  <c r="F25" i="52"/>
  <c r="K20" i="53"/>
  <c r="J20" i="53"/>
  <c r="E29" i="53" s="1"/>
  <c r="I20" i="53"/>
  <c r="E28" i="53" s="1"/>
  <c r="H20" i="53"/>
  <c r="E27" i="53" s="1"/>
  <c r="G20" i="53"/>
  <c r="E26" i="53" s="1"/>
  <c r="F20" i="53"/>
  <c r="E25" i="53" s="1"/>
  <c r="E30" i="53" s="1"/>
  <c r="E20" i="53"/>
  <c r="D20" i="53"/>
  <c r="D25" i="53" s="1"/>
  <c r="D31" i="54"/>
  <c r="D30" i="54"/>
  <c r="E22" i="6" s="1"/>
  <c r="D29" i="54"/>
  <c r="E21" i="6" s="1"/>
  <c r="B31" i="54"/>
  <c r="B30" i="54"/>
  <c r="B29" i="54"/>
  <c r="J20" i="52"/>
  <c r="E29" i="52" s="1"/>
  <c r="I20" i="52"/>
  <c r="E28" i="52" s="1"/>
  <c r="H20" i="52"/>
  <c r="E27" i="52" s="1"/>
  <c r="G20" i="52"/>
  <c r="E26" i="52" s="1"/>
  <c r="F20" i="52"/>
  <c r="E25" i="52" s="1"/>
  <c r="E20" i="52"/>
  <c r="D20" i="52"/>
  <c r="D25" i="52" s="1"/>
  <c r="H5" i="52"/>
  <c r="E12" i="42"/>
  <c r="E15" i="42"/>
  <c r="E14" i="42"/>
  <c r="E13" i="42"/>
  <c r="E22" i="42"/>
  <c r="E21" i="42"/>
  <c r="E20" i="42"/>
  <c r="E19" i="42"/>
  <c r="E18" i="42"/>
  <c r="E17" i="42"/>
  <c r="E16" i="42"/>
  <c r="E10" i="42"/>
  <c r="D23" i="58" l="1"/>
  <c r="F23" i="58"/>
  <c r="G19" i="58"/>
  <c r="G20" i="58"/>
  <c r="G21" i="58"/>
  <c r="G22" i="58"/>
  <c r="G17" i="58"/>
  <c r="E42" i="6"/>
  <c r="G13" i="58"/>
  <c r="G28" i="52"/>
  <c r="G29" i="52"/>
  <c r="B32" i="54"/>
  <c r="G26" i="52"/>
  <c r="G27" i="52"/>
  <c r="K20" i="52"/>
  <c r="D36" i="54"/>
  <c r="G25" i="52"/>
  <c r="G30" i="52" s="1"/>
  <c r="H4" i="52" s="1"/>
  <c r="H6" i="52" s="1"/>
  <c r="E30" i="52"/>
  <c r="G26" i="6"/>
  <c r="G25" i="6"/>
  <c r="H8" i="52" l="1"/>
  <c r="L8" i="52" s="1"/>
  <c r="G53" i="6"/>
  <c r="A31" i="54"/>
  <c r="A30" i="54"/>
  <c r="A29" i="54"/>
  <c r="M16" i="50"/>
  <c r="E6" i="6" l="1"/>
  <c r="G6" i="6" s="1"/>
  <c r="M15" i="50"/>
  <c r="F44" i="51"/>
  <c r="J19" i="51"/>
  <c r="J18" i="51"/>
  <c r="J42" i="51"/>
  <c r="J23" i="51"/>
  <c r="K23" i="51" s="1"/>
  <c r="F7" i="40"/>
  <c r="H7" i="40" s="1"/>
  <c r="F6" i="40"/>
  <c r="H6" i="40" s="1"/>
  <c r="C8" i="40"/>
  <c r="B8" i="40"/>
  <c r="H8" i="40" l="1"/>
  <c r="K19" i="51"/>
  <c r="K18" i="51"/>
  <c r="K42" i="51"/>
  <c r="F8" i="40"/>
  <c r="C6" i="56"/>
  <c r="C5" i="56"/>
  <c r="C7" i="55"/>
  <c r="B7" i="55"/>
  <c r="G15" i="55"/>
  <c r="F6" i="55"/>
  <c r="E6" i="55"/>
  <c r="F5" i="55"/>
  <c r="C20" i="54"/>
  <c r="C13" i="54"/>
  <c r="C4" i="54"/>
  <c r="D24" i="54" l="1"/>
  <c r="D26" i="54" s="1"/>
  <c r="C21" i="54"/>
  <c r="F7" i="55"/>
  <c r="G6" i="55"/>
  <c r="E5" i="55"/>
  <c r="E7" i="55" l="1"/>
  <c r="G5" i="55"/>
  <c r="G7" i="55" l="1"/>
  <c r="G9" i="55" s="1"/>
  <c r="G14" i="55" s="1"/>
  <c r="G16" i="55" s="1"/>
  <c r="G24" i="55"/>
  <c r="G26" i="55" s="1"/>
  <c r="G28" i="55" s="1"/>
  <c r="D32" i="54"/>
  <c r="H44" i="51"/>
  <c r="J41" i="51"/>
  <c r="K41" i="51" s="1"/>
  <c r="J38" i="51"/>
  <c r="K38" i="51" s="1"/>
  <c r="J35" i="51"/>
  <c r="K35" i="51" s="1"/>
  <c r="J34" i="51"/>
  <c r="K34" i="51" s="1"/>
  <c r="J33" i="51"/>
  <c r="K33" i="51" s="1"/>
  <c r="J32" i="51"/>
  <c r="K32" i="51" s="1"/>
  <c r="J31" i="51"/>
  <c r="K31" i="51" s="1"/>
  <c r="J30" i="51"/>
  <c r="K30" i="51" s="1"/>
  <c r="J29" i="51"/>
  <c r="K29" i="51" s="1"/>
  <c r="J28" i="51"/>
  <c r="K28" i="51" s="1"/>
  <c r="J27" i="51"/>
  <c r="K27" i="51" s="1"/>
  <c r="J24" i="51"/>
  <c r="K24" i="51" s="1"/>
  <c r="J22" i="51"/>
  <c r="K22" i="51" s="1"/>
  <c r="J15" i="51"/>
  <c r="K15" i="51" s="1"/>
  <c r="J14" i="51"/>
  <c r="K14" i="51" s="1"/>
  <c r="J13" i="51"/>
  <c r="K13" i="51" s="1"/>
  <c r="J12" i="51"/>
  <c r="K12" i="51" s="1"/>
  <c r="J11" i="51"/>
  <c r="K11" i="51" s="1"/>
  <c r="J10" i="51"/>
  <c r="K10" i="51" s="1"/>
  <c r="K18" i="50"/>
  <c r="I18" i="50"/>
  <c r="G18" i="50"/>
  <c r="E18" i="50"/>
  <c r="C18" i="50"/>
  <c r="M14" i="50"/>
  <c r="M13" i="50"/>
  <c r="M12" i="50"/>
  <c r="L18" i="50"/>
  <c r="J18" i="50"/>
  <c r="H18" i="50"/>
  <c r="F18" i="50"/>
  <c r="D18" i="50"/>
  <c r="D35" i="54" l="1"/>
  <c r="D37" i="54" s="1"/>
  <c r="E21" i="2" s="1"/>
  <c r="G21" i="2" s="1"/>
  <c r="G18" i="55"/>
  <c r="G20" i="55" s="1"/>
  <c r="G22" i="55" s="1"/>
  <c r="E39" i="6" s="1"/>
  <c r="K44" i="51"/>
  <c r="E38" i="6" s="1"/>
  <c r="G38" i="6" s="1"/>
  <c r="J44" i="51"/>
  <c r="P18" i="50"/>
  <c r="M18" i="50"/>
  <c r="M21" i="50" s="1"/>
  <c r="G46" i="6" s="1"/>
  <c r="M23" i="50" l="1"/>
  <c r="G47" i="6" s="1"/>
  <c r="D9" i="36"/>
  <c r="B9" i="36"/>
  <c r="E9" i="42"/>
  <c r="P23" i="50" l="1"/>
  <c r="G39" i="6"/>
  <c r="G35" i="6"/>
  <c r="G34" i="6"/>
  <c r="G33" i="6"/>
  <c r="G32" i="6"/>
  <c r="G31" i="6"/>
  <c r="G30" i="6"/>
  <c r="G24" i="6"/>
  <c r="G23" i="6"/>
  <c r="G22" i="6"/>
  <c r="G21" i="6"/>
  <c r="G19" i="6"/>
  <c r="G7" i="6"/>
  <c r="G50" i="6" l="1"/>
  <c r="G13" i="6" l="1"/>
  <c r="F16" i="2" l="1"/>
  <c r="F13" i="36" s="1"/>
  <c r="F12" i="2"/>
  <c r="F9" i="36" s="1"/>
  <c r="G11" i="6" l="1"/>
  <c r="D14" i="6"/>
  <c r="D36" i="6"/>
  <c r="G49" i="6" l="1"/>
  <c r="G36" i="6"/>
  <c r="D40" i="6"/>
  <c r="G40" i="6" l="1"/>
  <c r="G14" i="6"/>
  <c r="D42" i="6"/>
  <c r="G45" i="6" l="1"/>
  <c r="G48" i="6" s="1"/>
  <c r="G52" i="6" s="1"/>
  <c r="H8" i="53" s="1"/>
  <c r="G42" i="6"/>
  <c r="G54" i="6" l="1"/>
  <c r="G56" i="6" s="1"/>
  <c r="E15" i="2" s="1"/>
  <c r="G15" i="2" l="1"/>
  <c r="H15" i="2" s="1"/>
  <c r="E12" i="36"/>
  <c r="F28" i="53"/>
  <c r="G28" i="53" s="1"/>
  <c r="E16" i="2"/>
  <c r="E14" i="2"/>
  <c r="E13" i="2"/>
  <c r="E12" i="2"/>
  <c r="F24" i="57" l="1"/>
  <c r="G24" i="57" s="1"/>
  <c r="H24" i="57" s="1"/>
  <c r="F16" i="57"/>
  <c r="G16" i="57" s="1"/>
  <c r="H16" i="57" s="1"/>
  <c r="F17" i="42"/>
  <c r="G17" i="42" s="1"/>
  <c r="H17" i="42" s="1"/>
  <c r="F10" i="42"/>
  <c r="F13" i="57"/>
  <c r="G13" i="57" s="1"/>
  <c r="H13" i="57" s="1"/>
  <c r="F14" i="42"/>
  <c r="G14" i="42" s="1"/>
  <c r="H14" i="42" s="1"/>
  <c r="F17" i="57"/>
  <c r="G17" i="57" s="1"/>
  <c r="H17" i="57" s="1"/>
  <c r="F18" i="42"/>
  <c r="G18" i="42" s="1"/>
  <c r="H18" i="42" s="1"/>
  <c r="F23" i="57"/>
  <c r="G23" i="57" s="1"/>
  <c r="H23" i="57" s="1"/>
  <c r="F15" i="57"/>
  <c r="G15" i="57" s="1"/>
  <c r="H15" i="57" s="1"/>
  <c r="F23" i="42"/>
  <c r="G23" i="42" s="1"/>
  <c r="H23" i="42" s="1"/>
  <c r="F16" i="42"/>
  <c r="G16" i="42" s="1"/>
  <c r="H16" i="42" s="1"/>
  <c r="F22" i="42"/>
  <c r="G22" i="42" s="1"/>
  <c r="H22" i="42" s="1"/>
  <c r="F22" i="57"/>
  <c r="G22" i="57" s="1"/>
  <c r="H22" i="57" s="1"/>
  <c r="F14" i="57"/>
  <c r="G14" i="57" s="1"/>
  <c r="H14" i="57" s="1"/>
  <c r="F15" i="42"/>
  <c r="G15" i="42" s="1"/>
  <c r="H15" i="42" s="1"/>
  <c r="F21" i="57"/>
  <c r="G21" i="57" s="1"/>
  <c r="H21" i="57" s="1"/>
  <c r="F25" i="57"/>
  <c r="G25" i="57" s="1"/>
  <c r="H25" i="57" s="1"/>
  <c r="F20" i="57"/>
  <c r="G20" i="57" s="1"/>
  <c r="H20" i="57" s="1"/>
  <c r="F12" i="57"/>
  <c r="G12" i="57" s="1"/>
  <c r="H12" i="57" s="1"/>
  <c r="F21" i="42"/>
  <c r="G21" i="42" s="1"/>
  <c r="H21" i="42" s="1"/>
  <c r="F13" i="42"/>
  <c r="G13" i="42" s="1"/>
  <c r="H13" i="42" s="1"/>
  <c r="F18" i="57"/>
  <c r="G18" i="57" s="1"/>
  <c r="H18" i="57" s="1"/>
  <c r="F11" i="42"/>
  <c r="G11" i="42" s="1"/>
  <c r="H11" i="42" s="1"/>
  <c r="F19" i="57"/>
  <c r="G19" i="57" s="1"/>
  <c r="H19" i="57" s="1"/>
  <c r="F11" i="57"/>
  <c r="G11" i="57" s="1"/>
  <c r="H11" i="57" s="1"/>
  <c r="F20" i="42"/>
  <c r="G20" i="42" s="1"/>
  <c r="H20" i="42" s="1"/>
  <c r="F12" i="42"/>
  <c r="F10" i="57"/>
  <c r="G10" i="57" s="1"/>
  <c r="H10" i="57" s="1"/>
  <c r="F19" i="42"/>
  <c r="G19" i="42" s="1"/>
  <c r="H19" i="42" s="1"/>
  <c r="F24" i="42"/>
  <c r="G24" i="42" s="1"/>
  <c r="H24" i="42" s="1"/>
  <c r="G12" i="36"/>
  <c r="E10" i="36"/>
  <c r="F26" i="53"/>
  <c r="G26" i="53" s="1"/>
  <c r="E9" i="36"/>
  <c r="F25" i="53"/>
  <c r="G25" i="53" s="1"/>
  <c r="F29" i="53"/>
  <c r="G29" i="53" s="1"/>
  <c r="E13" i="36"/>
  <c r="F27" i="53"/>
  <c r="G27" i="53" s="1"/>
  <c r="E11" i="36"/>
  <c r="F9" i="42"/>
  <c r="G9" i="42" s="1"/>
  <c r="H9" i="42" s="1"/>
  <c r="G12" i="42"/>
  <c r="H12" i="42" s="1"/>
  <c r="G10" i="42"/>
  <c r="H10" i="42" s="1"/>
  <c r="G14" i="2"/>
  <c r="G16" i="2"/>
  <c r="G13" i="2"/>
  <c r="G12" i="2"/>
  <c r="G30" i="53" l="1"/>
  <c r="H4" i="53" s="1"/>
  <c r="H6" i="53" s="1"/>
  <c r="H9" i="53" s="1"/>
  <c r="H10" i="53" s="1"/>
  <c r="G9" i="36"/>
  <c r="H12" i="2"/>
  <c r="G10" i="36"/>
  <c r="H13" i="2"/>
  <c r="G13" i="36"/>
  <c r="H16" i="2"/>
  <c r="G11" i="36"/>
  <c r="H14" i="2"/>
</calcChain>
</file>

<file path=xl/sharedStrings.xml><?xml version="1.0" encoding="utf-8"?>
<sst xmlns="http://schemas.openxmlformats.org/spreadsheetml/2006/main" count="492" uniqueCount="319">
  <si>
    <t>Total Operating Expenses</t>
  </si>
  <si>
    <t>Taxes Other Than Income</t>
  </si>
  <si>
    <t>Salaries and Wages - Employees</t>
  </si>
  <si>
    <t>Salaries and Wages - Officers</t>
  </si>
  <si>
    <t>Employee Pensions and Benefits</t>
  </si>
  <si>
    <t>Purchased Water</t>
  </si>
  <si>
    <t>Purchased Power</t>
  </si>
  <si>
    <t>Materials and Supplies</t>
  </si>
  <si>
    <t>Miscellaneous Expenses</t>
  </si>
  <si>
    <t>Transportation Expenses</t>
  </si>
  <si>
    <t>Proposed</t>
  </si>
  <si>
    <t>Percent</t>
  </si>
  <si>
    <t>Interest Income</t>
  </si>
  <si>
    <t>Total</t>
  </si>
  <si>
    <t>Gallons</t>
  </si>
  <si>
    <t>Operating Revenues</t>
  </si>
  <si>
    <t>Sales for Resale</t>
  </si>
  <si>
    <t>Other Water Revenues:</t>
  </si>
  <si>
    <t>Misc. Service Revenues</t>
  </si>
  <si>
    <t>Total Operating Revenues</t>
  </si>
  <si>
    <t>Operating Expenses</t>
  </si>
  <si>
    <t>Depreciation Expense</t>
  </si>
  <si>
    <t>REVENUE REQUIREMENTS</t>
  </si>
  <si>
    <t>Plus:</t>
  </si>
  <si>
    <t>Less:</t>
  </si>
  <si>
    <t>Other Operating Revenue</t>
  </si>
  <si>
    <t>Existing</t>
  </si>
  <si>
    <t>Change</t>
  </si>
  <si>
    <t>1"</t>
  </si>
  <si>
    <t>2"</t>
  </si>
  <si>
    <t>No. of Gallons per Month</t>
  </si>
  <si>
    <t>Table A</t>
  </si>
  <si>
    <t>SCHEDULE OF ADJUSTED OPERATIONS</t>
  </si>
  <si>
    <t>Test Year</t>
  </si>
  <si>
    <t>Adjustments</t>
  </si>
  <si>
    <t>Ref.</t>
  </si>
  <si>
    <t>Proforma</t>
  </si>
  <si>
    <t>Operation and Maintenance</t>
  </si>
  <si>
    <t>Total Operation and Mnt. Expenses</t>
  </si>
  <si>
    <t>Total Utility Operating Income</t>
  </si>
  <si>
    <t>Pro Forma Operating Expenses</t>
  </si>
  <si>
    <t>Adjustment</t>
  </si>
  <si>
    <t>Forfeited Discounts</t>
  </si>
  <si>
    <t>Total Metered Retail Sales</t>
  </si>
  <si>
    <t>DEPRECIATION EXPENSE ADJUSTMENTS</t>
  </si>
  <si>
    <t>Depreciation</t>
  </si>
  <si>
    <t>Date in</t>
  </si>
  <si>
    <t>Original</t>
  </si>
  <si>
    <t>Expense</t>
  </si>
  <si>
    <t>Service</t>
  </si>
  <si>
    <t>Life</t>
  </si>
  <si>
    <t>Depr. Exp.</t>
  </si>
  <si>
    <t>TOTAL</t>
  </si>
  <si>
    <t>Increase</t>
  </si>
  <si>
    <t>CURRENT AND PROPOSED RATES</t>
  </si>
  <si>
    <t>Current</t>
  </si>
  <si>
    <t>MONTHLY WATER RATES</t>
  </si>
  <si>
    <t>Dollar</t>
  </si>
  <si>
    <t xml:space="preserve">  RETAIL RATES  </t>
  </si>
  <si>
    <t>Private Fire Protection</t>
  </si>
  <si>
    <t>Other Water Revenues</t>
  </si>
  <si>
    <t>Rental of Building/Real Property</t>
  </si>
  <si>
    <t>Insurance - Other</t>
  </si>
  <si>
    <t>Bad Debt</t>
  </si>
  <si>
    <t>Revenue Required From Sales of Water</t>
  </si>
  <si>
    <t>Revenue from Sales with Present Rates</t>
  </si>
  <si>
    <t>Total Revenue Requirement</t>
  </si>
  <si>
    <t>Required Revenue Increase</t>
  </si>
  <si>
    <t>Percent Increase</t>
  </si>
  <si>
    <t>Meter</t>
  </si>
  <si>
    <t>Difference</t>
  </si>
  <si>
    <t>Bill</t>
  </si>
  <si>
    <t>Percentage</t>
  </si>
  <si>
    <t>Size</t>
  </si>
  <si>
    <t>5/8 x 3/4"</t>
  </si>
  <si>
    <t>TOTALS</t>
  </si>
  <si>
    <t>TABLE C</t>
  </si>
  <si>
    <t>per Month*</t>
  </si>
  <si>
    <t>* Highlighted usage represents the average residential bill.</t>
  </si>
  <si>
    <t>Chemicals</t>
  </si>
  <si>
    <t>Next 6,000 Gallons</t>
  </si>
  <si>
    <t>Rate per Thousand Gallons per Month</t>
  </si>
  <si>
    <t>Monthly Rates for Water Usage</t>
  </si>
  <si>
    <t>Salaries &amp; Wages and Associated Adjustments</t>
  </si>
  <si>
    <t>Pro Forma</t>
  </si>
  <si>
    <t xml:space="preserve">Pro Forma </t>
  </si>
  <si>
    <t>Employee</t>
  </si>
  <si>
    <t>Reg. Hrs</t>
  </si>
  <si>
    <t>O. T. Hours</t>
  </si>
  <si>
    <t>Wage Rate</t>
  </si>
  <si>
    <t>Reg. Wages</t>
  </si>
  <si>
    <t>O. T. Wages</t>
  </si>
  <si>
    <t>Wages</t>
  </si>
  <si>
    <t>Pro Forma Salaries &amp; Wages Expense</t>
  </si>
  <si>
    <t>Less: Test Year Salaries &amp; Wages Exp</t>
  </si>
  <si>
    <t>Pro Forma Salaries &amp; Wages Adj'mt</t>
  </si>
  <si>
    <t xml:space="preserve"> </t>
  </si>
  <si>
    <t>Pro Forma Salaries and Wages Expense</t>
  </si>
  <si>
    <t>Times: 7.65 Percent FICA Rate</t>
  </si>
  <si>
    <t>Pro Forma Payroll Taxes</t>
  </si>
  <si>
    <t>Less: Test Year Payroll Taxes</t>
  </si>
  <si>
    <t>Payroll Tax Adjustment</t>
  </si>
  <si>
    <t>Wages applicable to CERS payments</t>
  </si>
  <si>
    <t>Times: Percent Pension Contribution</t>
  </si>
  <si>
    <t>Total Pro Forma Pension Contribution</t>
  </si>
  <si>
    <t>Less: Test Year Pension Contribution</t>
  </si>
  <si>
    <t>Pension &amp; Benefits Adjustment</t>
  </si>
  <si>
    <t>Average Annual Principal and Interest Payments</t>
  </si>
  <si>
    <t>Additional Working Capital</t>
  </si>
  <si>
    <t>Table B</t>
  </si>
  <si>
    <t>DEBT SERVICE SCHDULE</t>
  </si>
  <si>
    <t>CY 2022 - 2026</t>
  </si>
  <si>
    <t>CY 2022</t>
  </si>
  <si>
    <t>CY 2023</t>
  </si>
  <si>
    <t>CY 2024</t>
  </si>
  <si>
    <t>CY 2025</t>
  </si>
  <si>
    <t>CY 2026</t>
  </si>
  <si>
    <t>Interest</t>
  </si>
  <si>
    <t>Principal</t>
  </si>
  <si>
    <t>&amp; Fees</t>
  </si>
  <si>
    <t>Average Annual Principal &amp; Interest</t>
  </si>
  <si>
    <t>Average Annual Coverage</t>
  </si>
  <si>
    <t>General Plant</t>
  </si>
  <si>
    <t>Pumping Plant</t>
  </si>
  <si>
    <t>Transmission &amp; Distribution Plant</t>
  </si>
  <si>
    <t>Transportation Equipment</t>
  </si>
  <si>
    <t>Water Treatment Plant</t>
  </si>
  <si>
    <t>Asset</t>
  </si>
  <si>
    <t>Structures &amp; Improvements</t>
  </si>
  <si>
    <t>Communication &amp; Computer Eqmt.</t>
  </si>
  <si>
    <t>Office Furniture &amp; Equipment</t>
  </si>
  <si>
    <t>Power Operated Equipment</t>
  </si>
  <si>
    <t>Tools, Shop, &amp; Garage Equipment</t>
  </si>
  <si>
    <t>Tank Repairs &amp; Painting</t>
  </si>
  <si>
    <t>Telemetry</t>
  </si>
  <si>
    <t>Pumping Equipment</t>
  </si>
  <si>
    <t>Hydrants</t>
  </si>
  <si>
    <t>Transmission &amp; Distribution Mains</t>
  </si>
  <si>
    <t>Meter Installations</t>
  </si>
  <si>
    <t>Meter Change-outs</t>
  </si>
  <si>
    <t>Pump Equipment</t>
  </si>
  <si>
    <t>Tank Fence</t>
  </si>
  <si>
    <t>Services</t>
  </si>
  <si>
    <t>Reservoirs &amp; Tanks</t>
  </si>
  <si>
    <t>Tank Painting &amp; Repairs</t>
  </si>
  <si>
    <t>Entire Group</t>
  </si>
  <si>
    <t xml:space="preserve">              *  Includes only costs associated with assets that contributed to depreciation expense in the test year.</t>
  </si>
  <si>
    <t>Cost *</t>
  </si>
  <si>
    <t>Reported</t>
  </si>
  <si>
    <t>varies</t>
  </si>
  <si>
    <t>Water Loss Adjustment</t>
  </si>
  <si>
    <t>Sold</t>
  </si>
  <si>
    <t>Uses:</t>
  </si>
  <si>
    <t xml:space="preserve">  water loss percentage</t>
  </si>
  <si>
    <t xml:space="preserve">  allowable in rates</t>
  </si>
  <si>
    <t xml:space="preserve">  adjustment percentage</t>
  </si>
  <si>
    <t>Produced</t>
  </si>
  <si>
    <t>Purchased</t>
  </si>
  <si>
    <t>Total Produced and Purchased</t>
  </si>
  <si>
    <t>Total Other Water Used</t>
  </si>
  <si>
    <t>Losses:</t>
  </si>
  <si>
    <t xml:space="preserve">   WTP</t>
  </si>
  <si>
    <t xml:space="preserve">   Flushing</t>
  </si>
  <si>
    <t xml:space="preserve">   Fire</t>
  </si>
  <si>
    <t xml:space="preserve">   Other</t>
  </si>
  <si>
    <t xml:space="preserve">   Line Leaks</t>
  </si>
  <si>
    <t xml:space="preserve">   Unknown</t>
  </si>
  <si>
    <t>Total Losses:</t>
  </si>
  <si>
    <t>Sold, Used, and Lost</t>
  </si>
  <si>
    <t>Total Gross Wages</t>
  </si>
  <si>
    <t>Gross Wages for Full Time Employees CERS Eligible</t>
  </si>
  <si>
    <t>Labor and Materials Adjustment for New Service Installations</t>
  </si>
  <si>
    <t xml:space="preserve">Labor </t>
  </si>
  <si>
    <t xml:space="preserve">Materials </t>
  </si>
  <si>
    <t>New Meter Fees Collected</t>
  </si>
  <si>
    <t>MONTHLY</t>
  </si>
  <si>
    <t>DISTRICT'S</t>
  </si>
  <si>
    <t>Allowable</t>
  </si>
  <si>
    <t>EMPLOYEE</t>
  </si>
  <si>
    <t xml:space="preserve">WATER DIST </t>
  </si>
  <si>
    <t>ANNUAL</t>
  </si>
  <si>
    <t>Employer</t>
  </si>
  <si>
    <t>PREMIUM</t>
  </si>
  <si>
    <t>CONTRIB</t>
  </si>
  <si>
    <t>CONTRIB %</t>
  </si>
  <si>
    <t>Share</t>
  </si>
  <si>
    <t>Premium</t>
  </si>
  <si>
    <t>K</t>
  </si>
  <si>
    <t>Structures and Improvements</t>
  </si>
  <si>
    <t>Water Treatment Equipment</t>
  </si>
  <si>
    <t>Source of Supply Plant</t>
  </si>
  <si>
    <t>Collecting &amp; Impounding Reservoirs</t>
  </si>
  <si>
    <t>Supply Mains</t>
  </si>
  <si>
    <t>L</t>
  </si>
  <si>
    <t>``</t>
  </si>
  <si>
    <t>Pension</t>
  </si>
  <si>
    <t>Eligible</t>
  </si>
  <si>
    <t>TABLE D</t>
  </si>
  <si>
    <t>WATER LOSS REDUCTION SURCHARGE</t>
  </si>
  <si>
    <t>Amount per Customer</t>
  </si>
  <si>
    <t>per month</t>
  </si>
  <si>
    <t>Total Adjustment</t>
  </si>
  <si>
    <t>Monthly Surcharge Amount</t>
  </si>
  <si>
    <t>CURRENT AND PROPOSED BILLS</t>
  </si>
  <si>
    <t>/ Number of Bills</t>
  </si>
  <si>
    <t>TABLE E</t>
  </si>
  <si>
    <t>Contractual Services - Accounting</t>
  </si>
  <si>
    <t>Contractual Services - Management</t>
  </si>
  <si>
    <t>Contractual Services - Other</t>
  </si>
  <si>
    <t>Insurance - General Liability</t>
  </si>
  <si>
    <t xml:space="preserve">   Tank Overflows</t>
  </si>
  <si>
    <t xml:space="preserve">   Line Breaks</t>
  </si>
  <si>
    <t>First 2,000 Gallons</t>
  </si>
  <si>
    <t>Next 2,000 Gallons</t>
  </si>
  <si>
    <t>Next 90,000 Gallons</t>
  </si>
  <si>
    <t>Over 100,000 Gallons</t>
  </si>
  <si>
    <t>CURRENT BILLING ANALYSIS</t>
  </si>
  <si>
    <t>Summary</t>
  </si>
  <si>
    <t>Customer Class</t>
  </si>
  <si>
    <t># of Bills</t>
  </si>
  <si>
    <t>Gallons Sold</t>
  </si>
  <si>
    <t>Revenue</t>
  </si>
  <si>
    <t>Residential/Commercial</t>
  </si>
  <si>
    <t>First</t>
  </si>
  <si>
    <t>Next</t>
  </si>
  <si>
    <t>Over</t>
  </si>
  <si>
    <t>Usage</t>
  </si>
  <si>
    <t>Bills</t>
  </si>
  <si>
    <t>REVENUE BY RATE INCREMENT</t>
  </si>
  <si>
    <t xml:space="preserve">Rate </t>
  </si>
  <si>
    <t>Less Adjustments</t>
  </si>
  <si>
    <t>,</t>
  </si>
  <si>
    <t>Costs Subject to Water Loss Adjustment</t>
  </si>
  <si>
    <t>Computation of Water Loss Surcharge</t>
  </si>
  <si>
    <t>PROPOSED BILLING ANALYSIS</t>
  </si>
  <si>
    <t>South Woodford Water District</t>
  </si>
  <si>
    <t>Net Retail</t>
  </si>
  <si>
    <t>From PSC Annual Report</t>
  </si>
  <si>
    <t>Adjustment to SAO Billed Retail Revenues</t>
  </si>
  <si>
    <t>SOUTH WOODFORD WATER DISTRICT</t>
  </si>
  <si>
    <t>KRWFC Series 2007A</t>
  </si>
  <si>
    <t>Heather Hensley</t>
  </si>
  <si>
    <t>N</t>
  </si>
  <si>
    <t>Janet Napier</t>
  </si>
  <si>
    <t>RD04 Loan Series 1996 A</t>
  </si>
  <si>
    <t>RD05 Loan Series 1996B</t>
  </si>
  <si>
    <t>RD06 Loan Series 1999A</t>
  </si>
  <si>
    <t>RD07 Loan Series 1999B</t>
  </si>
  <si>
    <t>Adjustments:</t>
  </si>
  <si>
    <t>Exclude entire amount of Dental Insurance from Insurance - General Liability</t>
  </si>
  <si>
    <t>Add allowable employer share of Dental Insurance to Employee Pensions and Benefits</t>
  </si>
  <si>
    <t>Dental Insurance Adjustment</t>
  </si>
  <si>
    <t>Add cost of allowed dental insurance to correct line.</t>
  </si>
  <si>
    <t>Remove cost of dental insurance from incorrect line.</t>
  </si>
  <si>
    <t>Remove cost of materials related to tap fee collections.</t>
  </si>
  <si>
    <t>Remove cost of labor related to tap fee collections.</t>
  </si>
  <si>
    <t>varlies</t>
  </si>
  <si>
    <t>Correction to amount shown on 2020 PSC Annual Report.</t>
  </si>
  <si>
    <t>Contractor Costs</t>
  </si>
  <si>
    <t>Contract Management</t>
  </si>
  <si>
    <t>Contract Labor</t>
  </si>
  <si>
    <t>ProForma</t>
  </si>
  <si>
    <t>Adjust purchased water above 15% water loss.</t>
  </si>
  <si>
    <t>Adjust purchased power above 15%water loss.</t>
  </si>
  <si>
    <t>Adjust cost for new management contract</t>
  </si>
  <si>
    <t>Replenish Depreciation Fund</t>
  </si>
  <si>
    <t>See email from Auditor re Replenish Depreciation Fund</t>
  </si>
  <si>
    <t>A</t>
  </si>
  <si>
    <t>Adjust billed water revenues to billing analysis.</t>
  </si>
  <si>
    <t>B</t>
  </si>
  <si>
    <t>C</t>
  </si>
  <si>
    <t>E</t>
  </si>
  <si>
    <t>D</t>
  </si>
  <si>
    <t>F</t>
  </si>
  <si>
    <t>G</t>
  </si>
  <si>
    <t>H</t>
  </si>
  <si>
    <t>J</t>
  </si>
  <si>
    <t>Adjust depreciation expense based upon allowed useful lives.</t>
  </si>
  <si>
    <t>Adjust payroll taxes based upon salaries and wages.</t>
  </si>
  <si>
    <t>Average of five years of annual debt service.</t>
  </si>
  <si>
    <t>Twenty percent of average annual debt service.</t>
  </si>
  <si>
    <t>I</t>
  </si>
  <si>
    <t>WITH WATER LOSS REDUCTION SURCHARGE</t>
  </si>
  <si>
    <t>Adjust for additional meter reading costs.</t>
  </si>
  <si>
    <t xml:space="preserve">South Woodford Water District </t>
  </si>
  <si>
    <t>Matthew Coyle</t>
  </si>
  <si>
    <t>Revenue Required from New Rates</t>
  </si>
  <si>
    <t>M</t>
  </si>
  <si>
    <t>Water Testing</t>
  </si>
  <si>
    <t>Reading Meters 1</t>
  </si>
  <si>
    <t>Reading Meters 2</t>
  </si>
  <si>
    <t>Reading Meters 3</t>
  </si>
  <si>
    <t>Maintenance</t>
  </si>
  <si>
    <t>Hours</t>
  </si>
  <si>
    <t>Test Year Rate</t>
  </si>
  <si>
    <t>Test Year Total</t>
  </si>
  <si>
    <t>Proforma Rate</t>
  </si>
  <si>
    <t>Proforma Total</t>
  </si>
  <si>
    <t>Two Men and Truck First Hour</t>
  </si>
  <si>
    <t>Two Men and Truck Subsequent Hours</t>
  </si>
  <si>
    <t>Two Men, Truck, and Excavator First Hour</t>
  </si>
  <si>
    <t>Two Men, Truck, and Excavator Subsequent Hours</t>
  </si>
  <si>
    <t>Service Calls/Meter Reading and Verification</t>
  </si>
  <si>
    <t>Service Calls/Meter Changeout and Turning Valves</t>
  </si>
  <si>
    <t>Location</t>
  </si>
  <si>
    <t>Tab Dental Cell C14</t>
  </si>
  <si>
    <t>Tab ExBA Cell H8</t>
  </si>
  <si>
    <t>Tab Water Loss Cell D29</t>
  </si>
  <si>
    <t>Tab Water Loss Cell D30</t>
  </si>
  <si>
    <t>Tab Capital Cell C6</t>
  </si>
  <si>
    <t>Tab Contractors Cell G6</t>
  </si>
  <si>
    <t>Tab Capital Cell C5</t>
  </si>
  <si>
    <t>File 9a_Known_and_Measurable_Changes-Meter_Reading</t>
  </si>
  <si>
    <t>Tab Debt Service Cell M21</t>
  </si>
  <si>
    <t>Tab Debt Service Cell M23</t>
  </si>
  <si>
    <t>Tab Wages Cell G22</t>
  </si>
  <si>
    <t>Tab Depreciation Cell K44</t>
  </si>
  <si>
    <t>Tab Dental Cell C12</t>
  </si>
  <si>
    <t>Documentation of this adjustment was not found.  Recommend removal.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</si>
</sst>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.00"/>
    <numFmt numFmtId="167" formatCode="0.0%"/>
    <numFmt numFmtId="168" formatCode="_(* #,##0.0_);_(* \(#,##0.0\);_(* &quot;-&quot;??_);_(@_)"/>
    <numFmt numFmtId="169" formatCode="mm/dd/yy;@"/>
    <numFmt numFmtId="170" formatCode="_([$$-409]* #,##0_);_([$$-409]* \(#,##0\);_([$$-409]* &quot;-&quot;??_);_(@_)"/>
    <numFmt numFmtId="171" formatCode="[$$-409]#,##0"/>
  </numFmts>
  <fonts count="32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6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b/>
      <i/>
      <u/>
      <sz val="14"/>
      <name val="Calibri"/>
      <family val="2"/>
      <scheme val="minor"/>
    </font>
    <font>
      <sz val="14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u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344">
    <xf numFmtId="0" fontId="0" fillId="0" borderId="0" xfId="0"/>
    <xf numFmtId="0" fontId="6" fillId="0" borderId="0" xfId="0" applyFont="1"/>
    <xf numFmtId="165" fontId="6" fillId="0" borderId="0" xfId="0" applyNumberFormat="1" applyFont="1"/>
    <xf numFmtId="3" fontId="6" fillId="0" borderId="0" xfId="0" applyNumberFormat="1" applyFont="1"/>
    <xf numFmtId="0" fontId="0" fillId="0" borderId="6" xfId="0" applyBorder="1"/>
    <xf numFmtId="165" fontId="6" fillId="0" borderId="1" xfId="1" applyNumberFormat="1" applyFont="1" applyBorder="1"/>
    <xf numFmtId="165" fontId="6" fillId="0" borderId="0" xfId="1" applyNumberFormat="1" applyFont="1" applyBorder="1"/>
    <xf numFmtId="165" fontId="6" fillId="0" borderId="0" xfId="1" applyNumberFormat="1" applyFont="1"/>
    <xf numFmtId="165" fontId="6" fillId="0" borderId="3" xfId="1" applyNumberFormat="1" applyFont="1" applyBorder="1"/>
    <xf numFmtId="165" fontId="6" fillId="0" borderId="2" xfId="1" applyNumberFormat="1" applyFont="1" applyBorder="1"/>
    <xf numFmtId="165" fontId="6" fillId="0" borderId="4" xfId="1" applyNumberFormat="1" applyFont="1" applyBorder="1"/>
    <xf numFmtId="165" fontId="6" fillId="0" borderId="7" xfId="1" applyNumberFormat="1" applyFont="1" applyBorder="1"/>
    <xf numFmtId="165" fontId="6" fillId="0" borderId="8" xfId="1" applyNumberFormat="1" applyFont="1" applyBorder="1"/>
    <xf numFmtId="165" fontId="6" fillId="0" borderId="5" xfId="1" applyNumberFormat="1" applyFont="1" applyBorder="1"/>
    <xf numFmtId="165" fontId="6" fillId="0" borderId="6" xfId="1" applyNumberFormat="1" applyFont="1" applyBorder="1"/>
    <xf numFmtId="43" fontId="6" fillId="0" borderId="0" xfId="1" applyFont="1"/>
    <xf numFmtId="165" fontId="12" fillId="0" borderId="0" xfId="1" applyNumberFormat="1" applyFont="1" applyBorder="1" applyAlignment="1">
      <alignment horizontal="center"/>
    </xf>
    <xf numFmtId="43" fontId="6" fillId="0" borderId="0" xfId="1" applyFont="1" applyBorder="1"/>
    <xf numFmtId="165" fontId="6" fillId="0" borderId="0" xfId="5" applyNumberFormat="1" applyFont="1"/>
    <xf numFmtId="3" fontId="6" fillId="0" borderId="0" xfId="0" applyNumberFormat="1" applyFont="1" applyAlignment="1">
      <alignment horizontal="right"/>
    </xf>
    <xf numFmtId="165" fontId="6" fillId="0" borderId="7" xfId="5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65" fontId="6" fillId="0" borderId="0" xfId="5" applyNumberFormat="1" applyFont="1" applyBorder="1"/>
    <xf numFmtId="165" fontId="12" fillId="0" borderId="0" xfId="1" applyNumberFormat="1" applyFont="1"/>
    <xf numFmtId="168" fontId="11" fillId="0" borderId="0" xfId="5" applyNumberFormat="1" applyFont="1" applyBorder="1" applyAlignment="1">
      <alignment horizontal="center"/>
    </xf>
    <xf numFmtId="43" fontId="6" fillId="0" borderId="0" xfId="1" applyFont="1" applyBorder="1" applyAlignment="1"/>
    <xf numFmtId="43" fontId="6" fillId="0" borderId="0" xfId="1" applyFont="1" applyBorder="1" applyAlignment="1">
      <alignment horizontal="right"/>
    </xf>
    <xf numFmtId="43" fontId="12" fillId="0" borderId="0" xfId="1" applyFont="1" applyBorder="1" applyAlignment="1">
      <alignment horizontal="center"/>
    </xf>
    <xf numFmtId="44" fontId="6" fillId="0" borderId="0" xfId="2" applyFont="1" applyBorder="1" applyAlignment="1"/>
    <xf numFmtId="44" fontId="6" fillId="0" borderId="0" xfId="2" applyFont="1" applyBorder="1" applyAlignment="1">
      <alignment vertical="center"/>
    </xf>
    <xf numFmtId="165" fontId="6" fillId="0" borderId="1" xfId="0" applyNumberFormat="1" applyFont="1" applyBorder="1"/>
    <xf numFmtId="164" fontId="6" fillId="0" borderId="0" xfId="6" applyNumberFormat="1" applyFont="1"/>
    <xf numFmtId="165" fontId="9" fillId="0" borderId="0" xfId="1" applyNumberFormat="1" applyFont="1"/>
    <xf numFmtId="165" fontId="12" fillId="0" borderId="8" xfId="1" applyNumberFormat="1" applyFont="1" applyBorder="1" applyAlignment="1">
      <alignment horizontal="center"/>
    </xf>
    <xf numFmtId="43" fontId="9" fillId="0" borderId="0" xfId="1" applyFont="1" applyBorder="1" applyAlignment="1">
      <alignment horizontal="left"/>
    </xf>
    <xf numFmtId="3" fontId="7" fillId="0" borderId="0" xfId="0" applyNumberFormat="1" applyFont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43" fontId="6" fillId="0" borderId="8" xfId="1" quotePrefix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3" fontId="6" fillId="0" borderId="1" xfId="1" applyFont="1" applyBorder="1"/>
    <xf numFmtId="167" fontId="6" fillId="0" borderId="8" xfId="3" applyNumberFormat="1" applyFont="1" applyBorder="1"/>
    <xf numFmtId="165" fontId="6" fillId="2" borderId="0" xfId="1" applyNumberFormat="1" applyFont="1" applyFill="1" applyBorder="1"/>
    <xf numFmtId="43" fontId="6" fillId="2" borderId="8" xfId="1" quotePrefix="1" applyFont="1" applyFill="1" applyBorder="1" applyAlignment="1">
      <alignment horizontal="center"/>
    </xf>
    <xf numFmtId="43" fontId="6" fillId="2" borderId="0" xfId="1" applyFont="1" applyFill="1" applyBorder="1"/>
    <xf numFmtId="167" fontId="6" fillId="2" borderId="8" xfId="3" applyNumberFormat="1" applyFont="1" applyFill="1" applyBorder="1"/>
    <xf numFmtId="165" fontId="17" fillId="0" borderId="0" xfId="1" applyNumberFormat="1" applyFont="1"/>
    <xf numFmtId="0" fontId="23" fillId="0" borderId="0" xfId="0" applyFont="1" applyFill="1" applyBorder="1" applyAlignment="1">
      <alignment horizontal="center"/>
    </xf>
    <xf numFmtId="10" fontId="6" fillId="0" borderId="0" xfId="0" applyNumberFormat="1" applyFont="1"/>
    <xf numFmtId="44" fontId="6" fillId="0" borderId="0" xfId="2" applyFont="1" applyBorder="1"/>
    <xf numFmtId="165" fontId="6" fillId="0" borderId="0" xfId="5" quotePrefix="1" applyNumberFormat="1" applyFont="1"/>
    <xf numFmtId="43" fontId="11" fillId="0" borderId="0" xfId="1" applyFont="1" applyBorder="1" applyAlignment="1">
      <alignment horizontal="center"/>
    </xf>
    <xf numFmtId="43" fontId="6" fillId="0" borderId="0" xfId="1" applyFont="1" applyBorder="1" applyAlignment="1">
      <alignment horizontal="center"/>
    </xf>
    <xf numFmtId="167" fontId="6" fillId="0" borderId="0" xfId="3" applyNumberFormat="1" applyFont="1" applyBorder="1" applyAlignment="1"/>
    <xf numFmtId="2" fontId="6" fillId="0" borderId="0" xfId="1" applyNumberFormat="1" applyFont="1" applyBorder="1"/>
    <xf numFmtId="2" fontId="6" fillId="0" borderId="0" xfId="1" applyNumberFormat="1" applyFont="1" applyBorder="1" applyAlignment="1"/>
    <xf numFmtId="0" fontId="6" fillId="0" borderId="7" xfId="0" applyFont="1" applyBorder="1"/>
    <xf numFmtId="165" fontId="20" fillId="0" borderId="0" xfId="1" applyNumberFormat="1" applyFont="1"/>
    <xf numFmtId="165" fontId="6" fillId="0" borderId="0" xfId="1" applyNumberFormat="1" applyFont="1" applyAlignment="1">
      <alignment horizontal="centerContinuous" vertical="center"/>
    </xf>
    <xf numFmtId="165" fontId="6" fillId="0" borderId="0" xfId="1" applyNumberFormat="1" applyFont="1" applyAlignment="1">
      <alignment vertical="center"/>
    </xf>
    <xf numFmtId="165" fontId="15" fillId="0" borderId="0" xfId="1" applyNumberFormat="1" applyFont="1" applyAlignment="1">
      <alignment horizontal="centerContinuous" vertical="center"/>
    </xf>
    <xf numFmtId="165" fontId="11" fillId="0" borderId="0" xfId="1" applyNumberFormat="1" applyFont="1" applyAlignment="1">
      <alignment horizontal="center" vertical="center"/>
    </xf>
    <xf numFmtId="165" fontId="9" fillId="0" borderId="0" xfId="1" applyNumberFormat="1" applyFont="1" applyAlignment="1">
      <alignment vertical="center"/>
    </xf>
    <xf numFmtId="165" fontId="6" fillId="0" borderId="0" xfId="1" applyNumberFormat="1" applyFont="1" applyAlignment="1">
      <alignment horizontal="center" vertical="center"/>
    </xf>
    <xf numFmtId="165" fontId="16" fillId="0" borderId="0" xfId="1" applyNumberFormat="1" applyFont="1" applyAlignment="1">
      <alignment vertical="center"/>
    </xf>
    <xf numFmtId="165" fontId="18" fillId="0" borderId="0" xfId="1" applyNumberFormat="1" applyFont="1" applyAlignment="1">
      <alignment vertical="center"/>
    </xf>
    <xf numFmtId="165" fontId="21" fillId="0" borderId="0" xfId="1" applyNumberFormat="1" applyFont="1" applyAlignment="1">
      <alignment vertical="center"/>
    </xf>
    <xf numFmtId="165" fontId="10" fillId="0" borderId="0" xfId="1" applyNumberFormat="1" applyFont="1" applyAlignment="1">
      <alignment vertical="center"/>
    </xf>
    <xf numFmtId="165" fontId="6" fillId="0" borderId="0" xfId="1" applyNumberFormat="1" applyFont="1" applyAlignment="1">
      <alignment horizontal="center"/>
    </xf>
    <xf numFmtId="165" fontId="16" fillId="0" borderId="0" xfId="1" applyNumberFormat="1" applyFont="1" applyAlignment="1">
      <alignment horizontal="left"/>
    </xf>
    <xf numFmtId="165" fontId="16" fillId="0" borderId="0" xfId="1" applyNumberFormat="1" applyFont="1" applyAlignment="1">
      <alignment horizontal="center"/>
    </xf>
    <xf numFmtId="165" fontId="13" fillId="0" borderId="0" xfId="1" quotePrefix="1" applyNumberFormat="1" applyFont="1" applyAlignment="1">
      <alignment horizontal="center" vertical="center"/>
    </xf>
    <xf numFmtId="165" fontId="13" fillId="0" borderId="0" xfId="1" applyNumberFormat="1" applyFont="1" applyAlignment="1">
      <alignment horizontal="center" vertical="center"/>
    </xf>
    <xf numFmtId="165" fontId="6" fillId="0" borderId="0" xfId="1" applyNumberFormat="1" applyFont="1" applyAlignment="1"/>
    <xf numFmtId="165" fontId="13" fillId="0" borderId="0" xfId="1" applyNumberFormat="1" applyFont="1" applyAlignment="1">
      <alignment vertical="center"/>
    </xf>
    <xf numFmtId="10" fontId="6" fillId="0" borderId="0" xfId="3" applyNumberFormat="1" applyFont="1" applyAlignment="1">
      <alignment vertical="center"/>
    </xf>
    <xf numFmtId="165" fontId="6" fillId="0" borderId="6" xfId="5" applyNumberFormat="1" applyFont="1" applyBorder="1"/>
    <xf numFmtId="165" fontId="6" fillId="0" borderId="0" xfId="5" applyNumberFormat="1" applyFont="1" applyBorder="1" applyAlignment="1">
      <alignment horizontal="center"/>
    </xf>
    <xf numFmtId="10" fontId="6" fillId="0" borderId="0" xfId="3" applyNumberFormat="1" applyFont="1" applyBorder="1"/>
    <xf numFmtId="10" fontId="6" fillId="2" borderId="0" xfId="3" applyNumberFormat="1" applyFont="1" applyFill="1" applyBorder="1"/>
    <xf numFmtId="165" fontId="6" fillId="0" borderId="8" xfId="5" applyNumberFormat="1" applyFont="1" applyBorder="1"/>
    <xf numFmtId="165" fontId="10" fillId="0" borderId="7" xfId="5" applyNumberFormat="1" applyFont="1" applyBorder="1" applyAlignment="1">
      <alignment horizontal="center"/>
    </xf>
    <xf numFmtId="165" fontId="12" fillId="0" borderId="0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horizontal="center" vertical="center"/>
    </xf>
    <xf numFmtId="165" fontId="12" fillId="0" borderId="0" xfId="1" applyNumberFormat="1" applyFont="1" applyAlignment="1">
      <alignment vertical="center"/>
    </xf>
    <xf numFmtId="165" fontId="6" fillId="0" borderId="3" xfId="5" applyNumberFormat="1" applyFont="1" applyBorder="1"/>
    <xf numFmtId="165" fontId="6" fillId="0" borderId="2" xfId="5" applyNumberFormat="1" applyFont="1" applyBorder="1"/>
    <xf numFmtId="165" fontId="6" fillId="0" borderId="4" xfId="5" applyNumberFormat="1" applyFont="1" applyBorder="1"/>
    <xf numFmtId="165" fontId="7" fillId="0" borderId="7" xfId="5" applyNumberFormat="1" applyFont="1" applyBorder="1" applyAlignment="1">
      <alignment horizontal="centerContinuous"/>
    </xf>
    <xf numFmtId="165" fontId="10" fillId="0" borderId="0" xfId="5" applyNumberFormat="1" applyFont="1" applyAlignment="1">
      <alignment horizontal="centerContinuous"/>
    </xf>
    <xf numFmtId="165" fontId="8" fillId="0" borderId="7" xfId="5" applyNumberFormat="1" applyFont="1" applyBorder="1" applyAlignment="1">
      <alignment horizontal="centerContinuous"/>
    </xf>
    <xf numFmtId="165" fontId="11" fillId="0" borderId="0" xfId="5" applyNumberFormat="1" applyFont="1" applyAlignment="1">
      <alignment horizontal="centerContinuous"/>
    </xf>
    <xf numFmtId="3" fontId="15" fillId="0" borderId="7" xfId="0" applyNumberFormat="1" applyFont="1" applyBorder="1" applyAlignment="1">
      <alignment horizontal="centerContinuous" vertical="center"/>
    </xf>
    <xf numFmtId="165" fontId="25" fillId="0" borderId="7" xfId="5" applyNumberFormat="1" applyFont="1" applyBorder="1" applyAlignment="1">
      <alignment horizontal="centerContinuous"/>
    </xf>
    <xf numFmtId="165" fontId="6" fillId="0" borderId="0" xfId="5" applyNumberFormat="1" applyFont="1" applyAlignment="1">
      <alignment horizontal="centerContinuous"/>
    </xf>
    <xf numFmtId="165" fontId="6" fillId="0" borderId="7" xfId="5" applyNumberFormat="1" applyFont="1" applyBorder="1" applyAlignment="1">
      <alignment horizontal="centerContinuous"/>
    </xf>
    <xf numFmtId="165" fontId="6" fillId="0" borderId="9" xfId="5" applyNumberFormat="1" applyFont="1" applyBorder="1" applyAlignment="1">
      <alignment horizontal="left"/>
    </xf>
    <xf numFmtId="165" fontId="6" fillId="0" borderId="3" xfId="5" applyNumberFormat="1" applyFont="1" applyBorder="1" applyAlignment="1">
      <alignment horizontal="left"/>
    </xf>
    <xf numFmtId="165" fontId="6" fillId="0" borderId="2" xfId="5" applyNumberFormat="1" applyFont="1" applyBorder="1" applyAlignment="1">
      <alignment horizontal="left"/>
    </xf>
    <xf numFmtId="165" fontId="6" fillId="0" borderId="4" xfId="5" applyNumberFormat="1" applyFont="1" applyBorder="1" applyAlignment="1">
      <alignment horizontal="left"/>
    </xf>
    <xf numFmtId="165" fontId="6" fillId="0" borderId="10" xfId="5" applyNumberFormat="1" applyFont="1" applyBorder="1"/>
    <xf numFmtId="165" fontId="13" fillId="0" borderId="0" xfId="5" applyNumberFormat="1" applyFont="1" applyAlignment="1">
      <alignment horizontal="center" vertical="center"/>
    </xf>
    <xf numFmtId="165" fontId="10" fillId="0" borderId="8" xfId="5" applyNumberFormat="1" applyFont="1" applyBorder="1" applyAlignment="1">
      <alignment horizontal="center" vertical="center"/>
    </xf>
    <xf numFmtId="165" fontId="10" fillId="0" borderId="0" xfId="5" applyNumberFormat="1" applyFont="1" applyAlignment="1">
      <alignment horizontal="center" vertical="center"/>
    </xf>
    <xf numFmtId="165" fontId="13" fillId="0" borderId="8" xfId="5" applyNumberFormat="1" applyFont="1" applyBorder="1" applyAlignment="1">
      <alignment horizontal="center" vertical="center"/>
    </xf>
    <xf numFmtId="165" fontId="13" fillId="0" borderId="0" xfId="5" applyNumberFormat="1" applyFont="1" applyBorder="1" applyAlignment="1">
      <alignment horizontal="center" vertical="center"/>
    </xf>
    <xf numFmtId="165" fontId="6" fillId="0" borderId="10" xfId="5" applyNumberFormat="1" applyFont="1" applyBorder="1" applyAlignment="1">
      <alignment horizontal="left"/>
    </xf>
    <xf numFmtId="165" fontId="6" fillId="0" borderId="7" xfId="5" applyNumberFormat="1" applyFont="1" applyBorder="1" applyAlignment="1">
      <alignment horizontal="center"/>
    </xf>
    <xf numFmtId="165" fontId="6" fillId="0" borderId="0" xfId="5" applyNumberFormat="1" applyFont="1" applyAlignment="1">
      <alignment horizontal="center"/>
    </xf>
    <xf numFmtId="165" fontId="6" fillId="0" borderId="8" xfId="5" applyNumberFormat="1" applyFont="1" applyBorder="1" applyAlignment="1">
      <alignment horizontal="center"/>
    </xf>
    <xf numFmtId="165" fontId="6" fillId="0" borderId="0" xfId="5" quotePrefix="1" applyNumberFormat="1" applyFont="1" applyBorder="1" applyAlignment="1">
      <alignment horizontal="center"/>
    </xf>
    <xf numFmtId="165" fontId="6" fillId="0" borderId="7" xfId="5" quotePrefix="1" applyNumberFormat="1" applyFont="1" applyBorder="1" applyAlignment="1">
      <alignment horizontal="left"/>
    </xf>
    <xf numFmtId="165" fontId="6" fillId="0" borderId="0" xfId="5" quotePrefix="1" applyNumberFormat="1" applyFont="1" applyAlignment="1">
      <alignment horizontal="left"/>
    </xf>
    <xf numFmtId="165" fontId="6" fillId="0" borderId="8" xfId="5" quotePrefix="1" applyNumberFormat="1" applyFont="1" applyBorder="1" applyAlignment="1">
      <alignment horizontal="left"/>
    </xf>
    <xf numFmtId="165" fontId="10" fillId="0" borderId="7" xfId="5" quotePrefix="1" applyNumberFormat="1" applyFont="1" applyBorder="1" applyAlignment="1">
      <alignment horizontal="left"/>
    </xf>
    <xf numFmtId="165" fontId="10" fillId="0" borderId="0" xfId="5" quotePrefix="1" applyNumberFormat="1" applyFont="1" applyAlignment="1">
      <alignment horizontal="left"/>
    </xf>
    <xf numFmtId="165" fontId="10" fillId="0" borderId="8" xfId="5" quotePrefix="1" applyNumberFormat="1" applyFont="1" applyBorder="1" applyAlignment="1">
      <alignment horizontal="left"/>
    </xf>
    <xf numFmtId="164" fontId="10" fillId="0" borderId="0" xfId="6" quotePrefix="1" applyNumberFormat="1" applyFont="1" applyBorder="1" applyAlignment="1">
      <alignment horizontal="left"/>
    </xf>
    <xf numFmtId="165" fontId="10" fillId="0" borderId="11" xfId="5" applyNumberFormat="1" applyFont="1" applyBorder="1" applyAlignment="1">
      <alignment horizontal="right"/>
    </xf>
    <xf numFmtId="165" fontId="10" fillId="0" borderId="5" xfId="5" applyNumberFormat="1" applyFont="1" applyBorder="1" applyAlignment="1">
      <alignment horizontal="right"/>
    </xf>
    <xf numFmtId="165" fontId="10" fillId="0" borderId="1" xfId="5" applyNumberFormat="1" applyFont="1" applyBorder="1" applyAlignment="1">
      <alignment horizontal="right"/>
    </xf>
    <xf numFmtId="165" fontId="10" fillId="0" borderId="6" xfId="5" applyNumberFormat="1" applyFont="1" applyBorder="1" applyAlignment="1">
      <alignment horizontal="right"/>
    </xf>
    <xf numFmtId="165" fontId="10" fillId="0" borderId="8" xfId="5" applyNumberFormat="1" applyFont="1" applyBorder="1" applyAlignment="1">
      <alignment horizontal="right"/>
    </xf>
    <xf numFmtId="165" fontId="10" fillId="0" borderId="7" xfId="5" applyNumberFormat="1" applyFont="1" applyBorder="1" applyAlignment="1">
      <alignment horizontal="right"/>
    </xf>
    <xf numFmtId="165" fontId="10" fillId="0" borderId="0" xfId="5" applyNumberFormat="1" applyFont="1" applyAlignment="1">
      <alignment horizontal="right"/>
    </xf>
    <xf numFmtId="165" fontId="10" fillId="0" borderId="2" xfId="5" applyNumberFormat="1" applyFont="1" applyBorder="1" applyAlignment="1">
      <alignment horizontal="right"/>
    </xf>
    <xf numFmtId="165" fontId="10" fillId="0" borderId="7" xfId="5" applyNumberFormat="1" applyFont="1" applyBorder="1"/>
    <xf numFmtId="164" fontId="10" fillId="0" borderId="0" xfId="6" applyNumberFormat="1" applyFont="1"/>
    <xf numFmtId="165" fontId="10" fillId="0" borderId="0" xfId="5" applyNumberFormat="1" applyFont="1"/>
    <xf numFmtId="165" fontId="10" fillId="0" borderId="0" xfId="5" applyNumberFormat="1" applyFont="1" applyBorder="1"/>
    <xf numFmtId="164" fontId="10" fillId="0" borderId="0" xfId="6" applyNumberFormat="1" applyFont="1" applyBorder="1"/>
    <xf numFmtId="165" fontId="6" fillId="0" borderId="5" xfId="5" applyNumberFormat="1" applyFont="1" applyBorder="1" applyAlignment="1">
      <alignment horizontal="center"/>
    </xf>
    <xf numFmtId="165" fontId="6" fillId="0" borderId="1" xfId="5" applyNumberFormat="1" applyFont="1" applyBorder="1" applyAlignment="1">
      <alignment horizontal="center"/>
    </xf>
    <xf numFmtId="0" fontId="6" fillId="0" borderId="3" xfId="0" applyFont="1" applyBorder="1"/>
    <xf numFmtId="0" fontId="6" fillId="0" borderId="5" xfId="0" applyFont="1" applyBorder="1"/>
    <xf numFmtId="3" fontId="6" fillId="0" borderId="2" xfId="0" applyNumberFormat="1" applyFont="1" applyBorder="1"/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11" fillId="0" borderId="0" xfId="0" applyNumberFormat="1" applyFont="1"/>
    <xf numFmtId="3" fontId="10" fillId="0" borderId="0" xfId="0" applyNumberFormat="1" applyFont="1"/>
    <xf numFmtId="3" fontId="6" fillId="0" borderId="1" xfId="0" applyNumberFormat="1" applyFont="1" applyBorder="1"/>
    <xf numFmtId="44" fontId="13" fillId="0" borderId="0" xfId="0" applyNumberFormat="1" applyFont="1" applyAlignment="1">
      <alignment horizontal="center"/>
    </xf>
    <xf numFmtId="169" fontId="6" fillId="0" borderId="0" xfId="0" applyNumberFormat="1" applyFont="1" applyAlignment="1">
      <alignment horizontal="center"/>
    </xf>
    <xf numFmtId="168" fontId="6" fillId="0" borderId="0" xfId="5" applyNumberFormat="1" applyFont="1" applyAlignment="1"/>
    <xf numFmtId="168" fontId="6" fillId="0" borderId="2" xfId="5" applyNumberFormat="1" applyFont="1" applyBorder="1"/>
    <xf numFmtId="168" fontId="6" fillId="0" borderId="0" xfId="5" applyNumberFormat="1" applyFont="1" applyBorder="1" applyAlignment="1"/>
    <xf numFmtId="168" fontId="6" fillId="0" borderId="0" xfId="5" applyNumberFormat="1" applyFont="1" applyBorder="1" applyAlignment="1">
      <alignment horizontal="center"/>
    </xf>
    <xf numFmtId="168" fontId="17" fillId="0" borderId="0" xfId="5" applyNumberFormat="1" applyFont="1" applyBorder="1" applyAlignment="1"/>
    <xf numFmtId="171" fontId="6" fillId="0" borderId="0" xfId="0" applyNumberFormat="1" applyFont="1"/>
    <xf numFmtId="170" fontId="10" fillId="0" borderId="0" xfId="0" applyNumberFormat="1" applyFont="1"/>
    <xf numFmtId="168" fontId="6" fillId="0" borderId="0" xfId="5" quotePrefix="1" applyNumberFormat="1" applyFont="1" applyBorder="1" applyAlignment="1">
      <alignment horizontal="center"/>
    </xf>
    <xf numFmtId="3" fontId="6" fillId="0" borderId="4" xfId="0" applyNumberFormat="1" applyFont="1" applyBorder="1"/>
    <xf numFmtId="3" fontId="6" fillId="0" borderId="8" xfId="0" applyNumberFormat="1" applyFont="1" applyBorder="1"/>
    <xf numFmtId="3" fontId="6" fillId="0" borderId="6" xfId="0" applyNumberFormat="1" applyFont="1" applyBorder="1"/>
    <xf numFmtId="3" fontId="6" fillId="0" borderId="7" xfId="0" applyNumberFormat="1" applyFont="1" applyBorder="1"/>
    <xf numFmtId="4" fontId="6" fillId="0" borderId="7" xfId="0" applyNumberFormat="1" applyFont="1" applyBorder="1"/>
    <xf numFmtId="0" fontId="6" fillId="0" borderId="1" xfId="0" applyFont="1" applyBorder="1" applyAlignment="1">
      <alignment horizontal="center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26" fillId="0" borderId="0" xfId="0" applyFont="1"/>
    <xf numFmtId="165" fontId="26" fillId="0" borderId="0" xfId="1" applyNumberFormat="1" applyFont="1"/>
    <xf numFmtId="43" fontId="6" fillId="0" borderId="0" xfId="1" applyFont="1" applyAlignment="1">
      <alignment horizontal="right"/>
    </xf>
    <xf numFmtId="10" fontId="6" fillId="0" borderId="1" xfId="3" applyNumberFormat="1" applyFont="1" applyBorder="1"/>
    <xf numFmtId="165" fontId="6" fillId="0" borderId="0" xfId="5" applyNumberFormat="1" applyFont="1" applyBorder="1" applyAlignment="1">
      <alignment horizontal="right"/>
    </xf>
    <xf numFmtId="165" fontId="6" fillId="0" borderId="0" xfId="1" applyNumberFormat="1" applyFont="1" applyFill="1" applyAlignment="1">
      <alignment vertical="center"/>
    </xf>
    <xf numFmtId="6" fontId="6" fillId="0" borderId="0" xfId="0" applyNumberFormat="1" applyFont="1"/>
    <xf numFmtId="9" fontId="6" fillId="0" borderId="0" xfId="0" applyNumberFormat="1" applyFont="1"/>
    <xf numFmtId="165" fontId="6" fillId="0" borderId="0" xfId="9" applyNumberFormat="1" applyFont="1" applyFill="1" applyBorder="1"/>
    <xf numFmtId="165" fontId="12" fillId="0" borderId="0" xfId="9" applyNumberFormat="1" applyFont="1" applyFill="1" applyBorder="1"/>
    <xf numFmtId="0" fontId="6" fillId="0" borderId="0" xfId="0" applyFont="1" applyFill="1" applyBorder="1"/>
    <xf numFmtId="43" fontId="6" fillId="0" borderId="0" xfId="1" applyFont="1" applyFill="1" applyBorder="1"/>
    <xf numFmtId="167" fontId="6" fillId="0" borderId="0" xfId="3" applyNumberFormat="1" applyFont="1" applyFill="1" applyBorder="1"/>
    <xf numFmtId="0" fontId="6" fillId="0" borderId="0" xfId="0" applyFont="1" applyFill="1" applyBorder="1" applyAlignment="1">
      <alignment horizontal="center"/>
    </xf>
    <xf numFmtId="44" fontId="6" fillId="0" borderId="0" xfId="0" applyNumberFormat="1" applyFont="1" applyFill="1" applyBorder="1"/>
    <xf numFmtId="165" fontId="6" fillId="0" borderId="0" xfId="0" applyNumberFormat="1" applyFont="1" applyFill="1" applyBorder="1"/>
    <xf numFmtId="44" fontId="6" fillId="0" borderId="0" xfId="0" applyNumberFormat="1" applyFont="1" applyFill="1" applyBorder="1" applyAlignment="1">
      <alignment horizontal="right"/>
    </xf>
    <xf numFmtId="9" fontId="6" fillId="0" borderId="0" xfId="0" applyNumberFormat="1" applyFont="1" applyFill="1" applyBorder="1" applyAlignment="1">
      <alignment horizontal="right"/>
    </xf>
    <xf numFmtId="9" fontId="6" fillId="0" borderId="0" xfId="3" applyFont="1" applyFill="1" applyBorder="1" applyAlignment="1">
      <alignment horizontal="right"/>
    </xf>
    <xf numFmtId="44" fontId="22" fillId="0" borderId="0" xfId="0" applyNumberFormat="1" applyFont="1" applyFill="1" applyBorder="1" applyAlignment="1">
      <alignment horizontal="right"/>
    </xf>
    <xf numFmtId="44" fontId="3" fillId="0" borderId="0" xfId="0" applyNumberFormat="1" applyFont="1" applyFill="1" applyBorder="1" applyAlignment="1">
      <alignment horizontal="right"/>
    </xf>
    <xf numFmtId="44" fontId="6" fillId="0" borderId="0" xfId="10" applyNumberFormat="1" applyFont="1" applyFill="1" applyBorder="1" applyAlignment="1">
      <alignment horizontal="right"/>
    </xf>
    <xf numFmtId="44" fontId="6" fillId="0" borderId="1" xfId="0" applyNumberFormat="1" applyFont="1" applyFill="1" applyBorder="1" applyAlignment="1">
      <alignment horizontal="right"/>
    </xf>
    <xf numFmtId="44" fontId="6" fillId="0" borderId="1" xfId="10" applyNumberFormat="1" applyFont="1" applyFill="1" applyBorder="1" applyAlignment="1">
      <alignment horizontal="right"/>
    </xf>
    <xf numFmtId="167" fontId="6" fillId="0" borderId="0" xfId="3" applyNumberFormat="1" applyFont="1" applyFill="1" applyBorder="1" applyAlignment="1">
      <alignment horizontal="right"/>
    </xf>
    <xf numFmtId="167" fontId="10" fillId="0" borderId="0" xfId="3" applyNumberFormat="1" applyFont="1" applyFill="1" applyBorder="1" applyAlignment="1">
      <alignment horizontal="right"/>
    </xf>
    <xf numFmtId="9" fontId="6" fillId="0" borderId="0" xfId="3" applyNumberFormat="1" applyFont="1" applyFill="1" applyBorder="1" applyAlignment="1">
      <alignment horizontal="right"/>
    </xf>
    <xf numFmtId="9" fontId="23" fillId="0" borderId="0" xfId="4" applyNumberFormat="1" applyFont="1" applyFill="1" applyBorder="1" applyAlignment="1">
      <alignment horizontal="right"/>
    </xf>
    <xf numFmtId="9" fontId="6" fillId="0" borderId="0" xfId="9" applyNumberFormat="1" applyFont="1" applyFill="1" applyBorder="1" applyAlignment="1">
      <alignment horizontal="right"/>
    </xf>
    <xf numFmtId="9" fontId="12" fillId="0" borderId="0" xfId="9" applyNumberFormat="1" applyFont="1" applyFill="1" applyBorder="1" applyAlignment="1">
      <alignment horizontal="right"/>
    </xf>
    <xf numFmtId="9" fontId="23" fillId="0" borderId="0" xfId="3" applyFont="1" applyFill="1" applyBorder="1" applyAlignment="1">
      <alignment horizontal="right"/>
    </xf>
    <xf numFmtId="44" fontId="2" fillId="0" borderId="0" xfId="0" applyNumberFormat="1" applyFont="1" applyFill="1" applyBorder="1" applyAlignment="1">
      <alignment horizontal="right"/>
    </xf>
    <xf numFmtId="44" fontId="6" fillId="0" borderId="0" xfId="3" applyNumberFormat="1" applyFont="1" applyFill="1" applyBorder="1" applyAlignment="1">
      <alignment horizontal="right"/>
    </xf>
    <xf numFmtId="44" fontId="23" fillId="0" borderId="0" xfId="0" applyNumberFormat="1" applyFont="1" applyFill="1" applyBorder="1" applyAlignment="1">
      <alignment horizontal="right"/>
    </xf>
    <xf numFmtId="44" fontId="6" fillId="0" borderId="0" xfId="9" applyNumberFormat="1" applyFont="1" applyFill="1" applyBorder="1" applyAlignment="1">
      <alignment horizontal="right"/>
    </xf>
    <xf numFmtId="44" fontId="12" fillId="0" borderId="0" xfId="9" applyNumberFormat="1" applyFont="1" applyFill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70" fontId="10" fillId="0" borderId="0" xfId="0" applyNumberFormat="1" applyFont="1" applyAlignment="1">
      <alignment horizontal="right"/>
    </xf>
    <xf numFmtId="168" fontId="6" fillId="0" borderId="1" xfId="5" applyNumberFormat="1" applyFont="1" applyBorder="1" applyAlignment="1">
      <alignment horizontal="right"/>
    </xf>
    <xf numFmtId="168" fontId="6" fillId="0" borderId="0" xfId="5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164" fontId="6" fillId="0" borderId="2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right"/>
    </xf>
    <xf numFmtId="164" fontId="6" fillId="0" borderId="0" xfId="5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8" fontId="11" fillId="0" borderId="0" xfId="5" applyNumberFormat="1" applyFont="1" applyBorder="1" applyAlignment="1">
      <alignment horizontal="center"/>
    </xf>
    <xf numFmtId="164" fontId="12" fillId="0" borderId="0" xfId="0" applyNumberFormat="1" applyFont="1" applyAlignment="1">
      <alignment horizontal="right"/>
    </xf>
    <xf numFmtId="10" fontId="6" fillId="0" borderId="0" xfId="3" applyNumberFormat="1" applyFont="1" applyBorder="1" applyAlignment="1"/>
    <xf numFmtId="43" fontId="6" fillId="0" borderId="0" xfId="1" applyFont="1" applyBorder="1" applyAlignment="1">
      <alignment vertical="center"/>
    </xf>
    <xf numFmtId="0" fontId="6" fillId="0" borderId="0" xfId="0" applyFont="1" applyAlignment="1">
      <alignment horizontal="right" vertical="top"/>
    </xf>
    <xf numFmtId="44" fontId="6" fillId="0" borderId="0" xfId="1" applyNumberFormat="1" applyFont="1" applyBorder="1" applyAlignment="1"/>
    <xf numFmtId="44" fontId="6" fillId="0" borderId="0" xfId="1" applyNumberFormat="1" applyFont="1"/>
    <xf numFmtId="44" fontId="6" fillId="0" borderId="0" xfId="0" applyNumberFormat="1" applyFont="1"/>
    <xf numFmtId="44" fontId="6" fillId="0" borderId="0" xfId="1" applyNumberFormat="1" applyFont="1" applyBorder="1"/>
    <xf numFmtId="44" fontId="6" fillId="0" borderId="1" xfId="0" applyNumberFormat="1" applyFont="1" applyBorder="1"/>
    <xf numFmtId="44" fontId="6" fillId="0" borderId="0" xfId="0" applyNumberFormat="1" applyFont="1" applyBorder="1"/>
    <xf numFmtId="3" fontId="7" fillId="0" borderId="0" xfId="0" applyNumberFormat="1" applyFont="1" applyAlignment="1">
      <alignment horizontal="center" vertical="center"/>
    </xf>
    <xf numFmtId="43" fontId="6" fillId="0" borderId="5" xfId="1" applyFont="1" applyFill="1" applyBorder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0" fontId="6" fillId="0" borderId="1" xfId="0" applyFont="1" applyBorder="1"/>
    <xf numFmtId="44" fontId="6" fillId="0" borderId="0" xfId="2" applyFont="1"/>
    <xf numFmtId="164" fontId="6" fillId="0" borderId="0" xfId="2" applyNumberFormat="1" applyFont="1"/>
    <xf numFmtId="3" fontId="6" fillId="0" borderId="0" xfId="0" applyNumberFormat="1" applyFont="1" applyAlignment="1">
      <alignment horizontal="center" vertical="center"/>
    </xf>
    <xf numFmtId="164" fontId="1" fillId="0" borderId="1" xfId="2" applyNumberFormat="1" applyFont="1" applyBorder="1"/>
    <xf numFmtId="164" fontId="6" fillId="0" borderId="0" xfId="1" applyNumberFormat="1" applyFont="1" applyAlignment="1">
      <alignment horizontal="center" vertical="center"/>
    </xf>
    <xf numFmtId="164" fontId="6" fillId="0" borderId="0" xfId="1" applyNumberFormat="1" applyFont="1" applyAlignment="1">
      <alignment horizontal="right" vertical="center"/>
    </xf>
    <xf numFmtId="165" fontId="6" fillId="0" borderId="1" xfId="0" applyNumberFormat="1" applyFont="1" applyBorder="1" applyAlignment="1">
      <alignment horizontal="center" vertical="center"/>
    </xf>
    <xf numFmtId="164" fontId="6" fillId="0" borderId="0" xfId="1" applyNumberFormat="1" applyFont="1"/>
    <xf numFmtId="164" fontId="6" fillId="0" borderId="1" xfId="1" applyNumberFormat="1" applyFont="1" applyBorder="1"/>
    <xf numFmtId="9" fontId="6" fillId="0" borderId="0" xfId="3" applyFont="1" applyAlignment="1">
      <alignment vertical="top"/>
    </xf>
    <xf numFmtId="10" fontId="6" fillId="0" borderId="0" xfId="3" applyNumberFormat="1" applyFont="1" applyAlignment="1">
      <alignment vertical="top"/>
    </xf>
    <xf numFmtId="164" fontId="6" fillId="0" borderId="0" xfId="0" applyNumberFormat="1" applyFont="1" applyBorder="1"/>
    <xf numFmtId="164" fontId="6" fillId="0" borderId="1" xfId="1" applyNumberFormat="1" applyFont="1" applyBorder="1" applyAlignment="1">
      <alignment horizontal="right" vertical="center"/>
    </xf>
    <xf numFmtId="166" fontId="6" fillId="0" borderId="0" xfId="1" applyNumberFormat="1" applyFont="1" applyBorder="1" applyAlignment="1">
      <alignment horizontal="center"/>
    </xf>
    <xf numFmtId="10" fontId="6" fillId="0" borderId="0" xfId="3" applyNumberFormat="1" applyFont="1" applyBorder="1" applyAlignment="1">
      <alignment horizontal="center"/>
    </xf>
    <xf numFmtId="168" fontId="11" fillId="0" borderId="0" xfId="5" applyNumberFormat="1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44" fontId="6" fillId="0" borderId="0" xfId="0" applyNumberFormat="1" applyFont="1" applyFill="1" applyBorder="1" applyAlignment="1">
      <alignment horizontal="right" wrapText="1"/>
    </xf>
    <xf numFmtId="167" fontId="6" fillId="0" borderId="0" xfId="3" applyNumberFormat="1" applyFont="1" applyFill="1" applyBorder="1" applyAlignment="1">
      <alignment horizontal="right" wrapText="1"/>
    </xf>
    <xf numFmtId="9" fontId="6" fillId="0" borderId="0" xfId="0" applyNumberFormat="1" applyFont="1" applyFill="1" applyBorder="1" applyAlignment="1">
      <alignment horizontal="right" wrapText="1"/>
    </xf>
    <xf numFmtId="9" fontId="6" fillId="0" borderId="0" xfId="3" applyFont="1" applyFill="1" applyBorder="1" applyAlignment="1">
      <alignment horizontal="right" wrapText="1"/>
    </xf>
    <xf numFmtId="44" fontId="6" fillId="0" borderId="0" xfId="0" applyNumberFormat="1" applyFont="1" applyFill="1" applyBorder="1" applyAlignment="1">
      <alignment wrapText="1"/>
    </xf>
    <xf numFmtId="43" fontId="6" fillId="0" borderId="1" xfId="1" applyFont="1" applyFill="1" applyBorder="1"/>
    <xf numFmtId="0" fontId="6" fillId="0" borderId="0" xfId="0" applyFont="1" applyFill="1"/>
    <xf numFmtId="43" fontId="6" fillId="0" borderId="0" xfId="1" applyNumberFormat="1" applyFont="1"/>
    <xf numFmtId="0" fontId="10" fillId="0" borderId="0" xfId="0" applyFont="1"/>
    <xf numFmtId="43" fontId="10" fillId="0" borderId="0" xfId="1" applyNumberFormat="1" applyFont="1" applyAlignment="1">
      <alignment horizontal="right"/>
    </xf>
    <xf numFmtId="165" fontId="6" fillId="0" borderId="10" xfId="5" quotePrefix="1" applyNumberFormat="1" applyFont="1" applyBorder="1" applyAlignment="1">
      <alignment horizontal="left"/>
    </xf>
    <xf numFmtId="165" fontId="6" fillId="0" borderId="0" xfId="1" applyNumberFormat="1" applyFont="1" applyFill="1"/>
    <xf numFmtId="43" fontId="12" fillId="0" borderId="0" xfId="1" applyFont="1" applyBorder="1" applyAlignment="1">
      <alignment horizontal="center"/>
    </xf>
    <xf numFmtId="3" fontId="15" fillId="0" borderId="0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165" fontId="6" fillId="0" borderId="2" xfId="1" applyNumberFormat="1" applyFont="1" applyFill="1" applyBorder="1"/>
    <xf numFmtId="165" fontId="6" fillId="0" borderId="1" xfId="1" applyNumberFormat="1" applyFont="1" applyFill="1" applyBorder="1"/>
    <xf numFmtId="3" fontId="15" fillId="0" borderId="7" xfId="0" applyNumberFormat="1" applyFont="1" applyFill="1" applyBorder="1" applyAlignment="1">
      <alignment horizontal="center" vertical="center"/>
    </xf>
    <xf numFmtId="165" fontId="12" fillId="0" borderId="7" xfId="1" applyNumberFormat="1" applyFont="1" applyFill="1" applyBorder="1" applyAlignment="1">
      <alignment horizontal="center"/>
    </xf>
    <xf numFmtId="43" fontId="6" fillId="0" borderId="7" xfId="1" applyFont="1" applyFill="1" applyBorder="1"/>
    <xf numFmtId="3" fontId="15" fillId="0" borderId="0" xfId="0" applyNumberFormat="1" applyFont="1" applyFill="1" applyBorder="1" applyAlignment="1">
      <alignment horizontal="center" vertical="center"/>
    </xf>
    <xf numFmtId="165" fontId="12" fillId="0" borderId="0" xfId="1" applyNumberFormat="1" applyFont="1" applyFill="1" applyBorder="1" applyAlignment="1">
      <alignment horizontal="center"/>
    </xf>
    <xf numFmtId="43" fontId="6" fillId="2" borderId="7" xfId="1" applyFont="1" applyFill="1" applyBorder="1"/>
    <xf numFmtId="165" fontId="28" fillId="0" borderId="7" xfId="1" applyNumberFormat="1" applyFont="1" applyBorder="1" applyAlignment="1"/>
    <xf numFmtId="0" fontId="29" fillId="0" borderId="8" xfId="0" applyFont="1" applyBorder="1" applyAlignment="1"/>
    <xf numFmtId="165" fontId="7" fillId="0" borderId="7" xfId="1" applyNumberFormat="1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43" fontId="6" fillId="0" borderId="15" xfId="1" applyFont="1" applyBorder="1" applyAlignment="1"/>
    <xf numFmtId="43" fontId="6" fillId="0" borderId="16" xfId="1" applyFont="1" applyBorder="1" applyAlignment="1"/>
    <xf numFmtId="43" fontId="12" fillId="0" borderId="16" xfId="1" applyFont="1" applyBorder="1" applyAlignment="1">
      <alignment horizontal="center"/>
    </xf>
    <xf numFmtId="43" fontId="6" fillId="0" borderId="15" xfId="1" applyFont="1" applyBorder="1" applyAlignment="1">
      <alignment horizontal="right"/>
    </xf>
    <xf numFmtId="44" fontId="6" fillId="0" borderId="16" xfId="2" applyFont="1" applyBorder="1" applyAlignment="1"/>
    <xf numFmtId="43" fontId="6" fillId="0" borderId="17" xfId="1" applyFont="1" applyBorder="1" applyAlignment="1"/>
    <xf numFmtId="43" fontId="6" fillId="0" borderId="18" xfId="1" applyFont="1" applyBorder="1" applyAlignment="1"/>
    <xf numFmtId="10" fontId="6" fillId="0" borderId="18" xfId="3" applyNumberFormat="1" applyFont="1" applyBorder="1" applyAlignment="1">
      <alignment horizontal="center"/>
    </xf>
    <xf numFmtId="43" fontId="6" fillId="0" borderId="19" xfId="1" applyFont="1" applyBorder="1" applyAlignment="1"/>
    <xf numFmtId="10" fontId="6" fillId="0" borderId="0" xfId="3" applyNumberFormat="1" applyFont="1"/>
    <xf numFmtId="0" fontId="0" fillId="0" borderId="1" xfId="0" applyBorder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43" fontId="10" fillId="0" borderId="0" xfId="1" applyNumberFormat="1" applyFont="1"/>
    <xf numFmtId="44" fontId="10" fillId="0" borderId="0" xfId="2" applyFont="1"/>
    <xf numFmtId="44" fontId="10" fillId="0" borderId="0" xfId="2" applyFont="1" applyAlignment="1">
      <alignment horizontal="right"/>
    </xf>
    <xf numFmtId="44" fontId="6" fillId="0" borderId="1" xfId="2" applyFont="1" applyBorder="1"/>
    <xf numFmtId="164" fontId="10" fillId="0" borderId="0" xfId="2" applyNumberFormat="1" applyFont="1" applyAlignment="1">
      <alignment horizontal="right"/>
    </xf>
    <xf numFmtId="164" fontId="6" fillId="0" borderId="0" xfId="2" applyNumberFormat="1" applyFont="1" applyFill="1"/>
    <xf numFmtId="164" fontId="6" fillId="0" borderId="1" xfId="2" applyNumberFormat="1" applyFont="1" applyBorder="1"/>
    <xf numFmtId="0" fontId="10" fillId="0" borderId="0" xfId="0" applyFont="1" applyAlignment="1">
      <alignment horizontal="center"/>
    </xf>
    <xf numFmtId="164" fontId="10" fillId="0" borderId="21" xfId="2" applyNumberFormat="1" applyFont="1" applyBorder="1"/>
    <xf numFmtId="164" fontId="10" fillId="0" borderId="20" xfId="2" applyNumberFormat="1" applyFont="1" applyBorder="1"/>
    <xf numFmtId="165" fontId="7" fillId="0" borderId="0" xfId="1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 vertical="center"/>
    </xf>
    <xf numFmtId="168" fontId="11" fillId="0" borderId="0" xfId="5" applyNumberFormat="1" applyFont="1" applyBorder="1" applyAlignment="1">
      <alignment horizontal="center"/>
    </xf>
    <xf numFmtId="165" fontId="13" fillId="0" borderId="7" xfId="5" applyNumberFormat="1" applyFont="1" applyBorder="1" applyAlignment="1">
      <alignment horizontal="center" vertical="center"/>
    </xf>
    <xf numFmtId="165" fontId="13" fillId="0" borderId="8" xfId="5" applyNumberFormat="1" applyFont="1" applyBorder="1" applyAlignment="1">
      <alignment horizontal="center" vertical="center"/>
    </xf>
    <xf numFmtId="43" fontId="9" fillId="0" borderId="15" xfId="1" applyFont="1" applyBorder="1" applyAlignment="1">
      <alignment horizontal="right"/>
    </xf>
    <xf numFmtId="43" fontId="9" fillId="0" borderId="0" xfId="1" applyFont="1" applyBorder="1" applyAlignment="1">
      <alignment horizontal="right"/>
    </xf>
    <xf numFmtId="43" fontId="7" fillId="0" borderId="12" xfId="1" applyFont="1" applyBorder="1" applyAlignment="1">
      <alignment horizontal="center"/>
    </xf>
    <xf numFmtId="43" fontId="7" fillId="0" borderId="13" xfId="1" applyFont="1" applyBorder="1" applyAlignment="1">
      <alignment horizontal="center"/>
    </xf>
    <xf numFmtId="43" fontId="7" fillId="0" borderId="14" xfId="1" applyFont="1" applyBorder="1" applyAlignment="1">
      <alignment horizontal="center"/>
    </xf>
    <xf numFmtId="3" fontId="24" fillId="0" borderId="15" xfId="0" applyNumberFormat="1" applyFont="1" applyBorder="1" applyAlignment="1">
      <alignment horizontal="center"/>
    </xf>
    <xf numFmtId="3" fontId="24" fillId="0" borderId="0" xfId="0" applyNumberFormat="1" applyFont="1" applyBorder="1" applyAlignment="1">
      <alignment horizontal="center"/>
    </xf>
    <xf numFmtId="3" fontId="24" fillId="0" borderId="16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43" fontId="9" fillId="0" borderId="15" xfId="1" applyFont="1" applyBorder="1" applyAlignment="1">
      <alignment horizontal="right" wrapText="1"/>
    </xf>
    <xf numFmtId="43" fontId="9" fillId="0" borderId="0" xfId="1" applyFont="1" applyBorder="1" applyAlignment="1">
      <alignment horizontal="right" wrapText="1"/>
    </xf>
    <xf numFmtId="43" fontId="12" fillId="0" borderId="0" xfId="1" applyFont="1" applyBorder="1" applyAlignment="1">
      <alignment horizontal="center"/>
    </xf>
    <xf numFmtId="44" fontId="27" fillId="0" borderId="15" xfId="2" applyFont="1" applyBorder="1" applyAlignment="1">
      <alignment horizontal="center"/>
    </xf>
    <xf numFmtId="44" fontId="27" fillId="0" borderId="0" xfId="2" applyFont="1" applyBorder="1" applyAlignment="1">
      <alignment horizontal="center"/>
    </xf>
    <xf numFmtId="44" fontId="27" fillId="0" borderId="16" xfId="2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43" fontId="7" fillId="0" borderId="15" xfId="1" applyFont="1" applyBorder="1" applyAlignment="1">
      <alignment horizontal="center"/>
    </xf>
    <xf numFmtId="43" fontId="7" fillId="0" borderId="0" xfId="1" applyFont="1" applyBorder="1" applyAlignment="1">
      <alignment horizontal="center"/>
    </xf>
    <xf numFmtId="43" fontId="7" fillId="0" borderId="16" xfId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8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165" fontId="7" fillId="0" borderId="0" xfId="1" applyNumberFormat="1" applyFont="1" applyBorder="1" applyAlignment="1">
      <alignment horizontal="center"/>
    </xf>
    <xf numFmtId="165" fontId="7" fillId="0" borderId="8" xfId="1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3" fontId="6" fillId="0" borderId="0" xfId="1" applyFont="1" applyBorder="1" applyAlignment="1">
      <alignment horizontal="center"/>
    </xf>
    <xf numFmtId="43" fontId="11" fillId="0" borderId="0" xfId="1" applyFont="1" applyBorder="1" applyAlignment="1">
      <alignment horizontal="center"/>
    </xf>
    <xf numFmtId="43" fontId="10" fillId="0" borderId="0" xfId="1" applyFont="1" applyBorder="1" applyAlignment="1">
      <alignment horizontal="center"/>
    </xf>
    <xf numFmtId="165" fontId="13" fillId="0" borderId="0" xfId="1" applyNumberFormat="1" applyFont="1"/>
  </cellXfs>
  <cellStyles count="11">
    <cellStyle name="Comma" xfId="1" builtinId="3"/>
    <cellStyle name="Comma 2" xfId="5" xr:uid="{00000000-0005-0000-0000-000001000000}"/>
    <cellStyle name="Comma 3" xfId="9" xr:uid="{00000000-0005-0000-0000-000002000000}"/>
    <cellStyle name="Currency" xfId="2" builtinId="4"/>
    <cellStyle name="Currency 2" xfId="6" xr:uid="{00000000-0005-0000-0000-000004000000}"/>
    <cellStyle name="Currency 3" xfId="10" xr:uid="{00000000-0005-0000-0000-000005000000}"/>
    <cellStyle name="Normal" xfId="0" builtinId="0"/>
    <cellStyle name="Normal 2" xfId="4" xr:uid="{00000000-0005-0000-0000-000007000000}"/>
    <cellStyle name="Normal 3" xfId="8" xr:uid="{00000000-0005-0000-0000-000008000000}"/>
    <cellStyle name="Percent" xfId="3" builtinId="5"/>
    <cellStyle name="Percent 2" xfId="7" xr:uid="{00000000-0005-0000-0000-00000A000000}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1"/>
  <sheetViews>
    <sheetView showGridLines="0" tabSelected="1" topLeftCell="A13" workbookViewId="0">
      <selection activeCell="M29" sqref="M29"/>
    </sheetView>
  </sheetViews>
  <sheetFormatPr defaultColWidth="8.77734375" defaultRowHeight="14.25" x14ac:dyDescent="0.45"/>
  <cols>
    <col min="1" max="1" width="3.6640625" style="7" customWidth="1"/>
    <col min="2" max="2" width="2.6640625" style="7" customWidth="1"/>
    <col min="3" max="3" width="29.44140625" style="7" customWidth="1"/>
    <col min="4" max="4" width="11.33203125" style="7" customWidth="1"/>
    <col min="5" max="5" width="11.5546875" style="7" customWidth="1"/>
    <col min="6" max="6" width="5.33203125" style="7" customWidth="1"/>
    <col min="7" max="7" width="11.5546875" style="7" customWidth="1"/>
    <col min="8" max="8" width="3.5546875" style="7" customWidth="1"/>
    <col min="9" max="11" width="11.33203125" style="7" customWidth="1"/>
    <col min="12" max="12" width="10.88671875" style="7" customWidth="1"/>
    <col min="13" max="16384" width="8.77734375" style="7"/>
  </cols>
  <sheetData>
    <row r="1" spans="1:13" ht="18" x14ac:dyDescent="0.45">
      <c r="A1" s="297" t="s">
        <v>32</v>
      </c>
      <c r="B1" s="297"/>
      <c r="C1" s="297"/>
      <c r="D1" s="297"/>
      <c r="E1" s="297"/>
      <c r="F1" s="297"/>
      <c r="G1" s="297"/>
      <c r="H1" s="60"/>
      <c r="I1" s="60"/>
      <c r="J1" s="60"/>
      <c r="K1" s="60"/>
    </row>
    <row r="2" spans="1:13" ht="15.75" x14ac:dyDescent="0.45">
      <c r="A2" s="61" t="s">
        <v>235</v>
      </c>
      <c r="B2" s="59"/>
      <c r="C2" s="59"/>
      <c r="D2" s="59"/>
      <c r="E2" s="59"/>
      <c r="F2" s="59"/>
      <c r="G2" s="59"/>
      <c r="H2" s="60"/>
      <c r="I2" s="60"/>
      <c r="J2" s="60"/>
      <c r="K2" s="60"/>
      <c r="L2" s="60"/>
    </row>
    <row r="3" spans="1:13" x14ac:dyDescent="0.45">
      <c r="A3" s="47"/>
      <c r="B3" s="59"/>
      <c r="C3" s="59"/>
      <c r="D3" s="59"/>
      <c r="E3" s="59"/>
      <c r="F3" s="59"/>
      <c r="G3" s="59"/>
      <c r="H3" s="60"/>
      <c r="I3" s="60"/>
      <c r="J3" s="60"/>
      <c r="K3" s="60"/>
    </row>
    <row r="4" spans="1:13" ht="16.5" x14ac:dyDescent="0.75">
      <c r="A4" s="60"/>
      <c r="B4" s="60"/>
      <c r="C4" s="60"/>
      <c r="D4" s="62" t="s">
        <v>33</v>
      </c>
      <c r="E4" s="62" t="s">
        <v>34</v>
      </c>
      <c r="F4" s="62" t="s">
        <v>35</v>
      </c>
      <c r="G4" s="62" t="s">
        <v>36</v>
      </c>
      <c r="H4" s="60"/>
      <c r="I4" s="75" t="s">
        <v>41</v>
      </c>
      <c r="J4" s="60"/>
      <c r="K4" s="60"/>
      <c r="M4" s="343" t="s">
        <v>304</v>
      </c>
    </row>
    <row r="5" spans="1:13" x14ac:dyDescent="0.45">
      <c r="A5" s="63" t="s">
        <v>15</v>
      </c>
      <c r="B5" s="60"/>
      <c r="C5" s="60"/>
      <c r="D5" s="60"/>
      <c r="F5" s="60"/>
      <c r="G5" s="60"/>
      <c r="H5" s="60"/>
      <c r="J5" s="60"/>
      <c r="K5" s="60"/>
    </row>
    <row r="6" spans="1:13" x14ac:dyDescent="0.45">
      <c r="A6" s="60"/>
      <c r="B6" s="60" t="s">
        <v>43</v>
      </c>
      <c r="C6" s="60"/>
      <c r="D6" s="60">
        <v>846168</v>
      </c>
      <c r="E6" s="60">
        <f>ExBA!H8</f>
        <v>-6369.6040000000503</v>
      </c>
      <c r="F6" s="64" t="s">
        <v>267</v>
      </c>
      <c r="G6" s="60">
        <f>D6+E6</f>
        <v>839798.39599999995</v>
      </c>
      <c r="H6" s="65"/>
      <c r="I6" s="60" t="s">
        <v>268</v>
      </c>
      <c r="J6" s="60"/>
      <c r="K6" s="60"/>
      <c r="M6" s="7" t="s">
        <v>306</v>
      </c>
    </row>
    <row r="7" spans="1:13" x14ac:dyDescent="0.45">
      <c r="A7" s="60"/>
      <c r="B7" s="60" t="s">
        <v>59</v>
      </c>
      <c r="C7" s="60"/>
      <c r="D7" s="60">
        <v>0</v>
      </c>
      <c r="E7" s="60"/>
      <c r="F7" s="64"/>
      <c r="G7" s="60">
        <f>D7+E7</f>
        <v>0</v>
      </c>
      <c r="H7" s="66"/>
      <c r="I7" s="58"/>
      <c r="J7" s="60"/>
      <c r="K7" s="60"/>
    </row>
    <row r="8" spans="1:13" x14ac:dyDescent="0.45">
      <c r="A8" s="60"/>
      <c r="B8" s="60" t="s">
        <v>16</v>
      </c>
      <c r="C8" s="60"/>
      <c r="D8" s="60">
        <v>0</v>
      </c>
      <c r="E8" s="60"/>
      <c r="F8" s="64"/>
      <c r="G8" s="60">
        <f>D8+E8</f>
        <v>0</v>
      </c>
      <c r="H8" s="65"/>
      <c r="I8" s="60"/>
      <c r="J8" s="60"/>
    </row>
    <row r="9" spans="1:13" x14ac:dyDescent="0.45">
      <c r="A9" s="60"/>
      <c r="B9" s="60"/>
      <c r="C9" s="60"/>
      <c r="D9" s="60"/>
      <c r="E9" s="60"/>
      <c r="F9" s="64"/>
      <c r="G9" s="60"/>
      <c r="H9" s="65"/>
      <c r="I9" s="60"/>
      <c r="J9" s="60"/>
    </row>
    <row r="10" spans="1:13" x14ac:dyDescent="0.45">
      <c r="A10" s="60"/>
      <c r="B10" s="60" t="s">
        <v>17</v>
      </c>
      <c r="C10" s="60"/>
      <c r="D10" s="60"/>
      <c r="E10" s="60"/>
      <c r="F10" s="64"/>
      <c r="G10" s="60"/>
      <c r="H10" s="67"/>
      <c r="I10" s="60"/>
      <c r="J10" s="60"/>
      <c r="K10" s="60"/>
    </row>
    <row r="11" spans="1:13" x14ac:dyDescent="0.45">
      <c r="A11" s="60"/>
      <c r="B11" s="60"/>
      <c r="C11" s="60" t="s">
        <v>42</v>
      </c>
      <c r="D11" s="60">
        <v>0</v>
      </c>
      <c r="E11" s="60"/>
      <c r="F11" s="64"/>
      <c r="G11" s="60">
        <f>D11+E11</f>
        <v>0</v>
      </c>
      <c r="H11" s="65"/>
      <c r="I11" s="60"/>
      <c r="J11" s="60"/>
      <c r="K11" s="60"/>
    </row>
    <row r="12" spans="1:13" x14ac:dyDescent="0.45">
      <c r="A12" s="60"/>
      <c r="C12" s="60" t="s">
        <v>18</v>
      </c>
      <c r="D12" s="60">
        <v>0</v>
      </c>
      <c r="E12" s="60"/>
      <c r="F12" s="64"/>
      <c r="G12" s="60">
        <f>D12+E12</f>
        <v>0</v>
      </c>
      <c r="H12" s="65"/>
      <c r="J12" s="60"/>
      <c r="K12" s="60"/>
    </row>
    <row r="13" spans="1:13" ht="16.5" x14ac:dyDescent="0.45">
      <c r="A13" s="60"/>
      <c r="C13" s="60" t="s">
        <v>60</v>
      </c>
      <c r="D13" s="83">
        <v>10302</v>
      </c>
      <c r="E13" s="85">
        <v>0</v>
      </c>
      <c r="F13" s="64"/>
      <c r="G13" s="83">
        <f>D13+E13</f>
        <v>10302</v>
      </c>
      <c r="H13" s="66"/>
      <c r="I13" s="60"/>
      <c r="J13" s="60"/>
      <c r="K13" s="60"/>
    </row>
    <row r="14" spans="1:13" x14ac:dyDescent="0.45">
      <c r="A14" s="68" t="s">
        <v>19</v>
      </c>
      <c r="B14" s="60"/>
      <c r="C14" s="60"/>
      <c r="D14" s="60">
        <f>SUM(D6:D13)</f>
        <v>856470</v>
      </c>
      <c r="E14" s="60">
        <f>SUM(E6:E13)</f>
        <v>-6369.6040000000503</v>
      </c>
      <c r="F14" s="64"/>
      <c r="G14" s="60">
        <f>SUM(G6:G13)</f>
        <v>850100.39599999995</v>
      </c>
      <c r="H14" s="67"/>
      <c r="J14" s="60"/>
      <c r="K14" s="60"/>
    </row>
    <row r="15" spans="1:13" x14ac:dyDescent="0.45">
      <c r="A15" s="60"/>
      <c r="B15" s="60"/>
      <c r="C15" s="60"/>
      <c r="D15" s="60"/>
      <c r="E15" s="60"/>
      <c r="F15" s="64"/>
      <c r="G15" s="60"/>
      <c r="H15" s="67"/>
      <c r="I15" s="60"/>
      <c r="J15" s="60"/>
      <c r="K15" s="60"/>
    </row>
    <row r="16" spans="1:13" x14ac:dyDescent="0.45">
      <c r="A16" s="63" t="s">
        <v>20</v>
      </c>
      <c r="B16" s="60"/>
      <c r="C16" s="60"/>
      <c r="D16" s="60"/>
      <c r="E16" s="60"/>
      <c r="F16" s="64"/>
      <c r="G16" s="60"/>
      <c r="H16" s="67"/>
      <c r="I16" s="60"/>
      <c r="J16" s="60"/>
      <c r="K16" s="60"/>
    </row>
    <row r="17" spans="1:13" x14ac:dyDescent="0.45">
      <c r="A17" s="60"/>
      <c r="B17" s="60" t="s">
        <v>37</v>
      </c>
      <c r="C17" s="60"/>
      <c r="D17" s="60"/>
      <c r="E17" s="60"/>
      <c r="F17" s="64"/>
      <c r="G17" s="60"/>
      <c r="H17" s="67"/>
      <c r="I17" s="60"/>
      <c r="J17" s="60"/>
      <c r="K17" s="60"/>
    </row>
    <row r="18" spans="1:13" x14ac:dyDescent="0.45">
      <c r="A18" s="60"/>
      <c r="B18" s="60"/>
      <c r="C18" s="60" t="s">
        <v>2</v>
      </c>
      <c r="D18" s="60">
        <v>39055</v>
      </c>
      <c r="E18" s="165"/>
      <c r="F18" s="69"/>
      <c r="G18" s="60">
        <f>D18+E18</f>
        <v>39055</v>
      </c>
      <c r="H18" s="65"/>
      <c r="I18" s="60"/>
      <c r="J18" s="60"/>
      <c r="K18" s="60"/>
    </row>
    <row r="19" spans="1:13" x14ac:dyDescent="0.45">
      <c r="A19" s="60"/>
      <c r="B19" s="60"/>
      <c r="C19" s="60" t="s">
        <v>3</v>
      </c>
      <c r="D19" s="60">
        <v>10800</v>
      </c>
      <c r="E19" s="165"/>
      <c r="F19" s="64"/>
      <c r="G19" s="60">
        <f t="shared" ref="G19:G35" si="0">D19+E19</f>
        <v>10800</v>
      </c>
      <c r="H19" s="65"/>
    </row>
    <row r="20" spans="1:13" x14ac:dyDescent="0.45">
      <c r="A20" s="60"/>
      <c r="B20" s="60"/>
      <c r="C20" s="165" t="s">
        <v>4</v>
      </c>
      <c r="D20" s="60">
        <v>0</v>
      </c>
      <c r="E20" s="165">
        <f>+Dental!C14</f>
        <v>344.44800000000004</v>
      </c>
      <c r="F20" s="69" t="s">
        <v>269</v>
      </c>
      <c r="G20" s="60">
        <f>D20+E20</f>
        <v>344.44800000000004</v>
      </c>
      <c r="H20" s="65"/>
      <c r="I20" s="60" t="s">
        <v>252</v>
      </c>
      <c r="J20" s="60"/>
      <c r="K20" s="60"/>
      <c r="M20" s="7" t="s">
        <v>305</v>
      </c>
    </row>
    <row r="21" spans="1:13" x14ac:dyDescent="0.45">
      <c r="A21" s="60"/>
      <c r="B21" s="60"/>
      <c r="C21" s="60" t="s">
        <v>5</v>
      </c>
      <c r="D21" s="60">
        <v>492989</v>
      </c>
      <c r="E21" s="165">
        <f>'Water Loss'!D29</f>
        <v>-72122.195458568764</v>
      </c>
      <c r="F21" s="69" t="s">
        <v>270</v>
      </c>
      <c r="G21" s="60">
        <f t="shared" si="0"/>
        <v>420866.80454143125</v>
      </c>
      <c r="H21" s="70"/>
      <c r="I21" s="7" t="s">
        <v>262</v>
      </c>
      <c r="M21" s="7" t="s">
        <v>307</v>
      </c>
    </row>
    <row r="22" spans="1:13" x14ac:dyDescent="0.45">
      <c r="A22" s="60"/>
      <c r="B22" s="60"/>
      <c r="C22" s="60" t="s">
        <v>6</v>
      </c>
      <c r="D22" s="60">
        <v>32896</v>
      </c>
      <c r="E22" s="60">
        <f>'Water Loss'!D30</f>
        <v>-4812.5449894522553</v>
      </c>
      <c r="F22" s="69" t="s">
        <v>270</v>
      </c>
      <c r="G22" s="60">
        <f t="shared" si="0"/>
        <v>28083.455010547746</v>
      </c>
      <c r="H22" s="71"/>
      <c r="I22" s="7" t="s">
        <v>263</v>
      </c>
      <c r="J22" s="60"/>
      <c r="K22" s="60"/>
      <c r="M22" s="7" t="s">
        <v>308</v>
      </c>
    </row>
    <row r="23" spans="1:13" x14ac:dyDescent="0.45">
      <c r="A23" s="60"/>
      <c r="B23" s="60"/>
      <c r="C23" s="60" t="s">
        <v>79</v>
      </c>
      <c r="D23" s="60"/>
      <c r="E23" s="60"/>
      <c r="F23" s="69"/>
      <c r="G23" s="60">
        <f t="shared" si="0"/>
        <v>0</v>
      </c>
      <c r="H23" s="71"/>
      <c r="J23" s="60"/>
      <c r="K23" s="60"/>
    </row>
    <row r="24" spans="1:13" x14ac:dyDescent="0.45">
      <c r="A24" s="60"/>
      <c r="B24" s="60"/>
      <c r="C24" s="165" t="s">
        <v>7</v>
      </c>
      <c r="D24" s="60">
        <v>94199</v>
      </c>
      <c r="E24" s="60">
        <f>-Capital!C6</f>
        <v>-15539.999999999998</v>
      </c>
      <c r="F24" s="69" t="s">
        <v>272</v>
      </c>
      <c r="G24" s="60">
        <f t="shared" si="0"/>
        <v>78659</v>
      </c>
      <c r="H24" s="65"/>
      <c r="I24" s="60" t="s">
        <v>254</v>
      </c>
      <c r="J24" s="60"/>
      <c r="K24" s="60"/>
      <c r="M24" s="7" t="s">
        <v>309</v>
      </c>
    </row>
    <row r="25" spans="1:13" x14ac:dyDescent="0.45">
      <c r="A25" s="60"/>
      <c r="B25" s="60"/>
      <c r="C25" s="60" t="s">
        <v>206</v>
      </c>
      <c r="D25" s="60">
        <v>8560</v>
      </c>
      <c r="E25" s="60"/>
      <c r="F25" s="69"/>
      <c r="G25" s="60">
        <f t="shared" si="0"/>
        <v>8560</v>
      </c>
      <c r="H25" s="65"/>
      <c r="I25" s="60"/>
      <c r="J25" s="60"/>
      <c r="K25" s="60"/>
    </row>
    <row r="26" spans="1:13" x14ac:dyDescent="0.45">
      <c r="A26" s="60"/>
      <c r="B26" s="60"/>
      <c r="C26" s="165" t="s">
        <v>207</v>
      </c>
      <c r="D26" s="60">
        <v>54000</v>
      </c>
      <c r="E26" s="165">
        <f>Contractors!G6</f>
        <v>-3600</v>
      </c>
      <c r="F26" s="69" t="s">
        <v>271</v>
      </c>
      <c r="G26" s="60">
        <f t="shared" si="0"/>
        <v>50400</v>
      </c>
      <c r="H26" s="65"/>
      <c r="I26" s="60" t="s">
        <v>264</v>
      </c>
      <c r="J26" s="60"/>
      <c r="K26" s="60"/>
      <c r="M26" s="7" t="s">
        <v>310</v>
      </c>
    </row>
    <row r="27" spans="1:13" x14ac:dyDescent="0.45">
      <c r="A27" s="60"/>
      <c r="B27" s="60"/>
      <c r="C27" s="165" t="s">
        <v>208</v>
      </c>
      <c r="D27" s="60">
        <v>30004</v>
      </c>
      <c r="E27" s="60">
        <f>-Capital!C5</f>
        <v>-6660</v>
      </c>
      <c r="F27" s="69" t="s">
        <v>272</v>
      </c>
      <c r="G27" s="60"/>
      <c r="H27" s="65"/>
      <c r="I27" s="60" t="s">
        <v>255</v>
      </c>
      <c r="J27" s="60"/>
      <c r="K27" s="60"/>
      <c r="M27" s="7" t="s">
        <v>311</v>
      </c>
    </row>
    <row r="28" spans="1:13" x14ac:dyDescent="0.45">
      <c r="A28" s="60"/>
      <c r="B28" s="60"/>
      <c r="C28" s="165"/>
      <c r="D28" s="60"/>
      <c r="E28" s="60">
        <v>42732</v>
      </c>
      <c r="F28" s="69" t="s">
        <v>193</v>
      </c>
      <c r="G28" s="60"/>
      <c r="H28" s="65"/>
      <c r="I28" s="60" t="s">
        <v>283</v>
      </c>
      <c r="J28" s="60"/>
      <c r="K28" s="60"/>
      <c r="M28" s="7" t="s">
        <v>312</v>
      </c>
    </row>
    <row r="29" spans="1:13" x14ac:dyDescent="0.45">
      <c r="A29" s="60"/>
      <c r="B29" s="60"/>
      <c r="C29" s="165"/>
      <c r="D29" s="60"/>
      <c r="E29" s="60">
        <f>30232-D27</f>
        <v>228</v>
      </c>
      <c r="F29" s="69" t="s">
        <v>273</v>
      </c>
      <c r="G29" s="60">
        <f>D27+E27+E28+E29</f>
        <v>66304</v>
      </c>
      <c r="H29" s="65"/>
      <c r="I29" s="60" t="s">
        <v>257</v>
      </c>
      <c r="J29" s="60"/>
      <c r="K29" s="60"/>
      <c r="M29" s="7" t="s">
        <v>318</v>
      </c>
    </row>
    <row r="30" spans="1:13" x14ac:dyDescent="0.45">
      <c r="A30" s="60"/>
      <c r="B30" s="60"/>
      <c r="C30" s="60" t="s">
        <v>61</v>
      </c>
      <c r="D30" s="60">
        <v>12000</v>
      </c>
      <c r="E30" s="60"/>
      <c r="F30" s="69"/>
      <c r="G30" s="60">
        <f t="shared" si="0"/>
        <v>12000</v>
      </c>
      <c r="H30" s="65"/>
      <c r="I30" s="60"/>
      <c r="J30" s="60"/>
      <c r="K30" s="60"/>
    </row>
    <row r="31" spans="1:13" x14ac:dyDescent="0.45">
      <c r="A31" s="60"/>
      <c r="B31" s="60"/>
      <c r="C31" s="60" t="s">
        <v>9</v>
      </c>
      <c r="D31" s="60">
        <v>0</v>
      </c>
      <c r="E31" s="60"/>
      <c r="F31" s="69"/>
      <c r="G31" s="60">
        <f t="shared" si="0"/>
        <v>0</v>
      </c>
      <c r="H31" s="67"/>
      <c r="I31" s="60"/>
      <c r="J31" s="60"/>
      <c r="K31" s="60"/>
    </row>
    <row r="32" spans="1:13" x14ac:dyDescent="0.45">
      <c r="A32" s="60"/>
      <c r="B32" s="60"/>
      <c r="C32" s="165" t="s">
        <v>209</v>
      </c>
      <c r="D32" s="60">
        <v>21030</v>
      </c>
      <c r="E32" s="60">
        <f>Dental!C12</f>
        <v>-1104.96</v>
      </c>
      <c r="F32" s="69" t="s">
        <v>274</v>
      </c>
      <c r="G32" s="60">
        <f t="shared" si="0"/>
        <v>19925.04</v>
      </c>
      <c r="H32" s="67"/>
      <c r="I32" s="60" t="s">
        <v>253</v>
      </c>
      <c r="J32" s="60"/>
      <c r="K32" s="60"/>
      <c r="M32" s="7" t="s">
        <v>317</v>
      </c>
    </row>
    <row r="33" spans="1:13" x14ac:dyDescent="0.45">
      <c r="A33" s="60"/>
      <c r="B33" s="60"/>
      <c r="C33" s="60" t="s">
        <v>62</v>
      </c>
      <c r="D33" s="60">
        <v>0</v>
      </c>
      <c r="E33" s="60"/>
      <c r="F33" s="69"/>
      <c r="G33" s="60">
        <f t="shared" si="0"/>
        <v>0</v>
      </c>
      <c r="H33" s="67"/>
      <c r="I33" s="60"/>
      <c r="J33" s="60"/>
      <c r="K33" s="60"/>
    </row>
    <row r="34" spans="1:13" x14ac:dyDescent="0.45">
      <c r="A34" s="60"/>
      <c r="B34" s="60"/>
      <c r="C34" s="60" t="s">
        <v>63</v>
      </c>
      <c r="D34" s="60">
        <v>0</v>
      </c>
      <c r="E34" s="60"/>
      <c r="F34" s="64"/>
      <c r="G34" s="60">
        <f t="shared" si="0"/>
        <v>0</v>
      </c>
      <c r="H34" s="67"/>
      <c r="I34" s="60"/>
      <c r="J34" s="60"/>
      <c r="K34" s="60"/>
    </row>
    <row r="35" spans="1:13" ht="16.5" x14ac:dyDescent="0.45">
      <c r="A35" s="60"/>
      <c r="B35" s="60"/>
      <c r="C35" s="165" t="s">
        <v>8</v>
      </c>
      <c r="D35" s="83">
        <v>11370</v>
      </c>
      <c r="E35" s="83">
        <v>0</v>
      </c>
      <c r="F35" s="69"/>
      <c r="G35" s="83">
        <f t="shared" si="0"/>
        <v>11370</v>
      </c>
      <c r="H35" s="67"/>
      <c r="I35" s="60"/>
      <c r="J35" s="60"/>
      <c r="K35" s="60"/>
    </row>
    <row r="36" spans="1:13" x14ac:dyDescent="0.45">
      <c r="A36" s="60"/>
      <c r="B36" s="60" t="s">
        <v>38</v>
      </c>
      <c r="C36" s="60"/>
      <c r="D36" s="60">
        <f>SUM(D18:D35)</f>
        <v>806903</v>
      </c>
      <c r="E36" s="60">
        <f>SUM(E18:E35)</f>
        <v>-60535.25244802102</v>
      </c>
      <c r="F36" s="64"/>
      <c r="G36" s="60">
        <f>SUM(G18:G35)</f>
        <v>746367.74755197903</v>
      </c>
      <c r="H36" s="67"/>
      <c r="I36" s="60"/>
      <c r="J36" s="60"/>
      <c r="K36" s="60"/>
    </row>
    <row r="37" spans="1:13" ht="4.05" customHeight="1" x14ac:dyDescent="0.45">
      <c r="A37" s="60"/>
      <c r="B37" s="60"/>
      <c r="C37" s="60"/>
      <c r="D37" s="60"/>
      <c r="E37" s="60"/>
      <c r="F37" s="64"/>
      <c r="G37" s="60"/>
      <c r="H37" s="67"/>
      <c r="I37" s="60"/>
      <c r="J37" s="60"/>
      <c r="K37" s="60"/>
    </row>
    <row r="38" spans="1:13" x14ac:dyDescent="0.45">
      <c r="A38" s="60"/>
      <c r="B38" s="60" t="s">
        <v>21</v>
      </c>
      <c r="C38" s="60"/>
      <c r="D38" s="60">
        <v>100346</v>
      </c>
      <c r="E38" s="60">
        <f>Depreciation!K44</f>
        <v>-5447.7564691388798</v>
      </c>
      <c r="F38" s="64" t="s">
        <v>275</v>
      </c>
      <c r="G38" s="60">
        <f>D38+E38</f>
        <v>94898.243530861117</v>
      </c>
      <c r="H38" s="67"/>
      <c r="I38" s="60" t="s">
        <v>277</v>
      </c>
      <c r="J38" s="60"/>
      <c r="M38" s="7" t="s">
        <v>316</v>
      </c>
    </row>
    <row r="39" spans="1:13" ht="16.5" x14ac:dyDescent="0.45">
      <c r="A39" s="60"/>
      <c r="B39" s="165" t="s">
        <v>1</v>
      </c>
      <c r="C39" s="165"/>
      <c r="D39" s="83">
        <v>5581</v>
      </c>
      <c r="E39" s="83">
        <f>Wages!G22</f>
        <v>-826.29250000000002</v>
      </c>
      <c r="F39" s="84" t="s">
        <v>281</v>
      </c>
      <c r="G39" s="83">
        <f t="shared" ref="G39" si="1">D39+E39</f>
        <v>4754.7075000000004</v>
      </c>
      <c r="H39" s="67"/>
      <c r="I39" s="60" t="s">
        <v>278</v>
      </c>
      <c r="J39" s="60"/>
      <c r="M39" s="7" t="s">
        <v>315</v>
      </c>
    </row>
    <row r="40" spans="1:13" ht="16.5" x14ac:dyDescent="0.45">
      <c r="A40" s="68" t="s">
        <v>0</v>
      </c>
      <c r="B40" s="60"/>
      <c r="C40" s="60"/>
      <c r="D40" s="83">
        <f>SUM(D36:D39)</f>
        <v>912830</v>
      </c>
      <c r="E40" s="83">
        <f>SUM(E36:E39)</f>
        <v>-66809.301417159892</v>
      </c>
      <c r="F40" s="84"/>
      <c r="G40" s="83">
        <f>SUM(G36:G39)</f>
        <v>846020.69858284015</v>
      </c>
      <c r="H40" s="67"/>
      <c r="I40" s="60"/>
      <c r="J40" s="60"/>
      <c r="K40" s="60"/>
    </row>
    <row r="41" spans="1:13" ht="4.05" customHeight="1" x14ac:dyDescent="0.45">
      <c r="A41" s="68"/>
      <c r="B41" s="60"/>
      <c r="C41" s="60"/>
      <c r="D41" s="85"/>
      <c r="E41" s="60"/>
      <c r="F41" s="64"/>
      <c r="G41" s="60"/>
      <c r="H41" s="60"/>
      <c r="I41" s="60"/>
      <c r="J41" s="60"/>
      <c r="K41" s="60"/>
    </row>
    <row r="42" spans="1:13" x14ac:dyDescent="0.45">
      <c r="A42" s="68" t="s">
        <v>39</v>
      </c>
      <c r="B42" s="60"/>
      <c r="C42" s="60"/>
      <c r="D42" s="60">
        <f>D14-D40</f>
        <v>-56360</v>
      </c>
      <c r="E42" s="60">
        <f>E14-E40</f>
        <v>60439.697417159841</v>
      </c>
      <c r="F42" s="64"/>
      <c r="G42" s="60">
        <f>G14-G40</f>
        <v>4079.6974171597976</v>
      </c>
      <c r="H42" s="60"/>
      <c r="I42" s="60"/>
      <c r="K42" s="60"/>
    </row>
    <row r="43" spans="1:13" x14ac:dyDescent="0.45">
      <c r="A43" s="60"/>
      <c r="B43" s="60"/>
      <c r="C43" s="60"/>
      <c r="D43" s="60"/>
      <c r="E43" s="60"/>
      <c r="F43" s="64"/>
      <c r="G43" s="60"/>
      <c r="H43" s="60"/>
      <c r="I43" s="60"/>
      <c r="J43" s="60"/>
      <c r="K43" s="60"/>
    </row>
    <row r="44" spans="1:13" ht="18" x14ac:dyDescent="0.45">
      <c r="A44" s="297" t="s">
        <v>22</v>
      </c>
      <c r="B44" s="297"/>
      <c r="C44" s="297"/>
      <c r="D44" s="297"/>
      <c r="E44" s="297"/>
      <c r="F44" s="297"/>
      <c r="G44" s="297"/>
      <c r="H44" s="60"/>
      <c r="I44" s="72"/>
      <c r="J44" s="73"/>
      <c r="K44" s="60"/>
    </row>
    <row r="45" spans="1:13" x14ac:dyDescent="0.45">
      <c r="A45" s="68" t="s">
        <v>40</v>
      </c>
      <c r="B45" s="60"/>
      <c r="C45" s="60"/>
      <c r="D45" s="74"/>
      <c r="E45" s="60"/>
      <c r="F45" s="69"/>
      <c r="G45" s="7">
        <f>G40</f>
        <v>846020.69858284015</v>
      </c>
      <c r="H45" s="60"/>
      <c r="J45" s="60"/>
      <c r="K45" s="60"/>
    </row>
    <row r="46" spans="1:13" x14ac:dyDescent="0.45">
      <c r="A46" s="60" t="s">
        <v>23</v>
      </c>
      <c r="B46" s="60"/>
      <c r="C46" s="60" t="s">
        <v>107</v>
      </c>
      <c r="D46" s="74"/>
      <c r="E46" s="60"/>
      <c r="F46" s="69" t="s">
        <v>276</v>
      </c>
      <c r="G46" s="258">
        <f>'Debt Service'!M21</f>
        <v>83626.12</v>
      </c>
      <c r="H46" s="60"/>
      <c r="I46" s="7" t="s">
        <v>279</v>
      </c>
      <c r="J46" s="60"/>
      <c r="K46" s="60"/>
      <c r="M46" s="7" t="s">
        <v>313</v>
      </c>
    </row>
    <row r="47" spans="1:13" x14ac:dyDescent="0.45">
      <c r="A47" s="60"/>
      <c r="B47" s="60"/>
      <c r="C47" s="60" t="s">
        <v>108</v>
      </c>
      <c r="D47" s="74"/>
      <c r="E47" s="60"/>
      <c r="F47" s="69" t="s">
        <v>187</v>
      </c>
      <c r="G47" s="7">
        <f>'Debt Service'!M23</f>
        <v>16725.223999999998</v>
      </c>
      <c r="H47" s="60"/>
      <c r="I47" s="7" t="s">
        <v>280</v>
      </c>
      <c r="J47" s="60"/>
      <c r="K47" s="60"/>
      <c r="M47" s="7" t="s">
        <v>314</v>
      </c>
    </row>
    <row r="48" spans="1:13" x14ac:dyDescent="0.45">
      <c r="A48" s="68" t="s">
        <v>66</v>
      </c>
      <c r="B48" s="60"/>
      <c r="C48" s="60"/>
      <c r="D48" s="74"/>
      <c r="E48" s="60"/>
      <c r="F48" s="69"/>
      <c r="G48" s="7">
        <f>G45+G46+G47</f>
        <v>946372.04258284019</v>
      </c>
      <c r="H48" s="60"/>
      <c r="J48" s="60"/>
      <c r="K48" s="60"/>
    </row>
    <row r="49" spans="1:11" x14ac:dyDescent="0.45">
      <c r="A49" s="60" t="s">
        <v>24</v>
      </c>
      <c r="B49" s="60"/>
      <c r="C49" s="60" t="s">
        <v>25</v>
      </c>
      <c r="D49" s="74"/>
      <c r="E49" s="60"/>
      <c r="F49" s="69"/>
      <c r="G49" s="7">
        <f>SUM(G11:G13)</f>
        <v>10302</v>
      </c>
      <c r="H49" s="60"/>
      <c r="J49" s="60"/>
      <c r="K49" s="60"/>
    </row>
    <row r="50" spans="1:11" x14ac:dyDescent="0.45">
      <c r="A50" s="60"/>
      <c r="B50" s="60"/>
      <c r="C50" s="60" t="s">
        <v>59</v>
      </c>
      <c r="D50" s="74"/>
      <c r="E50" s="60"/>
      <c r="F50" s="69"/>
      <c r="G50" s="7">
        <f>G7</f>
        <v>0</v>
      </c>
      <c r="H50" s="60"/>
      <c r="J50" s="60"/>
      <c r="K50" s="60"/>
    </row>
    <row r="51" spans="1:11" x14ac:dyDescent="0.45">
      <c r="A51" s="60"/>
      <c r="B51" s="60"/>
      <c r="C51" s="60" t="s">
        <v>12</v>
      </c>
      <c r="D51" s="74"/>
      <c r="E51" s="60"/>
      <c r="F51" s="69"/>
      <c r="G51" s="33">
        <v>351</v>
      </c>
      <c r="H51" s="60"/>
      <c r="I51" s="33"/>
      <c r="J51" s="60"/>
      <c r="K51" s="60"/>
    </row>
    <row r="52" spans="1:11" x14ac:dyDescent="0.45">
      <c r="A52" s="68" t="s">
        <v>64</v>
      </c>
      <c r="B52" s="60"/>
      <c r="C52" s="60"/>
      <c r="D52" s="74"/>
      <c r="E52" s="60"/>
      <c r="F52" s="69"/>
      <c r="G52" s="7">
        <f>G48-G49-G50-G51</f>
        <v>935719.04258284019</v>
      </c>
      <c r="H52" s="60"/>
      <c r="J52" s="60"/>
      <c r="K52" s="60"/>
    </row>
    <row r="53" spans="1:11" ht="16.5" x14ac:dyDescent="0.75">
      <c r="A53" s="60" t="s">
        <v>24</v>
      </c>
      <c r="B53" s="60"/>
      <c r="C53" s="60" t="s">
        <v>65</v>
      </c>
      <c r="D53" s="74"/>
      <c r="E53" s="60"/>
      <c r="F53" s="69"/>
      <c r="G53" s="24">
        <f>ExBA!H6</f>
        <v>839798.39599999995</v>
      </c>
      <c r="H53" s="60"/>
      <c r="I53" s="33"/>
      <c r="J53" s="60"/>
      <c r="K53" s="60"/>
    </row>
    <row r="54" spans="1:11" x14ac:dyDescent="0.45">
      <c r="A54" s="68" t="s">
        <v>67</v>
      </c>
      <c r="B54" s="60"/>
      <c r="C54" s="60"/>
      <c r="D54" s="74"/>
      <c r="E54" s="60"/>
      <c r="F54" s="69"/>
      <c r="G54" s="60">
        <f>G52-G53</f>
        <v>95920.646582840243</v>
      </c>
      <c r="H54" s="60"/>
      <c r="I54" s="60"/>
      <c r="J54" s="60"/>
      <c r="K54" s="60"/>
    </row>
    <row r="55" spans="1:11" ht="4.05" customHeight="1" x14ac:dyDescent="0.45">
      <c r="A55" s="60"/>
      <c r="B55" s="60"/>
      <c r="C55" s="60"/>
      <c r="D55" s="74"/>
      <c r="E55" s="60"/>
      <c r="F55" s="69"/>
      <c r="G55" s="60"/>
      <c r="H55" s="60"/>
      <c r="I55" s="60"/>
      <c r="J55" s="60"/>
      <c r="K55" s="60"/>
    </row>
    <row r="56" spans="1:11" x14ac:dyDescent="0.45">
      <c r="A56" s="68" t="s">
        <v>68</v>
      </c>
      <c r="B56" s="60"/>
      <c r="C56" s="60"/>
      <c r="D56" s="74"/>
      <c r="E56" s="60"/>
      <c r="F56" s="69"/>
      <c r="G56" s="76">
        <f>G54/G53</f>
        <v>0.11421865895400002</v>
      </c>
      <c r="H56" s="60"/>
      <c r="I56" s="60"/>
      <c r="J56" s="60"/>
      <c r="K56" s="60"/>
    </row>
    <row r="59" spans="1:11" x14ac:dyDescent="0.45">
      <c r="A59" s="68"/>
      <c r="B59" s="60"/>
      <c r="C59" s="60"/>
      <c r="D59" s="74"/>
      <c r="E59" s="60"/>
      <c r="F59" s="69"/>
      <c r="G59" s="60"/>
    </row>
    <row r="60" spans="1:11" x14ac:dyDescent="0.45">
      <c r="A60" s="60"/>
      <c r="B60" s="60"/>
      <c r="C60" s="60"/>
      <c r="D60" s="74"/>
      <c r="E60" s="60"/>
      <c r="F60" s="69"/>
      <c r="G60" s="60"/>
    </row>
    <row r="61" spans="1:11" x14ac:dyDescent="0.45">
      <c r="A61" s="68"/>
      <c r="B61" s="60"/>
      <c r="C61" s="60"/>
      <c r="D61" s="74"/>
      <c r="E61" s="60"/>
      <c r="F61" s="69"/>
      <c r="G61" s="60"/>
    </row>
  </sheetData>
  <mergeCells count="2">
    <mergeCell ref="A44:G44"/>
    <mergeCell ref="A1:G1"/>
  </mergeCells>
  <printOptions horizontalCentered="1"/>
  <pageMargins left="0.45" right="0.25" top="0.5" bottom="0.5" header="0.3" footer="0.3"/>
  <pageSetup scale="67" orientation="portrait" horizontalDpi="4294967293" r:id="rId1"/>
  <rowBreaks count="2" manualBreakCount="2">
    <brk id="42" max="16383" man="1"/>
    <brk id="4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O27"/>
  <sheetViews>
    <sheetView showGridLines="0" workbookViewId="0">
      <selection activeCell="J27" sqref="A1:J27"/>
    </sheetView>
  </sheetViews>
  <sheetFormatPr defaultColWidth="8.88671875" defaultRowHeight="14.25" x14ac:dyDescent="0.45"/>
  <cols>
    <col min="1" max="1" width="2.609375" style="7" customWidth="1"/>
    <col min="2" max="2" width="1.77734375" style="7" customWidth="1"/>
    <col min="3" max="4" width="9.77734375" style="7" customWidth="1"/>
    <col min="5" max="6" width="9.77734375" style="258" customWidth="1"/>
    <col min="7" max="8" width="9.77734375" style="7" customWidth="1"/>
    <col min="9" max="9" width="1.77734375" style="7" customWidth="1"/>
    <col min="10" max="10" width="2.5" style="7" customWidth="1"/>
    <col min="11" max="16384" width="8.88671875" style="7"/>
  </cols>
  <sheetData>
    <row r="1" spans="2:11" x14ac:dyDescent="0.45">
      <c r="B1" s="8"/>
      <c r="C1" s="9"/>
      <c r="D1" s="9"/>
      <c r="E1" s="262"/>
      <c r="F1" s="262"/>
      <c r="G1" s="9"/>
      <c r="H1" s="9"/>
      <c r="I1" s="10"/>
    </row>
    <row r="2" spans="2:11" ht="18" x14ac:dyDescent="0.55000000000000004">
      <c r="B2" s="11"/>
      <c r="C2" s="331" t="s">
        <v>197</v>
      </c>
      <c r="D2" s="331"/>
      <c r="E2" s="331"/>
      <c r="F2" s="331"/>
      <c r="G2" s="331"/>
      <c r="H2" s="331"/>
      <c r="I2" s="332"/>
    </row>
    <row r="3" spans="2:11" ht="18" x14ac:dyDescent="0.55000000000000004">
      <c r="B3" s="11"/>
      <c r="C3" s="327" t="s">
        <v>203</v>
      </c>
      <c r="D3" s="327"/>
      <c r="E3" s="327"/>
      <c r="F3" s="327"/>
      <c r="G3" s="327"/>
      <c r="H3" s="327"/>
      <c r="I3" s="328"/>
    </row>
    <row r="4" spans="2:11" ht="15.75" x14ac:dyDescent="0.45">
      <c r="B4" s="11"/>
      <c r="C4" s="329" t="s">
        <v>239</v>
      </c>
      <c r="D4" s="329"/>
      <c r="E4" s="329"/>
      <c r="F4" s="329"/>
      <c r="G4" s="329"/>
      <c r="H4" s="329"/>
      <c r="I4" s="330"/>
    </row>
    <row r="5" spans="2:11" x14ac:dyDescent="0.45">
      <c r="B5" s="13"/>
      <c r="C5" s="5"/>
      <c r="D5" s="5"/>
      <c r="E5" s="263"/>
      <c r="F5" s="263"/>
      <c r="G5" s="5"/>
      <c r="H5" s="5"/>
      <c r="I5" s="14"/>
    </row>
    <row r="6" spans="2:11" ht="6" customHeight="1" x14ac:dyDescent="0.45">
      <c r="B6" s="11"/>
      <c r="C6" s="6"/>
      <c r="D6" s="12"/>
      <c r="E6" s="264"/>
      <c r="F6" s="267"/>
      <c r="G6" s="37"/>
      <c r="H6" s="37"/>
      <c r="I6" s="38"/>
      <c r="J6" s="36"/>
      <c r="K6" s="36"/>
    </row>
    <row r="7" spans="2:11" ht="16.5" x14ac:dyDescent="0.75">
      <c r="B7" s="11"/>
      <c r="C7" s="16" t="s">
        <v>14</v>
      </c>
      <c r="D7" s="34" t="s">
        <v>69</v>
      </c>
      <c r="E7" s="265" t="s">
        <v>26</v>
      </c>
      <c r="F7" s="268" t="s">
        <v>10</v>
      </c>
      <c r="G7" s="16"/>
      <c r="H7" s="16"/>
      <c r="I7" s="34"/>
    </row>
    <row r="8" spans="2:11" ht="16.5" x14ac:dyDescent="0.75">
      <c r="B8" s="11"/>
      <c r="C8" s="16" t="s">
        <v>77</v>
      </c>
      <c r="D8" s="34" t="s">
        <v>73</v>
      </c>
      <c r="E8" s="265" t="s">
        <v>71</v>
      </c>
      <c r="F8" s="268" t="s">
        <v>71</v>
      </c>
      <c r="G8" s="16" t="s">
        <v>27</v>
      </c>
      <c r="H8" s="16" t="s">
        <v>72</v>
      </c>
      <c r="I8" s="34"/>
    </row>
    <row r="9" spans="2:11" x14ac:dyDescent="0.45">
      <c r="B9" s="11"/>
      <c r="C9" s="17">
        <v>0</v>
      </c>
      <c r="D9" s="39" t="s">
        <v>74</v>
      </c>
      <c r="E9" s="266">
        <f>Rates!D$12</f>
        <v>20.48</v>
      </c>
      <c r="F9" s="171">
        <f>Rates!E$12</f>
        <v>22.82</v>
      </c>
      <c r="G9" s="50">
        <f>F9-E9</f>
        <v>2.34</v>
      </c>
      <c r="H9" s="79">
        <f>G9/E9</f>
        <v>0.11425781249999999</v>
      </c>
      <c r="I9" s="42"/>
    </row>
    <row r="10" spans="2:11" x14ac:dyDescent="0.45">
      <c r="B10" s="11"/>
      <c r="C10" s="6">
        <v>2000</v>
      </c>
      <c r="D10" s="39" t="s">
        <v>74</v>
      </c>
      <c r="E10" s="266">
        <f>Rates!D$12</f>
        <v>20.48</v>
      </c>
      <c r="F10" s="266">
        <f>Rates!E$12</f>
        <v>22.82</v>
      </c>
      <c r="G10" s="17">
        <f t="shared" ref="G10:G17" si="0">F10-E10</f>
        <v>2.34</v>
      </c>
      <c r="H10" s="79">
        <f t="shared" ref="H10:H24" si="1">G10/E10</f>
        <v>0.11425781249999999</v>
      </c>
      <c r="I10" s="42"/>
    </row>
    <row r="11" spans="2:11" x14ac:dyDescent="0.45">
      <c r="B11" s="11"/>
      <c r="C11" s="43">
        <v>4000</v>
      </c>
      <c r="D11" s="44" t="s">
        <v>74</v>
      </c>
      <c r="E11" s="269">
        <f>Rates!D$12+((C11-2000)/1000)*Rates!D$13</f>
        <v>30.46</v>
      </c>
      <c r="F11" s="269">
        <f>Rates!E$12+((C11-2000)/1000)*Rates!E$13</f>
        <v>33.94</v>
      </c>
      <c r="G11" s="45">
        <f t="shared" si="0"/>
        <v>3.4799999999999969</v>
      </c>
      <c r="H11" s="80">
        <f t="shared" si="1"/>
        <v>0.11424819435325005</v>
      </c>
      <c r="I11" s="46"/>
    </row>
    <row r="12" spans="2:11" x14ac:dyDescent="0.45">
      <c r="B12" s="11"/>
      <c r="C12" s="6">
        <v>6000</v>
      </c>
      <c r="D12" s="39" t="s">
        <v>74</v>
      </c>
      <c r="E12" s="266">
        <f>Rates!D$12+(Rates!D$13*2)+(Rates!D$14*(C12-4000)/1000)</f>
        <v>40.020000000000003</v>
      </c>
      <c r="F12" s="266">
        <f>Rates!E$12+(Rates!E$13*2)+(Rates!E$14*(C12-4000)/1000)</f>
        <v>44.599999999999994</v>
      </c>
      <c r="G12" s="17">
        <f t="shared" si="0"/>
        <v>4.5799999999999912</v>
      </c>
      <c r="H12" s="79">
        <f t="shared" si="1"/>
        <v>0.11444277861069442</v>
      </c>
      <c r="I12" s="42"/>
    </row>
    <row r="13" spans="2:11" x14ac:dyDescent="0.45">
      <c r="B13" s="11"/>
      <c r="C13" s="6">
        <v>8000</v>
      </c>
      <c r="D13" s="39" t="s">
        <v>74</v>
      </c>
      <c r="E13" s="266">
        <f>Rates!D$12+(Rates!D$13*2)+(Rates!D$14*(C13-4000)/1000)</f>
        <v>49.58</v>
      </c>
      <c r="F13" s="266">
        <f>Rates!E$12+(Rates!E$13*2)+((C13-4000)/1000)*Rates!E$14</f>
        <v>55.26</v>
      </c>
      <c r="G13" s="17">
        <f t="shared" si="0"/>
        <v>5.68</v>
      </c>
      <c r="H13" s="79">
        <f t="shared" si="1"/>
        <v>0.1145623235175474</v>
      </c>
      <c r="I13" s="42"/>
    </row>
    <row r="14" spans="2:11" x14ac:dyDescent="0.45">
      <c r="B14" s="11"/>
      <c r="C14" s="6">
        <v>10000</v>
      </c>
      <c r="D14" s="39" t="s">
        <v>74</v>
      </c>
      <c r="E14" s="266">
        <f>Rates!D$12+(Rates!D$13*2)+(Rates!D$14*(C14-4000)/1000)</f>
        <v>59.14</v>
      </c>
      <c r="F14" s="266">
        <f>Rates!E$12+(Rates!E$13*2)+((C14-4000)/1000)*Rates!E$14</f>
        <v>65.92</v>
      </c>
      <c r="G14" s="17">
        <f t="shared" si="0"/>
        <v>6.7800000000000011</v>
      </c>
      <c r="H14" s="79">
        <f t="shared" si="1"/>
        <v>0.11464321947920192</v>
      </c>
      <c r="I14" s="42"/>
    </row>
    <row r="15" spans="2:11" x14ac:dyDescent="0.45">
      <c r="B15" s="11"/>
      <c r="C15" s="6">
        <v>15000</v>
      </c>
      <c r="D15" s="39" t="s">
        <v>74</v>
      </c>
      <c r="E15" s="266">
        <f>Rates!D$12+(Rates!D$13*2)+(Rates!D$14*6)+(Rates!D$15*(C15-10000)/1000)</f>
        <v>81.39</v>
      </c>
      <c r="F15" s="266">
        <f>Rates!E$12+(Rates!E$13*2)+(Rates!E$14*6)+((C15-10000)/1000)*Rates!E$15</f>
        <v>90.72</v>
      </c>
      <c r="G15" s="17">
        <f t="shared" si="0"/>
        <v>9.3299999999999983</v>
      </c>
      <c r="H15" s="79">
        <f t="shared" si="1"/>
        <v>0.11463324732768151</v>
      </c>
      <c r="I15" s="42"/>
    </row>
    <row r="16" spans="2:11" x14ac:dyDescent="0.45">
      <c r="B16" s="11"/>
      <c r="C16" s="6">
        <v>20000</v>
      </c>
      <c r="D16" s="39" t="s">
        <v>74</v>
      </c>
      <c r="E16" s="266">
        <f>Rates!D$12+(Rates!D$13*2)+(Rates!D$14*6)+(Rates!D$15*(C16-10000)/1000)</f>
        <v>103.64</v>
      </c>
      <c r="F16" s="266">
        <f>Rates!E$12+(Rates!E$13*2)+(Rates!E$14*6)+((C16-10000)/1000)*Rates!E$15</f>
        <v>115.52000000000001</v>
      </c>
      <c r="G16" s="17">
        <f t="shared" si="0"/>
        <v>11.88000000000001</v>
      </c>
      <c r="H16" s="79">
        <f t="shared" si="1"/>
        <v>0.11462755692782718</v>
      </c>
      <c r="I16" s="42"/>
    </row>
    <row r="17" spans="2:15" x14ac:dyDescent="0.45">
      <c r="B17" s="11"/>
      <c r="C17" s="6">
        <v>25000</v>
      </c>
      <c r="D17" s="40" t="s">
        <v>28</v>
      </c>
      <c r="E17" s="266">
        <f>Rates!D$12+(Rates!D$13*2)+(Rates!D$14*6)+(Rates!D$15*(C17-10000)/1000)</f>
        <v>125.89</v>
      </c>
      <c r="F17" s="266">
        <f>Rates!E$12+(Rates!E$13*2)+(Rates!E$14*6)+((C17-10000)/1000)*Rates!E$15</f>
        <v>140.32</v>
      </c>
      <c r="G17" s="17">
        <f t="shared" si="0"/>
        <v>14.429999999999993</v>
      </c>
      <c r="H17" s="79">
        <f t="shared" si="1"/>
        <v>0.11462387798872026</v>
      </c>
      <c r="I17" s="42"/>
    </row>
    <row r="18" spans="2:15" x14ac:dyDescent="0.45">
      <c r="B18" s="11"/>
      <c r="C18" s="6">
        <v>30000</v>
      </c>
      <c r="D18" s="40" t="s">
        <v>28</v>
      </c>
      <c r="E18" s="266">
        <f>Rates!D$12+(Rates!D$13*2)+(Rates!D$14*6)+(Rates!D$15*(C18-10000)/1000)</f>
        <v>148.13999999999999</v>
      </c>
      <c r="F18" s="266">
        <f>Rates!E$12+(Rates!E$13*2)+(Rates!E$14*6)+((C18-10000)/1000)*Rates!E$15</f>
        <v>165.12</v>
      </c>
      <c r="G18" s="17">
        <f t="shared" ref="G18:G24" si="2">F18-E18</f>
        <v>16.980000000000018</v>
      </c>
      <c r="H18" s="79">
        <f t="shared" si="1"/>
        <v>0.11462130417172958</v>
      </c>
      <c r="I18" s="42"/>
      <c r="O18" s="6"/>
    </row>
    <row r="19" spans="2:15" x14ac:dyDescent="0.45">
      <c r="B19" s="11"/>
      <c r="C19" s="6">
        <v>40000</v>
      </c>
      <c r="D19" s="40" t="s">
        <v>28</v>
      </c>
      <c r="E19" s="266">
        <f>Rates!D$12+(Rates!D$13*2)+(Rates!D$14*6)+(Rates!D$15*(C19-10000)/1000)</f>
        <v>192.64</v>
      </c>
      <c r="F19" s="266">
        <f>Rates!E$12+(Rates!E$13*2)+(Rates!E$14*6)+((C19-10000)/1000)*Rates!E$15</f>
        <v>214.72000000000003</v>
      </c>
      <c r="G19" s="17">
        <f t="shared" si="2"/>
        <v>22.080000000000041</v>
      </c>
      <c r="H19" s="79">
        <f t="shared" si="1"/>
        <v>0.11461794019933577</v>
      </c>
      <c r="I19" s="42"/>
    </row>
    <row r="20" spans="2:15" x14ac:dyDescent="0.45">
      <c r="B20" s="11"/>
      <c r="C20" s="6">
        <v>50000</v>
      </c>
      <c r="D20" s="40" t="s">
        <v>28</v>
      </c>
      <c r="E20" s="266">
        <f>Rates!D$12+(Rates!D$13*2)+(Rates!D$14*6)+(Rates!D$15*(C20-10000)/1000)</f>
        <v>237.14</v>
      </c>
      <c r="F20" s="266">
        <f>Rates!E$12+(Rates!E$13*2)+(Rates!E$14*6)+((C20-10000)/1000)*Rates!E$15</f>
        <v>264.32</v>
      </c>
      <c r="G20" s="17">
        <f t="shared" si="2"/>
        <v>27.180000000000007</v>
      </c>
      <c r="H20" s="79">
        <f t="shared" si="1"/>
        <v>0.11461583874504516</v>
      </c>
      <c r="I20" s="42"/>
    </row>
    <row r="21" spans="2:15" x14ac:dyDescent="0.45">
      <c r="B21" s="11"/>
      <c r="C21" s="6">
        <v>75000</v>
      </c>
      <c r="D21" s="40" t="s">
        <v>29</v>
      </c>
      <c r="E21" s="266">
        <f>Rates!D$12+(Rates!D$13*2)+(Rates!D$14*6)+(Rates!D$15*(C21-10000)/1000)</f>
        <v>348.39</v>
      </c>
      <c r="F21" s="266">
        <f>Rates!E$12+(Rates!E$13*2)+(Rates!E$14*6)+((C21-10000)/1000)*Rates!E$15</f>
        <v>388.32</v>
      </c>
      <c r="G21" s="17">
        <f t="shared" si="2"/>
        <v>39.930000000000007</v>
      </c>
      <c r="H21" s="79">
        <f t="shared" si="1"/>
        <v>0.1146129337811074</v>
      </c>
      <c r="I21" s="42"/>
    </row>
    <row r="22" spans="2:15" x14ac:dyDescent="0.45">
      <c r="B22" s="11"/>
      <c r="C22" s="6">
        <v>100000</v>
      </c>
      <c r="D22" s="40" t="s">
        <v>29</v>
      </c>
      <c r="E22" s="266">
        <f>Rates!D$12+(Rates!D$13*2)+(Rates!D$14*6)+(Rates!D$15*(C22-10000)/1000)</f>
        <v>459.64</v>
      </c>
      <c r="F22" s="266">
        <f>Rates!E$12+(Rates!E$13*2)+(Rates!E$14*6)+((C22-10000)/1000)*Rates!E$15</f>
        <v>512.31999999999994</v>
      </c>
      <c r="G22" s="17">
        <f t="shared" si="2"/>
        <v>52.67999999999995</v>
      </c>
      <c r="H22" s="79">
        <f t="shared" si="1"/>
        <v>0.11461143503611511</v>
      </c>
      <c r="I22" s="42"/>
    </row>
    <row r="23" spans="2:15" x14ac:dyDescent="0.45">
      <c r="B23" s="11"/>
      <c r="C23" s="6">
        <v>200000</v>
      </c>
      <c r="D23" s="40" t="s">
        <v>29</v>
      </c>
      <c r="E23" s="266">
        <f>Rates!D$12+(Rates!D$13*2)+(Rates!D$14*6)+(Rates!D15*90)+(Rates!D$16*(C23-100000)/1000)</f>
        <v>864.64</v>
      </c>
      <c r="F23" s="266">
        <f>Rates!E$12+(Rates!E$13*2)+(Rates!E$14*6)+(Rates!E15*90)+(Rates!E$16*(C23-100000)/1000)</f>
        <v>963.31999999999994</v>
      </c>
      <c r="G23" s="17">
        <f t="shared" si="2"/>
        <v>98.67999999999995</v>
      </c>
      <c r="H23" s="79">
        <f t="shared" si="1"/>
        <v>0.11412842339008136</v>
      </c>
      <c r="I23" s="42"/>
    </row>
    <row r="24" spans="2:15" x14ac:dyDescent="0.45">
      <c r="B24" s="11"/>
      <c r="C24" s="6">
        <v>500000</v>
      </c>
      <c r="D24" s="40" t="s">
        <v>29</v>
      </c>
      <c r="E24" s="266">
        <f>Rates!D$12+(Rates!D$13*2)+(Rates!D$14*6)+(Rates!D15*90)+(Rates!D$16*(C24-100000)/1000)</f>
        <v>2079.64</v>
      </c>
      <c r="F24" s="266">
        <f>Rates!E$12+(Rates!E$13*2)+(Rates!E$14*6)+(Rates!E15*90)+(Rates!E$16*(C24-100000)/1000)</f>
        <v>2316.3199999999997</v>
      </c>
      <c r="G24" s="17">
        <f t="shared" si="2"/>
        <v>236.67999999999984</v>
      </c>
      <c r="H24" s="79">
        <f t="shared" si="1"/>
        <v>0.11380815910446032</v>
      </c>
      <c r="I24" s="42"/>
    </row>
    <row r="25" spans="2:15" ht="6" customHeight="1" x14ac:dyDescent="0.45">
      <c r="B25" s="13"/>
      <c r="C25" s="5"/>
      <c r="D25" s="4"/>
      <c r="E25" s="222"/>
      <c r="F25" s="252"/>
      <c r="G25" s="41"/>
      <c r="H25" s="5"/>
      <c r="I25" s="14"/>
    </row>
    <row r="27" spans="2:15" x14ac:dyDescent="0.45">
      <c r="D27" s="51" t="s">
        <v>78</v>
      </c>
    </row>
  </sheetData>
  <mergeCells count="3">
    <mergeCell ref="C3:I3"/>
    <mergeCell ref="C4:I4"/>
    <mergeCell ref="C2:I2"/>
  </mergeCells>
  <printOptions horizontalCentered="1"/>
  <pageMargins left="0.7" right="0.7" top="1.1000000000000001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45C76-0BB3-4641-8635-4C8CCF8B407C}">
  <dimension ref="B1:O28"/>
  <sheetViews>
    <sheetView showGridLines="0" workbookViewId="0">
      <selection activeCell="J29" sqref="A1:J29"/>
    </sheetView>
  </sheetViews>
  <sheetFormatPr defaultColWidth="8.88671875" defaultRowHeight="14.25" x14ac:dyDescent="0.45"/>
  <cols>
    <col min="1" max="1" width="2.609375" style="7" customWidth="1"/>
    <col min="2" max="2" width="1.77734375" style="7" customWidth="1"/>
    <col min="3" max="4" width="9.77734375" style="7" customWidth="1"/>
    <col min="5" max="6" width="9.77734375" style="258" customWidth="1"/>
    <col min="7" max="8" width="9.77734375" style="7" customWidth="1"/>
    <col min="9" max="9" width="1.77734375" style="7" customWidth="1"/>
    <col min="10" max="10" width="2.5" style="7" customWidth="1"/>
    <col min="11" max="16384" width="8.88671875" style="7"/>
  </cols>
  <sheetData>
    <row r="1" spans="2:11" x14ac:dyDescent="0.45">
      <c r="B1" s="8"/>
      <c r="C1" s="9"/>
      <c r="D1" s="9"/>
      <c r="E1" s="262"/>
      <c r="F1" s="262"/>
      <c r="G1" s="9"/>
      <c r="H1" s="9"/>
      <c r="I1" s="10"/>
    </row>
    <row r="2" spans="2:11" ht="18" x14ac:dyDescent="0.55000000000000004">
      <c r="B2" s="11"/>
      <c r="C2" s="331" t="s">
        <v>205</v>
      </c>
      <c r="D2" s="331"/>
      <c r="E2" s="331"/>
      <c r="F2" s="331"/>
      <c r="G2" s="331"/>
      <c r="H2" s="331"/>
      <c r="I2" s="332"/>
    </row>
    <row r="3" spans="2:11" ht="18" x14ac:dyDescent="0.55000000000000004">
      <c r="B3" s="272"/>
      <c r="C3" s="333" t="s">
        <v>203</v>
      </c>
      <c r="D3" s="335"/>
      <c r="E3" s="335"/>
      <c r="F3" s="335"/>
      <c r="G3" s="335"/>
      <c r="H3" s="335"/>
      <c r="I3" s="273"/>
    </row>
    <row r="4" spans="2:11" ht="18" x14ac:dyDescent="0.55000000000000004">
      <c r="B4" s="270"/>
      <c r="C4" s="333" t="s">
        <v>282</v>
      </c>
      <c r="D4" s="334"/>
      <c r="E4" s="334"/>
      <c r="F4" s="334"/>
      <c r="G4" s="334"/>
      <c r="H4" s="334"/>
      <c r="I4" s="271"/>
    </row>
    <row r="5" spans="2:11" ht="15.75" x14ac:dyDescent="0.45">
      <c r="B5" s="11"/>
      <c r="C5" s="329" t="s">
        <v>239</v>
      </c>
      <c r="D5" s="329"/>
      <c r="E5" s="329"/>
      <c r="F5" s="329"/>
      <c r="G5" s="329"/>
      <c r="H5" s="329"/>
      <c r="I5" s="330"/>
    </row>
    <row r="6" spans="2:11" x14ac:dyDescent="0.45">
      <c r="B6" s="13"/>
      <c r="C6" s="5"/>
      <c r="D6" s="5"/>
      <c r="E6" s="263"/>
      <c r="F6" s="263"/>
      <c r="G6" s="5"/>
      <c r="H6" s="5"/>
      <c r="I6" s="14"/>
    </row>
    <row r="7" spans="2:11" ht="6" customHeight="1" x14ac:dyDescent="0.45">
      <c r="B7" s="11"/>
      <c r="C7" s="6"/>
      <c r="D7" s="12"/>
      <c r="E7" s="264"/>
      <c r="F7" s="267"/>
      <c r="G7" s="260"/>
      <c r="H7" s="260"/>
      <c r="I7" s="261"/>
      <c r="J7" s="221"/>
      <c r="K7" s="221"/>
    </row>
    <row r="8" spans="2:11" ht="16.5" x14ac:dyDescent="0.75">
      <c r="B8" s="11"/>
      <c r="C8" s="16" t="s">
        <v>14</v>
      </c>
      <c r="D8" s="34" t="s">
        <v>69</v>
      </c>
      <c r="E8" s="265" t="s">
        <v>26</v>
      </c>
      <c r="F8" s="268" t="s">
        <v>10</v>
      </c>
      <c r="G8" s="16"/>
      <c r="H8" s="16"/>
      <c r="I8" s="34"/>
    </row>
    <row r="9" spans="2:11" ht="16.5" x14ac:dyDescent="0.75">
      <c r="B9" s="11"/>
      <c r="C9" s="16" t="s">
        <v>77</v>
      </c>
      <c r="D9" s="34" t="s">
        <v>73</v>
      </c>
      <c r="E9" s="265" t="s">
        <v>71</v>
      </c>
      <c r="F9" s="268" t="s">
        <v>71</v>
      </c>
      <c r="G9" s="16" t="s">
        <v>27</v>
      </c>
      <c r="H9" s="16" t="s">
        <v>72</v>
      </c>
      <c r="I9" s="34"/>
    </row>
    <row r="10" spans="2:11" x14ac:dyDescent="0.45">
      <c r="B10" s="11"/>
      <c r="C10" s="17">
        <v>0</v>
      </c>
      <c r="D10" s="39" t="s">
        <v>74</v>
      </c>
      <c r="E10" s="266">
        <f>Rates!D$12</f>
        <v>20.48</v>
      </c>
      <c r="F10" s="171">
        <f>Rates!E$12+Rates!E21</f>
        <v>26.68820556327724</v>
      </c>
      <c r="G10" s="50">
        <f>F10-E10</f>
        <v>6.2082055632772395</v>
      </c>
      <c r="H10" s="79">
        <f>G10/E10</f>
        <v>0.30313503726939645</v>
      </c>
      <c r="I10" s="42"/>
    </row>
    <row r="11" spans="2:11" x14ac:dyDescent="0.45">
      <c r="B11" s="11"/>
      <c r="C11" s="6">
        <v>2000</v>
      </c>
      <c r="D11" s="39" t="s">
        <v>74</v>
      </c>
      <c r="E11" s="266">
        <f>Rates!D$12</f>
        <v>20.48</v>
      </c>
      <c r="F11" s="266">
        <f>Rates!E$12+Rates!E21</f>
        <v>26.68820556327724</v>
      </c>
      <c r="G11" s="17">
        <f t="shared" ref="G11:G25" si="0">F11-E11</f>
        <v>6.2082055632772395</v>
      </c>
      <c r="H11" s="79">
        <f t="shared" ref="H11:H25" si="1">G11/E11</f>
        <v>0.30313503726939645</v>
      </c>
      <c r="I11" s="42"/>
    </row>
    <row r="12" spans="2:11" x14ac:dyDescent="0.45">
      <c r="B12" s="11"/>
      <c r="C12" s="43">
        <v>4000</v>
      </c>
      <c r="D12" s="44" t="s">
        <v>74</v>
      </c>
      <c r="E12" s="269">
        <f>Rates!D$12+((C12-2000)/1000)*Rates!D$13</f>
        <v>30.46</v>
      </c>
      <c r="F12" s="269">
        <f>Rates!E$12+((C12-2000)/1000)*Rates!E$13+Rates!E21</f>
        <v>37.808205563277241</v>
      </c>
      <c r="G12" s="45">
        <f t="shared" si="0"/>
        <v>7.3482055632772401</v>
      </c>
      <c r="H12" s="80">
        <f t="shared" si="1"/>
        <v>0.24124115440831384</v>
      </c>
      <c r="I12" s="46"/>
    </row>
    <row r="13" spans="2:11" x14ac:dyDescent="0.45">
      <c r="B13" s="11"/>
      <c r="C13" s="6">
        <v>6000</v>
      </c>
      <c r="D13" s="39" t="s">
        <v>74</v>
      </c>
      <c r="E13" s="266">
        <f>Rates!D$12+(Rates!D$13*2)+(Rates!D$14*(C13-4000)/1000)</f>
        <v>40.020000000000003</v>
      </c>
      <c r="F13" s="266">
        <f>Rates!E$12+(Rates!E$13*2)+(Rates!E$14*(C13-4000)/1000)+Rates!E21</f>
        <v>48.468205563277238</v>
      </c>
      <c r="G13" s="17">
        <f t="shared" si="0"/>
        <v>8.4482055632772344</v>
      </c>
      <c r="H13" s="79">
        <f t="shared" si="1"/>
        <v>0.2110995892872872</v>
      </c>
      <c r="I13" s="42"/>
    </row>
    <row r="14" spans="2:11" x14ac:dyDescent="0.45">
      <c r="B14" s="11"/>
      <c r="C14" s="6">
        <v>8000</v>
      </c>
      <c r="D14" s="39" t="s">
        <v>74</v>
      </c>
      <c r="E14" s="266">
        <f>Rates!D$12+(Rates!D$13*2)+(Rates!D$14*(C14-4000)/1000)</f>
        <v>49.58</v>
      </c>
      <c r="F14" s="266">
        <f>Rates!E$12+(Rates!E$13*2)+((C14-4000)/1000)*Rates!E$14+Rates!E21</f>
        <v>59.128205563277241</v>
      </c>
      <c r="G14" s="17">
        <f t="shared" si="0"/>
        <v>9.5482055632772429</v>
      </c>
      <c r="H14" s="79">
        <f t="shared" si="1"/>
        <v>0.19258179837186856</v>
      </c>
      <c r="I14" s="42"/>
    </row>
    <row r="15" spans="2:11" x14ac:dyDescent="0.45">
      <c r="B15" s="11"/>
      <c r="C15" s="6">
        <v>10000</v>
      </c>
      <c r="D15" s="39" t="s">
        <v>74</v>
      </c>
      <c r="E15" s="266">
        <f>Rates!D$12+(Rates!D$13*2)+(Rates!D$14*(C15-4000)/1000)</f>
        <v>59.14</v>
      </c>
      <c r="F15" s="266">
        <f>Rates!E$12+(Rates!E$13*2)+((C15-4000)/1000)*Rates!E$14+Rates!E21</f>
        <v>69.788205563277245</v>
      </c>
      <c r="G15" s="17">
        <f t="shared" si="0"/>
        <v>10.648205563277244</v>
      </c>
      <c r="H15" s="79">
        <f t="shared" si="1"/>
        <v>0.18005082115788373</v>
      </c>
      <c r="I15" s="42"/>
    </row>
    <row r="16" spans="2:11" x14ac:dyDescent="0.45">
      <c r="B16" s="11"/>
      <c r="C16" s="6">
        <v>15000</v>
      </c>
      <c r="D16" s="39" t="s">
        <v>74</v>
      </c>
      <c r="E16" s="266">
        <f>Rates!D$12+(Rates!D$13*2)+(Rates!D$14*6)+(Rates!D$15*(C16-10000)/1000)</f>
        <v>81.39</v>
      </c>
      <c r="F16" s="266">
        <f>Rates!E$12+(Rates!E$13*2)+(Rates!E$14*6)+((C16-10000)/1000)*Rates!E$15+Rates!E21</f>
        <v>94.588205563277242</v>
      </c>
      <c r="G16" s="17">
        <f t="shared" si="0"/>
        <v>13.198205563277241</v>
      </c>
      <c r="H16" s="79">
        <f t="shared" si="1"/>
        <v>0.16216003886567443</v>
      </c>
      <c r="I16" s="42"/>
    </row>
    <row r="17" spans="2:15" x14ac:dyDescent="0.45">
      <c r="B17" s="11"/>
      <c r="C17" s="6">
        <v>20000</v>
      </c>
      <c r="D17" s="39" t="s">
        <v>74</v>
      </c>
      <c r="E17" s="266">
        <f>Rates!D$12+(Rates!D$13*2)+(Rates!D$14*6)+(Rates!D$15*(C17-10000)/1000)</f>
        <v>103.64</v>
      </c>
      <c r="F17" s="266">
        <f>Rates!E$12+(Rates!E$13*2)+(Rates!E$14*6)+((C17-10000)/1000)*Rates!E$15+Rates!E21</f>
        <v>119.38820556327725</v>
      </c>
      <c r="G17" s="17">
        <f t="shared" si="0"/>
        <v>15.748205563277253</v>
      </c>
      <c r="H17" s="79">
        <f t="shared" si="1"/>
        <v>0.15195103785485578</v>
      </c>
      <c r="I17" s="42"/>
    </row>
    <row r="18" spans="2:15" x14ac:dyDescent="0.45">
      <c r="B18" s="11"/>
      <c r="C18" s="6">
        <v>25000</v>
      </c>
      <c r="D18" s="40" t="s">
        <v>28</v>
      </c>
      <c r="E18" s="266">
        <f>Rates!D$12+(Rates!D$13*2)+(Rates!D$14*6)+(Rates!D$15*(C18-10000)/1000)</f>
        <v>125.89</v>
      </c>
      <c r="F18" s="266">
        <f>Rates!E$12+(Rates!E$13*2)+(Rates!E$14*6)+((C18-10000)/1000)*Rates!E$15+Rates!E21</f>
        <v>144.18820556327722</v>
      </c>
      <c r="G18" s="17">
        <f t="shared" si="0"/>
        <v>18.298205563277222</v>
      </c>
      <c r="H18" s="79">
        <f t="shared" si="1"/>
        <v>0.14535074718625166</v>
      </c>
      <c r="I18" s="42"/>
    </row>
    <row r="19" spans="2:15" x14ac:dyDescent="0.45">
      <c r="B19" s="11"/>
      <c r="C19" s="6">
        <v>30000</v>
      </c>
      <c r="D19" s="40" t="s">
        <v>28</v>
      </c>
      <c r="E19" s="266">
        <f>Rates!D$12+(Rates!D$13*2)+(Rates!D$14*6)+(Rates!D$15*(C19-10000)/1000)</f>
        <v>148.13999999999999</v>
      </c>
      <c r="F19" s="266">
        <f>Rates!E$12+(Rates!E$13*2)+(Rates!E$14*6)+((C19-10000)/1000)*Rates!E$15+Rates!E21</f>
        <v>168.98820556327723</v>
      </c>
      <c r="G19" s="17">
        <f t="shared" si="0"/>
        <v>20.848205563277247</v>
      </c>
      <c r="H19" s="79">
        <f t="shared" si="1"/>
        <v>0.14073312787415451</v>
      </c>
      <c r="I19" s="42"/>
      <c r="O19" s="6"/>
    </row>
    <row r="20" spans="2:15" x14ac:dyDescent="0.45">
      <c r="B20" s="11"/>
      <c r="C20" s="6">
        <v>40000</v>
      </c>
      <c r="D20" s="40" t="s">
        <v>28</v>
      </c>
      <c r="E20" s="266">
        <f>Rates!D$12+(Rates!D$13*2)+(Rates!D$14*6)+(Rates!D$15*(C20-10000)/1000)</f>
        <v>192.64</v>
      </c>
      <c r="F20" s="266">
        <f>Rates!E$12+(Rates!E$13*2)+(Rates!E$14*6)+((C20-10000)/1000)*Rates!E$15+Rates!E21</f>
        <v>218.58820556327726</v>
      </c>
      <c r="G20" s="17">
        <f t="shared" si="0"/>
        <v>25.94820556327727</v>
      </c>
      <c r="H20" s="79">
        <f t="shared" si="1"/>
        <v>0.13469791093893932</v>
      </c>
      <c r="I20" s="42"/>
    </row>
    <row r="21" spans="2:15" x14ac:dyDescent="0.45">
      <c r="B21" s="11"/>
      <c r="C21" s="6">
        <v>50000</v>
      </c>
      <c r="D21" s="40" t="s">
        <v>28</v>
      </c>
      <c r="E21" s="266">
        <f>Rates!D$12+(Rates!D$13*2)+(Rates!D$14*6)+(Rates!D$15*(C21-10000)/1000)</f>
        <v>237.14</v>
      </c>
      <c r="F21" s="266">
        <f>Rates!E$12+(Rates!E$13*2)+(Rates!E$14*6)+((C21-10000)/1000)*Rates!E$15+Rates!E21</f>
        <v>268.18820556327722</v>
      </c>
      <c r="G21" s="17">
        <f t="shared" si="0"/>
        <v>31.048205563277236</v>
      </c>
      <c r="H21" s="79">
        <f t="shared" si="1"/>
        <v>0.13092774548063268</v>
      </c>
      <c r="I21" s="42"/>
    </row>
    <row r="22" spans="2:15" x14ac:dyDescent="0.45">
      <c r="B22" s="11"/>
      <c r="C22" s="6">
        <v>75000</v>
      </c>
      <c r="D22" s="40" t="s">
        <v>29</v>
      </c>
      <c r="E22" s="266">
        <f>Rates!D$12+(Rates!D$13*2)+(Rates!D$14*6)+(Rates!D$15*(C22-10000)/1000)</f>
        <v>348.39</v>
      </c>
      <c r="F22" s="266">
        <f>Rates!E$12+(Rates!E$13*2)+(Rates!E$14*6)+((C22-10000)/1000)*Rates!E$15+Rates!E21</f>
        <v>392.18820556327722</v>
      </c>
      <c r="G22" s="17">
        <f t="shared" si="0"/>
        <v>43.798205563277236</v>
      </c>
      <c r="H22" s="79">
        <f t="shared" si="1"/>
        <v>0.12571602389068928</v>
      </c>
      <c r="I22" s="42"/>
    </row>
    <row r="23" spans="2:15" x14ac:dyDescent="0.45">
      <c r="B23" s="11"/>
      <c r="C23" s="6">
        <v>100000</v>
      </c>
      <c r="D23" s="40" t="s">
        <v>29</v>
      </c>
      <c r="E23" s="266">
        <f>Rates!D$12+(Rates!D$13*2)+(Rates!D$14*6)+(Rates!D$15*(C23-10000)/1000)</f>
        <v>459.64</v>
      </c>
      <c r="F23" s="266">
        <f>Rates!E$12+(Rates!E$13*2)+(Rates!E$14*6)+((C23-10000)/1000)*Rates!E$15+Rates!E21</f>
        <v>516.18820556327717</v>
      </c>
      <c r="G23" s="17">
        <f t="shared" si="0"/>
        <v>56.548205563277179</v>
      </c>
      <c r="H23" s="79">
        <f t="shared" si="1"/>
        <v>0.12302716378747973</v>
      </c>
      <c r="I23" s="42"/>
    </row>
    <row r="24" spans="2:15" x14ac:dyDescent="0.45">
      <c r="B24" s="11"/>
      <c r="C24" s="6">
        <v>200000</v>
      </c>
      <c r="D24" s="40" t="s">
        <v>29</v>
      </c>
      <c r="E24" s="266">
        <f>Rates!D$12+(Rates!D$13*2)+(Rates!D$14*6)+(Rates!D15*90)+(Rates!D$16*(C24-100000)/1000)</f>
        <v>864.64</v>
      </c>
      <c r="F24" s="266">
        <f>Rates!E$12+(Rates!E$13*2)+(Rates!E$14*6)+(Rates!E15*90)+(Rates!E$16*(C24-100000)/1000)+Rates!E21</f>
        <v>967.18820556327717</v>
      </c>
      <c r="G24" s="17">
        <f t="shared" si="0"/>
        <v>102.54820556327718</v>
      </c>
      <c r="H24" s="79">
        <f t="shared" si="1"/>
        <v>0.11860219925434537</v>
      </c>
      <c r="I24" s="42"/>
    </row>
    <row r="25" spans="2:15" x14ac:dyDescent="0.45">
      <c r="B25" s="11"/>
      <c r="C25" s="6">
        <v>500000</v>
      </c>
      <c r="D25" s="40" t="s">
        <v>29</v>
      </c>
      <c r="E25" s="266">
        <f>Rates!D$12+(Rates!D$13*2)+(Rates!D$14*6)+(Rates!D15*90)+(Rates!D$16*(C25-100000)/1000)</f>
        <v>2079.64</v>
      </c>
      <c r="F25" s="266">
        <f>Rates!E$12+(Rates!E$13*2)+(Rates!E$14*6)+(Rates!E15*90)+(Rates!E$16*(C25-100000)/1000)+Rates!E21</f>
        <v>2320.1882055632768</v>
      </c>
      <c r="G25" s="17">
        <f t="shared" si="0"/>
        <v>240.54820556327695</v>
      </c>
      <c r="H25" s="79">
        <f t="shared" si="1"/>
        <v>0.11566819524690666</v>
      </c>
      <c r="I25" s="42"/>
    </row>
    <row r="26" spans="2:15" ht="6" customHeight="1" x14ac:dyDescent="0.45">
      <c r="B26" s="13"/>
      <c r="C26" s="5"/>
      <c r="D26" s="4"/>
      <c r="E26" s="222"/>
      <c r="F26" s="252"/>
      <c r="G26" s="41"/>
      <c r="H26" s="5"/>
      <c r="I26" s="14"/>
    </row>
    <row r="28" spans="2:15" x14ac:dyDescent="0.45">
      <c r="D28" s="51" t="s">
        <v>78</v>
      </c>
    </row>
  </sheetData>
  <mergeCells count="4">
    <mergeCell ref="C2:I2"/>
    <mergeCell ref="C5:I5"/>
    <mergeCell ref="C4:H4"/>
    <mergeCell ref="C3:H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EF004-73BD-4C2A-85DA-B682B48EA656}">
  <sheetPr>
    <pageSetUpPr fitToPage="1"/>
  </sheetPr>
  <dimension ref="A1:L30"/>
  <sheetViews>
    <sheetView workbookViewId="0">
      <selection activeCell="H8" sqref="H8"/>
    </sheetView>
  </sheetViews>
  <sheetFormatPr defaultRowHeight="14.25" x14ac:dyDescent="0.4"/>
  <cols>
    <col min="1" max="2" width="8.88671875" style="159"/>
    <col min="3" max="3" width="9.27734375" style="159" bestFit="1" customWidth="1"/>
    <col min="4" max="4" width="7.609375" style="159" bestFit="1" customWidth="1"/>
    <col min="5" max="5" width="20.44140625" style="159" bestFit="1" customWidth="1"/>
    <col min="6" max="9" width="11.38671875" style="159" bestFit="1" customWidth="1"/>
    <col min="10" max="10" width="10.44140625" style="159" bestFit="1" customWidth="1"/>
    <col min="11" max="11" width="11.38671875" style="159" bestFit="1" customWidth="1"/>
    <col min="12" max="16384" width="8.88671875" style="159"/>
  </cols>
  <sheetData>
    <row r="1" spans="1:12" x14ac:dyDescent="0.45">
      <c r="A1" s="1"/>
      <c r="B1" s="1"/>
      <c r="C1" s="1"/>
      <c r="D1" s="1">
        <v>2020</v>
      </c>
      <c r="E1" s="1" t="s">
        <v>216</v>
      </c>
      <c r="F1" s="337" t="s">
        <v>284</v>
      </c>
      <c r="G1" s="337"/>
      <c r="H1" s="337"/>
      <c r="I1" s="1"/>
      <c r="J1" s="1"/>
      <c r="K1" s="1"/>
    </row>
    <row r="2" spans="1:12" x14ac:dyDescent="0.45">
      <c r="A2" s="1"/>
      <c r="B2" s="1"/>
      <c r="C2" s="1"/>
      <c r="D2" s="336" t="s">
        <v>217</v>
      </c>
      <c r="E2" s="336"/>
      <c r="F2" s="225"/>
      <c r="G2" s="225"/>
      <c r="H2" s="64"/>
      <c r="I2" s="1"/>
      <c r="J2" s="1"/>
      <c r="K2" s="1"/>
    </row>
    <row r="3" spans="1:12" x14ac:dyDescent="0.45">
      <c r="A3" s="1"/>
      <c r="B3" s="1"/>
      <c r="C3" s="1"/>
      <c r="D3" s="338" t="s">
        <v>218</v>
      </c>
      <c r="E3" s="338"/>
      <c r="F3" s="224" t="s">
        <v>219</v>
      </c>
      <c r="G3" s="224" t="s">
        <v>220</v>
      </c>
      <c r="H3" s="228" t="s">
        <v>221</v>
      </c>
      <c r="I3" s="1"/>
      <c r="J3" s="1"/>
      <c r="K3" s="1"/>
    </row>
    <row r="4" spans="1:12" x14ac:dyDescent="0.45">
      <c r="A4" s="1"/>
      <c r="B4" s="1"/>
      <c r="C4" s="1"/>
      <c r="D4" s="339" t="s">
        <v>222</v>
      </c>
      <c r="E4" s="339"/>
      <c r="F4" s="226">
        <f>D20</f>
        <v>19889</v>
      </c>
      <c r="G4" s="226">
        <f>E30</f>
        <v>128097900</v>
      </c>
      <c r="H4" s="234">
        <f>G30</f>
        <v>844374.25599999994</v>
      </c>
      <c r="I4" s="1"/>
      <c r="J4" s="1"/>
      <c r="K4" s="1"/>
    </row>
    <row r="5" spans="1:12" x14ac:dyDescent="0.45">
      <c r="A5" s="1"/>
      <c r="B5" s="1"/>
      <c r="C5" s="1"/>
      <c r="D5" s="336" t="s">
        <v>230</v>
      </c>
      <c r="E5" s="336"/>
      <c r="F5" s="225"/>
      <c r="G5" s="225"/>
      <c r="H5" s="242">
        <f>-1478.38-3097.48</f>
        <v>-4575.8600000000006</v>
      </c>
      <c r="I5" s="1"/>
      <c r="J5" s="1"/>
      <c r="K5" s="1"/>
    </row>
    <row r="6" spans="1:12" x14ac:dyDescent="0.45">
      <c r="A6" s="1"/>
      <c r="B6" s="1"/>
      <c r="C6" s="1"/>
      <c r="D6" s="336" t="s">
        <v>236</v>
      </c>
      <c r="E6" s="336"/>
      <c r="F6" s="225"/>
      <c r="G6" s="225"/>
      <c r="H6" s="235">
        <f>H4+H5</f>
        <v>839798.39599999995</v>
      </c>
      <c r="I6" s="1"/>
      <c r="J6" s="1"/>
      <c r="K6" s="1"/>
    </row>
    <row r="7" spans="1:12" x14ac:dyDescent="0.45">
      <c r="A7" s="1"/>
      <c r="B7" s="1"/>
      <c r="C7" s="1"/>
      <c r="D7" s="336" t="s">
        <v>237</v>
      </c>
      <c r="E7" s="336"/>
      <c r="F7" s="225"/>
      <c r="G7" s="225"/>
      <c r="H7" s="242">
        <v>846168</v>
      </c>
      <c r="I7" s="1"/>
      <c r="J7" s="1"/>
      <c r="K7" s="1"/>
    </row>
    <row r="8" spans="1:12" x14ac:dyDescent="0.45">
      <c r="A8" s="1"/>
      <c r="B8" s="1"/>
      <c r="C8" s="1"/>
      <c r="D8" s="336" t="s">
        <v>70</v>
      </c>
      <c r="E8" s="336"/>
      <c r="F8" s="225"/>
      <c r="G8" s="225"/>
      <c r="H8" s="235">
        <f>H6-H7</f>
        <v>-6369.6040000000503</v>
      </c>
      <c r="I8" s="1" t="s">
        <v>238</v>
      </c>
      <c r="J8" s="1"/>
      <c r="K8" s="1"/>
      <c r="L8" s="240">
        <f>H8/H7</f>
        <v>-7.5275879021660594E-3</v>
      </c>
    </row>
    <row r="9" spans="1:12" x14ac:dyDescent="0.45">
      <c r="A9" s="1"/>
      <c r="B9" s="1"/>
      <c r="C9" s="1"/>
      <c r="D9" s="336"/>
      <c r="E9" s="336"/>
      <c r="F9" s="225"/>
      <c r="G9" s="225"/>
      <c r="H9" s="84"/>
      <c r="I9" s="1"/>
      <c r="J9" s="1"/>
      <c r="K9" s="1"/>
      <c r="L9" s="239"/>
    </row>
    <row r="10" spans="1:12" x14ac:dyDescent="0.45">
      <c r="A10" s="1"/>
      <c r="B10" s="1"/>
      <c r="C10" s="1"/>
      <c r="D10" s="337"/>
      <c r="E10" s="337"/>
      <c r="F10" s="1"/>
      <c r="G10" s="1"/>
      <c r="H10" s="7"/>
      <c r="I10" s="1"/>
      <c r="J10" s="1"/>
      <c r="K10" s="1"/>
    </row>
    <row r="11" spans="1:12" x14ac:dyDescent="0.45">
      <c r="A11" s="1"/>
      <c r="B11" s="1"/>
      <c r="C11" s="1"/>
      <c r="D11" s="1"/>
      <c r="E11" s="1"/>
      <c r="F11" s="1"/>
      <c r="G11" s="1"/>
      <c r="H11" s="7"/>
      <c r="I11" s="1"/>
      <c r="J11" s="1"/>
      <c r="K11" s="1"/>
    </row>
    <row r="12" spans="1:12" x14ac:dyDescent="0.45">
      <c r="A12" s="1"/>
      <c r="B12" s="1"/>
      <c r="C12" s="1"/>
      <c r="D12" s="1"/>
      <c r="E12" s="1"/>
      <c r="F12" s="1"/>
      <c r="G12" s="1"/>
      <c r="H12" s="7"/>
      <c r="I12" s="1"/>
      <c r="J12" s="1"/>
      <c r="K12" s="1"/>
    </row>
    <row r="13" spans="1:12" x14ac:dyDescent="0.45">
      <c r="A13" s="1"/>
      <c r="B13" s="225"/>
      <c r="C13" s="225"/>
      <c r="D13" s="225"/>
      <c r="E13" s="225"/>
      <c r="F13" s="225" t="s">
        <v>223</v>
      </c>
      <c r="G13" s="225" t="s">
        <v>224</v>
      </c>
      <c r="H13" s="84" t="s">
        <v>224</v>
      </c>
      <c r="I13" s="225" t="s">
        <v>224</v>
      </c>
      <c r="J13" s="225" t="s">
        <v>225</v>
      </c>
      <c r="K13" s="225" t="s">
        <v>13</v>
      </c>
    </row>
    <row r="14" spans="1:12" x14ac:dyDescent="0.45">
      <c r="A14" s="1"/>
      <c r="B14" s="225"/>
      <c r="C14" s="224" t="s">
        <v>226</v>
      </c>
      <c r="D14" s="224" t="s">
        <v>227</v>
      </c>
      <c r="E14" s="224" t="s">
        <v>14</v>
      </c>
      <c r="F14" s="224">
        <v>2000</v>
      </c>
      <c r="G14" s="224">
        <v>2000</v>
      </c>
      <c r="H14" s="228">
        <v>6000</v>
      </c>
      <c r="I14" s="227">
        <v>90000</v>
      </c>
      <c r="J14" s="227">
        <v>100000</v>
      </c>
      <c r="K14" s="224"/>
    </row>
    <row r="15" spans="1:12" x14ac:dyDescent="0.45">
      <c r="A15" s="1"/>
      <c r="B15" s="225" t="s">
        <v>223</v>
      </c>
      <c r="C15" s="84">
        <v>2000</v>
      </c>
      <c r="D15" s="226">
        <v>4922</v>
      </c>
      <c r="E15" s="226">
        <v>4582700</v>
      </c>
      <c r="F15" s="226">
        <v>4582700</v>
      </c>
      <c r="G15" s="226">
        <v>0</v>
      </c>
      <c r="H15" s="64">
        <v>0</v>
      </c>
      <c r="I15" s="226">
        <v>0</v>
      </c>
      <c r="J15" s="226">
        <v>0</v>
      </c>
      <c r="K15" s="226">
        <f>SUM(F15:J15)</f>
        <v>4582700</v>
      </c>
    </row>
    <row r="16" spans="1:12" x14ac:dyDescent="0.45">
      <c r="A16" s="1"/>
      <c r="B16" s="225" t="s">
        <v>224</v>
      </c>
      <c r="C16" s="84">
        <v>2000</v>
      </c>
      <c r="D16" s="226">
        <v>5601</v>
      </c>
      <c r="E16" s="226">
        <v>16934400</v>
      </c>
      <c r="F16" s="226">
        <v>11202000</v>
      </c>
      <c r="G16" s="226">
        <v>5732400</v>
      </c>
      <c r="H16" s="64">
        <v>0</v>
      </c>
      <c r="I16" s="226">
        <v>0</v>
      </c>
      <c r="J16" s="226">
        <v>0</v>
      </c>
      <c r="K16" s="226">
        <f t="shared" ref="K16:K19" si="0">SUM(F16:J16)</f>
        <v>16934400</v>
      </c>
    </row>
    <row r="17" spans="1:11" x14ac:dyDescent="0.45">
      <c r="A17" s="1"/>
      <c r="B17" s="225" t="s">
        <v>224</v>
      </c>
      <c r="C17" s="84">
        <v>6000</v>
      </c>
      <c r="D17" s="226">
        <v>6866</v>
      </c>
      <c r="E17" s="226">
        <v>41902000</v>
      </c>
      <c r="F17" s="226">
        <v>13732000</v>
      </c>
      <c r="G17" s="226">
        <v>13732000</v>
      </c>
      <c r="H17" s="64">
        <v>14438000</v>
      </c>
      <c r="I17" s="226">
        <v>0</v>
      </c>
      <c r="J17" s="226">
        <v>0</v>
      </c>
      <c r="K17" s="226">
        <f t="shared" si="0"/>
        <v>41902000</v>
      </c>
    </row>
    <row r="18" spans="1:11" x14ac:dyDescent="0.45">
      <c r="A18" s="1"/>
      <c r="B18" s="225" t="s">
        <v>224</v>
      </c>
      <c r="C18" s="84">
        <v>90000</v>
      </c>
      <c r="D18" s="226">
        <v>2412</v>
      </c>
      <c r="E18" s="226">
        <v>50093500</v>
      </c>
      <c r="F18" s="226">
        <v>4824000</v>
      </c>
      <c r="G18" s="226">
        <v>4824000</v>
      </c>
      <c r="H18" s="64">
        <v>14472000</v>
      </c>
      <c r="I18" s="226">
        <v>25973500</v>
      </c>
      <c r="J18" s="226">
        <v>0</v>
      </c>
      <c r="K18" s="226">
        <f t="shared" si="0"/>
        <v>50093500</v>
      </c>
    </row>
    <row r="19" spans="1:11" x14ac:dyDescent="0.45">
      <c r="A19" s="1"/>
      <c r="B19" s="225" t="s">
        <v>225</v>
      </c>
      <c r="C19" s="228">
        <v>100000</v>
      </c>
      <c r="D19" s="236">
        <v>88</v>
      </c>
      <c r="E19" s="236">
        <v>14585300</v>
      </c>
      <c r="F19" s="236">
        <v>176000</v>
      </c>
      <c r="G19" s="236">
        <v>176000</v>
      </c>
      <c r="H19" s="228">
        <v>528000</v>
      </c>
      <c r="I19" s="236">
        <v>7920000</v>
      </c>
      <c r="J19" s="236">
        <v>5785300</v>
      </c>
      <c r="K19" s="236">
        <f t="shared" si="0"/>
        <v>14585300</v>
      </c>
    </row>
    <row r="20" spans="1:11" x14ac:dyDescent="0.45">
      <c r="A20" s="1"/>
      <c r="B20" s="225"/>
      <c r="C20" s="1" t="s">
        <v>75</v>
      </c>
      <c r="D20" s="2">
        <f t="shared" ref="D20:K20" si="1">SUM(D15:D19)</f>
        <v>19889</v>
      </c>
      <c r="E20" s="2">
        <f t="shared" si="1"/>
        <v>128097900</v>
      </c>
      <c r="F20" s="2">
        <f t="shared" si="1"/>
        <v>34516700</v>
      </c>
      <c r="G20" s="2">
        <f t="shared" si="1"/>
        <v>24464400</v>
      </c>
      <c r="H20" s="7">
        <f t="shared" si="1"/>
        <v>29438000</v>
      </c>
      <c r="I20" s="2">
        <f t="shared" si="1"/>
        <v>33893500</v>
      </c>
      <c r="J20" s="2">
        <f t="shared" si="1"/>
        <v>5785300</v>
      </c>
      <c r="K20" s="2">
        <f t="shared" si="1"/>
        <v>128097900</v>
      </c>
    </row>
    <row r="21" spans="1:11" x14ac:dyDescent="0.45">
      <c r="A21" s="1"/>
      <c r="B21" s="1"/>
      <c r="C21" s="1"/>
      <c r="D21" s="1"/>
      <c r="E21" s="1"/>
      <c r="F21" s="1"/>
      <c r="G21" s="1"/>
      <c r="H21" s="7"/>
      <c r="I21" s="1"/>
      <c r="J21" s="1"/>
      <c r="K21" s="1"/>
    </row>
    <row r="22" spans="1:11" x14ac:dyDescent="0.45">
      <c r="A22" s="1"/>
      <c r="B22" s="1"/>
      <c r="C22" s="1" t="s">
        <v>228</v>
      </c>
      <c r="D22" s="1"/>
      <c r="E22" s="1"/>
      <c r="F22" s="1"/>
      <c r="G22" s="1"/>
      <c r="H22" s="7"/>
      <c r="I22" s="1"/>
      <c r="J22" s="1"/>
      <c r="K22" s="1"/>
    </row>
    <row r="23" spans="1:11" x14ac:dyDescent="0.45">
      <c r="A23" s="1"/>
      <c r="B23" s="1"/>
      <c r="C23" s="1"/>
      <c r="D23" s="1"/>
      <c r="E23" s="1"/>
      <c r="F23" s="1"/>
      <c r="G23" s="1"/>
      <c r="H23" s="7"/>
      <c r="I23" s="1"/>
      <c r="J23" s="1"/>
      <c r="K23" s="1"/>
    </row>
    <row r="24" spans="1:11" x14ac:dyDescent="0.45">
      <c r="A24" s="1"/>
      <c r="B24" s="1"/>
      <c r="C24" s="229"/>
      <c r="D24" s="229" t="s">
        <v>227</v>
      </c>
      <c r="E24" s="229" t="s">
        <v>14</v>
      </c>
      <c r="F24" s="229" t="s">
        <v>229</v>
      </c>
      <c r="G24" s="229" t="s">
        <v>221</v>
      </c>
      <c r="H24" s="7"/>
      <c r="I24" s="1"/>
      <c r="J24" s="1"/>
      <c r="K24" s="1"/>
    </row>
    <row r="25" spans="1:11" x14ac:dyDescent="0.45">
      <c r="A25" s="1"/>
      <c r="B25" s="225" t="s">
        <v>223</v>
      </c>
      <c r="C25" s="225">
        <v>2000</v>
      </c>
      <c r="D25" s="2">
        <f>D20</f>
        <v>19889</v>
      </c>
      <c r="E25" s="2">
        <f>F20</f>
        <v>34516700</v>
      </c>
      <c r="F25" s="230">
        <f>Rates!D12</f>
        <v>20.48</v>
      </c>
      <c r="G25" s="231">
        <f>F25*D25</f>
        <v>407326.72000000003</v>
      </c>
      <c r="H25" s="7"/>
      <c r="I25" s="1"/>
      <c r="J25" s="1"/>
      <c r="K25" s="1"/>
    </row>
    <row r="26" spans="1:11" x14ac:dyDescent="0.45">
      <c r="A26" s="1"/>
      <c r="B26" s="225" t="s">
        <v>224</v>
      </c>
      <c r="C26" s="225">
        <v>2000</v>
      </c>
      <c r="D26" s="1"/>
      <c r="E26" s="2">
        <f>G20</f>
        <v>24464400</v>
      </c>
      <c r="F26" s="230">
        <f>Rates!D13</f>
        <v>4.99</v>
      </c>
      <c r="G26" s="231">
        <f>(E26/1000)*F26</f>
        <v>122077.35600000001</v>
      </c>
      <c r="H26" s="7"/>
      <c r="I26" s="1"/>
      <c r="J26" s="1"/>
      <c r="K26" s="1"/>
    </row>
    <row r="27" spans="1:11" x14ac:dyDescent="0.45">
      <c r="A27" s="1"/>
      <c r="B27" s="225" t="s">
        <v>224</v>
      </c>
      <c r="C27" s="225">
        <v>6000</v>
      </c>
      <c r="D27" s="1"/>
      <c r="E27" s="2">
        <f>H20</f>
        <v>29438000</v>
      </c>
      <c r="F27" s="230">
        <f>Rates!D14</f>
        <v>4.78</v>
      </c>
      <c r="G27" s="231">
        <f>(E27/1000)*F27</f>
        <v>140713.64000000001</v>
      </c>
      <c r="H27" s="7"/>
      <c r="I27" s="1"/>
      <c r="J27" s="1"/>
      <c r="K27" s="1"/>
    </row>
    <row r="28" spans="1:11" x14ac:dyDescent="0.45">
      <c r="A28" s="1"/>
      <c r="B28" s="225" t="s">
        <v>224</v>
      </c>
      <c r="C28" s="232">
        <v>90000</v>
      </c>
      <c r="D28" s="1"/>
      <c r="E28" s="2">
        <f>I20</f>
        <v>33893500</v>
      </c>
      <c r="F28" s="230">
        <f>Rates!D15</f>
        <v>4.45</v>
      </c>
      <c r="G28" s="231">
        <f>(E28/1000)*F28</f>
        <v>150826.07500000001</v>
      </c>
      <c r="H28" s="7"/>
      <c r="I28" s="1"/>
      <c r="J28" s="1"/>
      <c r="K28" s="1"/>
    </row>
    <row r="29" spans="1:11" x14ac:dyDescent="0.45">
      <c r="A29" s="1"/>
      <c r="B29" s="225" t="s">
        <v>225</v>
      </c>
      <c r="C29" s="227">
        <v>100000</v>
      </c>
      <c r="D29" s="229"/>
      <c r="E29" s="31">
        <f>J20</f>
        <v>5785300</v>
      </c>
      <c r="F29" s="230">
        <f>Rates!D16</f>
        <v>4.05</v>
      </c>
      <c r="G29" s="233">
        <f>(E29/1000)*F29</f>
        <v>23430.465</v>
      </c>
      <c r="H29" s="7"/>
      <c r="I29" s="1"/>
      <c r="J29" s="1"/>
      <c r="K29" s="1"/>
    </row>
    <row r="30" spans="1:11" x14ac:dyDescent="0.45">
      <c r="A30" s="1"/>
      <c r="B30" s="1"/>
      <c r="C30" s="1" t="s">
        <v>52</v>
      </c>
      <c r="D30" s="1"/>
      <c r="E30" s="2">
        <f>SUM(E25:E29)</f>
        <v>128097900</v>
      </c>
      <c r="F30" s="1"/>
      <c r="G30" s="231">
        <f>SUM(G25:G29)</f>
        <v>844374.25599999994</v>
      </c>
      <c r="H30" s="7"/>
      <c r="I30" s="1"/>
      <c r="J30" s="1"/>
      <c r="K30" s="1" t="s">
        <v>231</v>
      </c>
    </row>
  </sheetData>
  <mergeCells count="10">
    <mergeCell ref="D8:E8"/>
    <mergeCell ref="D9:E9"/>
    <mergeCell ref="D10:E10"/>
    <mergeCell ref="F1:H1"/>
    <mergeCell ref="D2:E2"/>
    <mergeCell ref="D3:E3"/>
    <mergeCell ref="D4:E4"/>
    <mergeCell ref="D5:E5"/>
    <mergeCell ref="D6:E6"/>
    <mergeCell ref="D7:E7"/>
  </mergeCells>
  <pageMargins left="0.7" right="0.7" top="0.75" bottom="0.75" header="0.3" footer="0.3"/>
  <pageSetup scale="90"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B1388-AB01-4CAE-A21B-D2708C228A39}">
  <sheetPr>
    <pageSetUpPr fitToPage="1"/>
  </sheetPr>
  <dimension ref="A1:N30"/>
  <sheetViews>
    <sheetView showGridLines="0" workbookViewId="0">
      <selection activeCell="B1" sqref="B1:K30"/>
    </sheetView>
  </sheetViews>
  <sheetFormatPr defaultRowHeight="15" x14ac:dyDescent="0.4"/>
  <cols>
    <col min="1" max="2" width="8.88671875" style="158"/>
    <col min="3" max="3" width="9.27734375" style="158" bestFit="1" customWidth="1"/>
    <col min="4" max="4" width="7.609375" style="158" bestFit="1" customWidth="1"/>
    <col min="5" max="5" width="20.44140625" style="158" bestFit="1" customWidth="1"/>
    <col min="6" max="9" width="11.38671875" style="158" bestFit="1" customWidth="1"/>
    <col min="10" max="10" width="10.44140625" style="159" bestFit="1" customWidth="1"/>
    <col min="11" max="11" width="11.38671875" style="214" bestFit="1" customWidth="1"/>
    <col min="12" max="13" width="8.88671875" style="214"/>
    <col min="14" max="14" width="8.88671875" style="159"/>
    <col min="15" max="16384" width="8.88671875" style="158"/>
  </cols>
  <sheetData>
    <row r="1" spans="1:12" x14ac:dyDescent="0.45">
      <c r="A1" s="1"/>
      <c r="B1" s="1"/>
      <c r="C1" s="1"/>
      <c r="D1" s="1">
        <v>2020</v>
      </c>
      <c r="E1" s="1" t="s">
        <v>234</v>
      </c>
      <c r="F1" s="337" t="s">
        <v>284</v>
      </c>
      <c r="G1" s="337"/>
      <c r="H1" s="337"/>
      <c r="I1" s="1"/>
      <c r="J1" s="1"/>
      <c r="K1" s="1"/>
      <c r="L1" s="159"/>
    </row>
    <row r="2" spans="1:12" x14ac:dyDescent="0.45">
      <c r="A2" s="1"/>
      <c r="B2" s="1"/>
      <c r="C2" s="1"/>
      <c r="D2" s="336" t="s">
        <v>217</v>
      </c>
      <c r="E2" s="336"/>
      <c r="F2" s="225"/>
      <c r="G2" s="225"/>
      <c r="H2" s="64"/>
      <c r="I2" s="1"/>
      <c r="J2" s="1"/>
      <c r="K2" s="1"/>
      <c r="L2" s="159"/>
    </row>
    <row r="3" spans="1:12" x14ac:dyDescent="0.45">
      <c r="A3" s="1"/>
      <c r="B3" s="1"/>
      <c r="C3" s="1"/>
      <c r="D3" s="338" t="s">
        <v>218</v>
      </c>
      <c r="E3" s="338"/>
      <c r="F3" s="224" t="s">
        <v>219</v>
      </c>
      <c r="G3" s="224" t="s">
        <v>220</v>
      </c>
      <c r="H3" s="228" t="s">
        <v>221</v>
      </c>
      <c r="I3" s="1"/>
      <c r="J3" s="1"/>
      <c r="K3" s="1"/>
      <c r="L3" s="159"/>
    </row>
    <row r="4" spans="1:12" x14ac:dyDescent="0.45">
      <c r="A4" s="1"/>
      <c r="B4" s="1"/>
      <c r="C4" s="1"/>
      <c r="D4" s="339" t="s">
        <v>222</v>
      </c>
      <c r="E4" s="339"/>
      <c r="F4" s="226">
        <f>D20</f>
        <v>19889</v>
      </c>
      <c r="G4" s="226">
        <f>E20</f>
        <v>128097900</v>
      </c>
      <c r="H4" s="234">
        <f>G30</f>
        <v>940997.04700000002</v>
      </c>
      <c r="I4" s="1"/>
      <c r="J4" s="1"/>
      <c r="K4" s="1"/>
      <c r="L4" s="159"/>
    </row>
    <row r="5" spans="1:12" x14ac:dyDescent="0.45">
      <c r="A5" s="1"/>
      <c r="B5" s="1"/>
      <c r="C5" s="1"/>
      <c r="D5" s="336" t="s">
        <v>230</v>
      </c>
      <c r="E5" s="336"/>
      <c r="F5" s="225"/>
      <c r="G5" s="225"/>
      <c r="H5" s="235">
        <f>ExBA!H5</f>
        <v>-4575.8600000000006</v>
      </c>
      <c r="I5" s="1"/>
      <c r="J5" s="1"/>
      <c r="K5" s="1"/>
      <c r="L5" s="159"/>
    </row>
    <row r="6" spans="1:12" x14ac:dyDescent="0.45">
      <c r="A6" s="1"/>
      <c r="B6" s="1"/>
      <c r="C6" s="1"/>
      <c r="D6" s="336" t="s">
        <v>236</v>
      </c>
      <c r="E6" s="336"/>
      <c r="F6" s="225"/>
      <c r="G6" s="225"/>
      <c r="H6" s="235">
        <f>H4+H5</f>
        <v>936421.18700000003</v>
      </c>
      <c r="I6" s="1"/>
      <c r="J6" s="1"/>
      <c r="K6" s="1"/>
      <c r="L6" s="159"/>
    </row>
    <row r="7" spans="1:12" x14ac:dyDescent="0.45">
      <c r="A7" s="1"/>
      <c r="B7" s="1"/>
      <c r="C7" s="1"/>
      <c r="D7" s="336"/>
      <c r="E7" s="336"/>
      <c r="F7" s="225"/>
      <c r="G7" s="225"/>
      <c r="H7" s="235"/>
      <c r="I7" s="1"/>
      <c r="J7" s="1"/>
      <c r="K7" s="1"/>
      <c r="L7" s="159"/>
    </row>
    <row r="8" spans="1:12" x14ac:dyDescent="0.45">
      <c r="A8" s="1"/>
      <c r="B8" s="1"/>
      <c r="C8" s="1"/>
      <c r="D8" s="336" t="s">
        <v>286</v>
      </c>
      <c r="E8" s="336"/>
      <c r="F8" s="225"/>
      <c r="G8" s="225"/>
      <c r="H8" s="235">
        <f>SAO!G52</f>
        <v>935719.04258284019</v>
      </c>
      <c r="I8" s="1"/>
      <c r="J8" s="1"/>
      <c r="K8" s="1"/>
      <c r="L8" s="240"/>
    </row>
    <row r="9" spans="1:12" x14ac:dyDescent="0.45">
      <c r="A9" s="1"/>
      <c r="B9" s="1"/>
      <c r="C9" s="1"/>
      <c r="D9" s="336" t="s">
        <v>70</v>
      </c>
      <c r="E9" s="336"/>
      <c r="F9" s="225"/>
      <c r="G9" s="225"/>
      <c r="H9" s="84">
        <f>H6-H8</f>
        <v>702.1444171598414</v>
      </c>
      <c r="I9" s="1"/>
      <c r="J9" s="1"/>
      <c r="K9" s="1"/>
      <c r="L9" s="239"/>
    </row>
    <row r="10" spans="1:12" x14ac:dyDescent="0.45">
      <c r="A10" s="1"/>
      <c r="B10" s="1"/>
      <c r="C10" s="1"/>
      <c r="D10" s="337" t="s">
        <v>11</v>
      </c>
      <c r="E10" s="337"/>
      <c r="F10" s="1"/>
      <c r="G10" s="1"/>
      <c r="H10" s="283">
        <f>H9/H8</f>
        <v>7.5037953189638102E-4</v>
      </c>
      <c r="I10" s="1"/>
      <c r="J10" s="1"/>
      <c r="K10" s="1"/>
      <c r="L10" s="159"/>
    </row>
    <row r="11" spans="1:12" x14ac:dyDescent="0.45">
      <c r="A11" s="1"/>
      <c r="B11" s="1"/>
      <c r="C11" s="1"/>
      <c r="D11" s="1"/>
      <c r="E11" s="1"/>
      <c r="F11" s="1"/>
      <c r="G11" s="1"/>
      <c r="H11" s="7"/>
      <c r="I11" s="1"/>
      <c r="J11" s="1"/>
      <c r="K11" s="1"/>
      <c r="L11" s="159"/>
    </row>
    <row r="12" spans="1:12" x14ac:dyDescent="0.45">
      <c r="A12" s="1"/>
      <c r="B12" s="1"/>
      <c r="C12" s="1"/>
      <c r="D12" s="1"/>
      <c r="E12" s="1"/>
      <c r="F12" s="1"/>
      <c r="G12" s="1"/>
      <c r="H12" s="7"/>
      <c r="I12" s="1"/>
      <c r="J12" s="1"/>
      <c r="K12" s="1"/>
      <c r="L12" s="159"/>
    </row>
    <row r="13" spans="1:12" x14ac:dyDescent="0.45">
      <c r="A13" s="1"/>
      <c r="B13" s="225"/>
      <c r="C13" s="225"/>
      <c r="D13" s="225"/>
      <c r="E13" s="225"/>
      <c r="F13" s="225" t="s">
        <v>223</v>
      </c>
      <c r="G13" s="225" t="s">
        <v>224</v>
      </c>
      <c r="H13" s="84" t="s">
        <v>224</v>
      </c>
      <c r="I13" s="225" t="s">
        <v>224</v>
      </c>
      <c r="J13" s="225" t="s">
        <v>225</v>
      </c>
      <c r="K13" s="225" t="s">
        <v>13</v>
      </c>
      <c r="L13" s="159"/>
    </row>
    <row r="14" spans="1:12" x14ac:dyDescent="0.45">
      <c r="A14" s="1"/>
      <c r="B14" s="225"/>
      <c r="C14" s="224" t="s">
        <v>226</v>
      </c>
      <c r="D14" s="224" t="s">
        <v>227</v>
      </c>
      <c r="E14" s="224" t="s">
        <v>14</v>
      </c>
      <c r="F14" s="224">
        <v>2000</v>
      </c>
      <c r="G14" s="224">
        <v>2000</v>
      </c>
      <c r="H14" s="228">
        <v>6000</v>
      </c>
      <c r="I14" s="227">
        <v>90000</v>
      </c>
      <c r="J14" s="227">
        <v>100000</v>
      </c>
      <c r="K14" s="224"/>
      <c r="L14" s="159"/>
    </row>
    <row r="15" spans="1:12" x14ac:dyDescent="0.45">
      <c r="A15" s="1"/>
      <c r="B15" s="225" t="s">
        <v>223</v>
      </c>
      <c r="C15" s="84">
        <v>2000</v>
      </c>
      <c r="D15" s="226">
        <v>4922</v>
      </c>
      <c r="E15" s="226">
        <v>4582700</v>
      </c>
      <c r="F15" s="226">
        <v>4582700</v>
      </c>
      <c r="G15" s="226">
        <v>0</v>
      </c>
      <c r="H15" s="64">
        <v>0</v>
      </c>
      <c r="I15" s="226">
        <v>0</v>
      </c>
      <c r="J15" s="226">
        <v>0</v>
      </c>
      <c r="K15" s="226">
        <v>4582700</v>
      </c>
      <c r="L15" s="159"/>
    </row>
    <row r="16" spans="1:12" x14ac:dyDescent="0.45">
      <c r="A16" s="1"/>
      <c r="B16" s="225" t="s">
        <v>224</v>
      </c>
      <c r="C16" s="84">
        <v>2000</v>
      </c>
      <c r="D16" s="226">
        <v>5601</v>
      </c>
      <c r="E16" s="226">
        <v>16934400</v>
      </c>
      <c r="F16" s="226">
        <v>11202000</v>
      </c>
      <c r="G16" s="226">
        <v>5732400</v>
      </c>
      <c r="H16" s="64">
        <v>0</v>
      </c>
      <c r="I16" s="226">
        <v>0</v>
      </c>
      <c r="J16" s="226">
        <v>0</v>
      </c>
      <c r="K16" s="226">
        <v>16934400</v>
      </c>
      <c r="L16" s="159"/>
    </row>
    <row r="17" spans="1:12" x14ac:dyDescent="0.45">
      <c r="A17" s="1"/>
      <c r="B17" s="225" t="s">
        <v>224</v>
      </c>
      <c r="C17" s="84">
        <v>6000</v>
      </c>
      <c r="D17" s="226">
        <v>6866</v>
      </c>
      <c r="E17" s="226">
        <v>41902000</v>
      </c>
      <c r="F17" s="226">
        <v>13732000</v>
      </c>
      <c r="G17" s="226">
        <v>13732000</v>
      </c>
      <c r="H17" s="64">
        <v>14438000</v>
      </c>
      <c r="I17" s="226">
        <v>0</v>
      </c>
      <c r="J17" s="226">
        <v>0</v>
      </c>
      <c r="K17" s="226">
        <v>41902000</v>
      </c>
      <c r="L17" s="159"/>
    </row>
    <row r="18" spans="1:12" x14ac:dyDescent="0.45">
      <c r="A18" s="1"/>
      <c r="B18" s="225" t="s">
        <v>224</v>
      </c>
      <c r="C18" s="84">
        <v>90000</v>
      </c>
      <c r="D18" s="226">
        <v>2412</v>
      </c>
      <c r="E18" s="226">
        <v>50093500</v>
      </c>
      <c r="F18" s="226">
        <v>4824000</v>
      </c>
      <c r="G18" s="226">
        <v>4824000</v>
      </c>
      <c r="H18" s="64">
        <v>14472000</v>
      </c>
      <c r="I18" s="226">
        <v>25973500</v>
      </c>
      <c r="J18" s="226">
        <v>0</v>
      </c>
      <c r="K18" s="226">
        <v>50093500</v>
      </c>
      <c r="L18" s="159"/>
    </row>
    <row r="19" spans="1:12" x14ac:dyDescent="0.45">
      <c r="A19" s="1"/>
      <c r="B19" s="225" t="s">
        <v>225</v>
      </c>
      <c r="C19" s="228">
        <v>100000</v>
      </c>
      <c r="D19" s="236">
        <v>88</v>
      </c>
      <c r="E19" s="236">
        <v>14585300</v>
      </c>
      <c r="F19" s="236">
        <v>176000</v>
      </c>
      <c r="G19" s="236">
        <v>176000</v>
      </c>
      <c r="H19" s="228">
        <v>528000</v>
      </c>
      <c r="I19" s="236">
        <v>7920000</v>
      </c>
      <c r="J19" s="236">
        <v>5785300</v>
      </c>
      <c r="K19" s="236">
        <v>14585300</v>
      </c>
      <c r="L19" s="159"/>
    </row>
    <row r="20" spans="1:12" x14ac:dyDescent="0.45">
      <c r="A20" s="1"/>
      <c r="B20" s="225"/>
      <c r="C20" s="1" t="s">
        <v>75</v>
      </c>
      <c r="D20" s="2">
        <f t="shared" ref="D20:K20" si="0">SUM(D15:D19)</f>
        <v>19889</v>
      </c>
      <c r="E20" s="2">
        <f t="shared" si="0"/>
        <v>128097900</v>
      </c>
      <c r="F20" s="2">
        <f t="shared" si="0"/>
        <v>34516700</v>
      </c>
      <c r="G20" s="2">
        <f t="shared" si="0"/>
        <v>24464400</v>
      </c>
      <c r="H20" s="7">
        <f t="shared" si="0"/>
        <v>29438000</v>
      </c>
      <c r="I20" s="2">
        <f t="shared" si="0"/>
        <v>33893500</v>
      </c>
      <c r="J20" s="2">
        <f t="shared" si="0"/>
        <v>5785300</v>
      </c>
      <c r="K20" s="2">
        <f t="shared" si="0"/>
        <v>128097900</v>
      </c>
      <c r="L20" s="159"/>
    </row>
    <row r="21" spans="1:12" x14ac:dyDescent="0.45">
      <c r="A21" s="1"/>
      <c r="B21" s="1"/>
      <c r="C21" s="1"/>
      <c r="D21" s="1"/>
      <c r="E21" s="1"/>
      <c r="F21" s="1"/>
      <c r="G21" s="1"/>
      <c r="H21" s="7"/>
      <c r="I21" s="1"/>
      <c r="J21" s="1"/>
      <c r="K21" s="1"/>
      <c r="L21" s="159"/>
    </row>
    <row r="22" spans="1:12" x14ac:dyDescent="0.45">
      <c r="A22" s="1"/>
      <c r="B22" s="1"/>
      <c r="C22" s="1" t="s">
        <v>228</v>
      </c>
      <c r="D22" s="1"/>
      <c r="E22" s="1"/>
      <c r="F22" s="1"/>
      <c r="G22" s="1"/>
      <c r="H22" s="7"/>
      <c r="I22" s="1"/>
      <c r="J22" s="1"/>
      <c r="K22" s="1"/>
      <c r="L22" s="159"/>
    </row>
    <row r="23" spans="1:12" x14ac:dyDescent="0.45">
      <c r="A23" s="1"/>
      <c r="B23" s="1"/>
      <c r="C23" s="1"/>
      <c r="D23" s="1"/>
      <c r="E23" s="1"/>
      <c r="F23" s="1"/>
      <c r="G23" s="1"/>
      <c r="H23" s="7"/>
      <c r="I23" s="1"/>
      <c r="J23" s="1"/>
      <c r="K23" s="1"/>
      <c r="L23" s="159"/>
    </row>
    <row r="24" spans="1:12" x14ac:dyDescent="0.45">
      <c r="A24" s="1"/>
      <c r="B24" s="1"/>
      <c r="C24" s="229"/>
      <c r="D24" s="157" t="s">
        <v>227</v>
      </c>
      <c r="E24" s="157" t="s">
        <v>14</v>
      </c>
      <c r="F24" s="157" t="s">
        <v>229</v>
      </c>
      <c r="G24" s="157" t="s">
        <v>221</v>
      </c>
      <c r="H24" s="7"/>
      <c r="I24" s="1"/>
      <c r="J24" s="1"/>
      <c r="K24" s="1"/>
      <c r="L24" s="159"/>
    </row>
    <row r="25" spans="1:12" x14ac:dyDescent="0.45">
      <c r="A25" s="1"/>
      <c r="B25" s="225" t="s">
        <v>223</v>
      </c>
      <c r="C25" s="225">
        <v>2000</v>
      </c>
      <c r="D25" s="2">
        <f>D20</f>
        <v>19889</v>
      </c>
      <c r="E25" s="2">
        <f>F20</f>
        <v>34516700</v>
      </c>
      <c r="F25" s="230">
        <f>Rates!E12</f>
        <v>22.82</v>
      </c>
      <c r="G25" s="231">
        <f>F25*D25</f>
        <v>453866.98</v>
      </c>
      <c r="H25" s="7"/>
      <c r="I25" s="1"/>
      <c r="J25" s="1"/>
      <c r="K25" s="1"/>
      <c r="L25" s="159"/>
    </row>
    <row r="26" spans="1:12" x14ac:dyDescent="0.45">
      <c r="A26" s="1"/>
      <c r="B26" s="225" t="s">
        <v>224</v>
      </c>
      <c r="C26" s="225">
        <v>2000</v>
      </c>
      <c r="D26" s="1"/>
      <c r="E26" s="2">
        <f>G20</f>
        <v>24464400</v>
      </c>
      <c r="F26" s="230">
        <f>Rates!E13</f>
        <v>5.56</v>
      </c>
      <c r="G26" s="231">
        <f>(E26/1000)*F26</f>
        <v>136022.06400000001</v>
      </c>
      <c r="H26" s="7"/>
      <c r="I26" s="1"/>
      <c r="J26" s="1"/>
      <c r="K26" s="1"/>
      <c r="L26" s="159"/>
    </row>
    <row r="27" spans="1:12" x14ac:dyDescent="0.45">
      <c r="A27" s="1"/>
      <c r="B27" s="225" t="s">
        <v>224</v>
      </c>
      <c r="C27" s="225">
        <v>6000</v>
      </c>
      <c r="D27" s="1"/>
      <c r="E27" s="2">
        <f>H20</f>
        <v>29438000</v>
      </c>
      <c r="F27" s="230">
        <f>Rates!E14</f>
        <v>5.33</v>
      </c>
      <c r="G27" s="231">
        <f>(E27/1000)*F27</f>
        <v>156904.54</v>
      </c>
      <c r="H27" s="7"/>
      <c r="I27" s="1"/>
      <c r="J27" s="1"/>
      <c r="K27" s="1"/>
      <c r="L27" s="159"/>
    </row>
    <row r="28" spans="1:12" x14ac:dyDescent="0.45">
      <c r="A28" s="1"/>
      <c r="B28" s="225" t="s">
        <v>224</v>
      </c>
      <c r="C28" s="232">
        <v>90000</v>
      </c>
      <c r="D28" s="1"/>
      <c r="E28" s="2">
        <f>I20</f>
        <v>33893500</v>
      </c>
      <c r="F28" s="230">
        <f>Rates!E15</f>
        <v>4.96</v>
      </c>
      <c r="G28" s="231">
        <f>(E28/1000)*F28</f>
        <v>168111.76</v>
      </c>
      <c r="H28" s="7"/>
      <c r="I28" s="1"/>
      <c r="J28" s="1"/>
      <c r="K28" s="1"/>
      <c r="L28" s="159"/>
    </row>
    <row r="29" spans="1:12" x14ac:dyDescent="0.45">
      <c r="A29" s="1"/>
      <c r="B29" s="225" t="s">
        <v>225</v>
      </c>
      <c r="C29" s="227">
        <v>100000</v>
      </c>
      <c r="D29" s="229"/>
      <c r="E29" s="31">
        <f>J20</f>
        <v>5785300</v>
      </c>
      <c r="F29" s="230">
        <f>Rates!E16</f>
        <v>4.51</v>
      </c>
      <c r="G29" s="233">
        <f>(E29/1000)*F29</f>
        <v>26091.703000000001</v>
      </c>
      <c r="H29" s="7"/>
      <c r="I29" s="1"/>
      <c r="J29" s="1"/>
      <c r="K29" s="1"/>
      <c r="L29" s="159"/>
    </row>
    <row r="30" spans="1:12" x14ac:dyDescent="0.45">
      <c r="A30" s="1"/>
      <c r="B30" s="1"/>
      <c r="C30" s="1" t="s">
        <v>52</v>
      </c>
      <c r="D30" s="1"/>
      <c r="E30" s="2">
        <f>SUM(E25:E29)</f>
        <v>128097900</v>
      </c>
      <c r="F30" s="1"/>
      <c r="G30" s="231">
        <f>SUM(G25:G29)</f>
        <v>940997.04700000002</v>
      </c>
      <c r="H30" s="7"/>
      <c r="I30" s="1"/>
      <c r="J30" s="1"/>
      <c r="K30" s="1" t="s">
        <v>231</v>
      </c>
      <c r="L30" s="159"/>
    </row>
  </sheetData>
  <mergeCells count="10">
    <mergeCell ref="F1:H1"/>
    <mergeCell ref="D2:E2"/>
    <mergeCell ref="D3:E3"/>
    <mergeCell ref="D9:E9"/>
    <mergeCell ref="D10:E10"/>
    <mergeCell ref="D4:E4"/>
    <mergeCell ref="D5:E5"/>
    <mergeCell ref="D6:E6"/>
    <mergeCell ref="D7:E7"/>
    <mergeCell ref="D8:E8"/>
  </mergeCells>
  <pageMargins left="0.7" right="0.7" top="0.75" bottom="0.75" header="0.3" footer="0.3"/>
  <pageSetup scale="90" orientation="landscape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4:I49"/>
  <sheetViews>
    <sheetView workbookViewId="0">
      <selection activeCell="B12" sqref="B12:C12"/>
    </sheetView>
  </sheetViews>
  <sheetFormatPr defaultColWidth="8.88671875" defaultRowHeight="14.25" x14ac:dyDescent="0.45"/>
  <cols>
    <col min="1" max="1" width="8.88671875" style="1"/>
    <col min="2" max="2" width="5.88671875" style="1" customWidth="1"/>
    <col min="3" max="3" width="13.6640625" style="1" customWidth="1"/>
    <col min="4" max="4" width="8.44140625" style="1" customWidth="1"/>
    <col min="5" max="5" width="9.6640625" style="1" customWidth="1"/>
    <col min="6" max="6" width="0" style="1" hidden="1" customWidth="1"/>
    <col min="7" max="7" width="9.6640625" style="1" customWidth="1"/>
    <col min="8" max="8" width="10.44140625" style="1" customWidth="1"/>
    <col min="9" max="9" width="2.77734375" style="1" customWidth="1"/>
    <col min="10" max="16384" width="8.88671875" style="1"/>
  </cols>
  <sheetData>
    <row r="4" spans="2:9" ht="15" customHeight="1" x14ac:dyDescent="0.5">
      <c r="B4" s="334" t="s">
        <v>56</v>
      </c>
      <c r="C4" s="334"/>
      <c r="D4" s="334"/>
      <c r="E4" s="334"/>
      <c r="F4" s="334"/>
      <c r="G4" s="334"/>
      <c r="H4" s="334"/>
      <c r="I4" s="26"/>
    </row>
    <row r="5" spans="2:9" ht="15" customHeight="1" x14ac:dyDescent="0.45">
      <c r="B5" s="342" t="s">
        <v>239</v>
      </c>
      <c r="C5" s="342"/>
      <c r="D5" s="342"/>
      <c r="E5" s="342"/>
      <c r="F5" s="342"/>
      <c r="G5" s="342"/>
      <c r="H5" s="342"/>
      <c r="I5" s="26"/>
    </row>
    <row r="6" spans="2:9" ht="15" customHeight="1" x14ac:dyDescent="0.45">
      <c r="B6" s="341" t="s">
        <v>82</v>
      </c>
      <c r="C6" s="341"/>
      <c r="D6" s="341"/>
      <c r="E6" s="341"/>
      <c r="F6" s="341"/>
      <c r="G6" s="341"/>
      <c r="H6" s="341"/>
      <c r="I6" s="52"/>
    </row>
    <row r="7" spans="2:9" ht="15" customHeight="1" x14ac:dyDescent="0.45">
      <c r="B7" s="26"/>
      <c r="C7" s="26"/>
      <c r="D7" s="26"/>
      <c r="E7" s="26"/>
      <c r="F7" s="26"/>
      <c r="G7" s="53" t="s">
        <v>57</v>
      </c>
      <c r="H7" s="53" t="s">
        <v>11</v>
      </c>
      <c r="I7" s="26"/>
    </row>
    <row r="8" spans="2:9" ht="15" customHeight="1" x14ac:dyDescent="0.75">
      <c r="B8" s="35" t="s">
        <v>30</v>
      </c>
      <c r="D8" s="28" t="s">
        <v>55</v>
      </c>
      <c r="E8" s="28" t="s">
        <v>10</v>
      </c>
      <c r="F8" s="28"/>
      <c r="G8" s="28" t="s">
        <v>53</v>
      </c>
      <c r="H8" s="28" t="s">
        <v>53</v>
      </c>
      <c r="I8" s="28"/>
    </row>
    <row r="9" spans="2:9" ht="15" customHeight="1" x14ac:dyDescent="0.45">
      <c r="B9" s="340" t="str">
        <f>Rates!C12</f>
        <v>First 2,000 Gallons</v>
      </c>
      <c r="C9" s="340"/>
      <c r="D9" s="243">
        <f>Rates!D12</f>
        <v>20.48</v>
      </c>
      <c r="E9" s="243">
        <f>Rates!E12</f>
        <v>22.82</v>
      </c>
      <c r="F9" s="243" t="e">
        <f>Rates!F12</f>
        <v>#REF!</v>
      </c>
      <c r="G9" s="243">
        <f>Rates!G12</f>
        <v>2.34</v>
      </c>
      <c r="H9" s="243">
        <f>Rates!I12</f>
        <v>0</v>
      </c>
      <c r="I9" s="29"/>
    </row>
    <row r="10" spans="2:9" ht="15" customHeight="1" x14ac:dyDescent="0.45">
      <c r="B10" s="340" t="str">
        <f>Rates!C13</f>
        <v>Next 2,000 Gallons</v>
      </c>
      <c r="C10" s="340"/>
      <c r="D10" s="243">
        <f>Rates!D13</f>
        <v>4.99</v>
      </c>
      <c r="E10" s="243">
        <f>Rates!E13</f>
        <v>5.56</v>
      </c>
      <c r="F10" s="243">
        <f>Rates!F13</f>
        <v>0</v>
      </c>
      <c r="G10" s="243">
        <f>Rates!G13</f>
        <v>0.5699999999999994</v>
      </c>
      <c r="H10" s="243">
        <f>Rates!I14</f>
        <v>0</v>
      </c>
      <c r="I10" s="26"/>
    </row>
    <row r="11" spans="2:9" ht="15" customHeight="1" x14ac:dyDescent="0.45">
      <c r="B11" s="340" t="str">
        <f>Rates!C14</f>
        <v>Next 6,000 Gallons</v>
      </c>
      <c r="C11" s="340"/>
      <c r="D11" s="243">
        <f>Rates!D14</f>
        <v>4.78</v>
      </c>
      <c r="E11" s="243">
        <f>Rates!E14</f>
        <v>5.33</v>
      </c>
      <c r="F11" s="243">
        <f>Rates!F14</f>
        <v>0</v>
      </c>
      <c r="G11" s="243">
        <f>Rates!G14</f>
        <v>0.54999999999999982</v>
      </c>
      <c r="H11" s="243">
        <f>Rates!I15</f>
        <v>0</v>
      </c>
      <c r="I11" s="26"/>
    </row>
    <row r="12" spans="2:9" ht="15" customHeight="1" x14ac:dyDescent="0.75">
      <c r="B12" s="340" t="str">
        <f>Rates!C15</f>
        <v>Next 90,000 Gallons</v>
      </c>
      <c r="C12" s="340"/>
      <c r="D12" s="243">
        <f>Rates!D15</f>
        <v>4.45</v>
      </c>
      <c r="E12" s="243">
        <f>Rates!E15</f>
        <v>4.96</v>
      </c>
      <c r="F12" s="243">
        <f>Rates!F15</f>
        <v>0</v>
      </c>
      <c r="G12" s="243">
        <f>Rates!G15</f>
        <v>0.50999999999999979</v>
      </c>
      <c r="H12" s="243">
        <f>Rates!I16</f>
        <v>0</v>
      </c>
      <c r="I12" s="28"/>
    </row>
    <row r="13" spans="2:9" ht="15" customHeight="1" x14ac:dyDescent="0.45">
      <c r="B13" s="340" t="str">
        <f>Rates!C16</f>
        <v>Over 100,000 Gallons</v>
      </c>
      <c r="C13" s="340"/>
      <c r="D13" s="243">
        <f>Rates!D16</f>
        <v>4.05</v>
      </c>
      <c r="E13" s="243">
        <f>Rates!E16</f>
        <v>4.51</v>
      </c>
      <c r="F13" s="243" t="e">
        <f>Rates!F16</f>
        <v>#REF!</v>
      </c>
      <c r="G13" s="243">
        <f>Rates!G16</f>
        <v>0.45999999999999996</v>
      </c>
      <c r="H13" s="243">
        <f>Rates!I17</f>
        <v>0</v>
      </c>
      <c r="I13" s="29"/>
    </row>
    <row r="14" spans="2:9" ht="15" customHeight="1" x14ac:dyDescent="0.45">
      <c r="B14" s="17"/>
      <c r="C14" s="27"/>
      <c r="D14" s="55"/>
      <c r="E14" s="56"/>
      <c r="F14" s="56"/>
      <c r="G14" s="56"/>
      <c r="H14" s="54"/>
      <c r="I14" s="26"/>
    </row>
    <row r="15" spans="2:9" ht="15" customHeight="1" x14ac:dyDescent="0.45">
      <c r="B15" s="17"/>
      <c r="C15" s="27"/>
      <c r="D15" s="55"/>
      <c r="E15" s="56"/>
      <c r="F15" s="56"/>
      <c r="G15" s="56"/>
      <c r="H15" s="54"/>
      <c r="I15" s="26"/>
    </row>
    <row r="16" spans="2:9" ht="15" customHeight="1" x14ac:dyDescent="0.45">
      <c r="B16" s="17"/>
      <c r="C16" s="27"/>
      <c r="D16" s="55"/>
      <c r="E16" s="56"/>
      <c r="F16" s="56"/>
      <c r="G16" s="56"/>
      <c r="H16" s="54"/>
      <c r="I16" s="26"/>
    </row>
    <row r="17" spans="2:9" ht="15" customHeight="1" x14ac:dyDescent="0.45">
      <c r="B17" s="17"/>
      <c r="C17" s="27"/>
      <c r="D17" s="55"/>
      <c r="E17" s="56"/>
      <c r="F17" s="56"/>
      <c r="G17" s="56"/>
      <c r="H17" s="54"/>
      <c r="I17" s="26"/>
    </row>
    <row r="18" spans="2:9" ht="15" customHeight="1" x14ac:dyDescent="0.45">
      <c r="B18" s="17"/>
      <c r="C18" s="27"/>
      <c r="D18" s="55"/>
      <c r="E18" s="56"/>
      <c r="F18" s="56"/>
      <c r="G18" s="56"/>
      <c r="H18" s="54"/>
      <c r="I18" s="26"/>
    </row>
    <row r="19" spans="2:9" ht="15" customHeight="1" x14ac:dyDescent="0.45">
      <c r="B19" s="17"/>
      <c r="C19" s="27"/>
      <c r="D19" s="55"/>
      <c r="E19" s="56"/>
      <c r="F19" s="56"/>
      <c r="G19" s="56"/>
      <c r="H19" s="54"/>
      <c r="I19" s="26"/>
    </row>
    <row r="20" spans="2:9" ht="15" customHeight="1" x14ac:dyDescent="0.45">
      <c r="B20" s="17"/>
      <c r="C20" s="27"/>
      <c r="D20" s="55"/>
      <c r="E20" s="56"/>
      <c r="F20" s="56"/>
      <c r="G20" s="56"/>
      <c r="H20" s="54"/>
      <c r="I20" s="26"/>
    </row>
    <row r="21" spans="2:9" ht="15" customHeight="1" x14ac:dyDescent="0.45"/>
    <row r="22" spans="2:9" ht="15" customHeight="1" x14ac:dyDescent="0.45"/>
    <row r="23" spans="2:9" ht="15" customHeight="1" x14ac:dyDescent="0.45"/>
    <row r="24" spans="2:9" ht="15" customHeight="1" x14ac:dyDescent="0.45"/>
    <row r="25" spans="2:9" ht="15" customHeight="1" x14ac:dyDescent="0.45"/>
    <row r="26" spans="2:9" ht="15" customHeight="1" x14ac:dyDescent="0.45"/>
    <row r="27" spans="2:9" ht="15" customHeight="1" x14ac:dyDescent="0.45"/>
    <row r="28" spans="2:9" ht="15" customHeight="1" x14ac:dyDescent="0.45"/>
    <row r="29" spans="2:9" ht="15" customHeight="1" x14ac:dyDescent="0.45"/>
    <row r="30" spans="2:9" ht="15" customHeight="1" x14ac:dyDescent="0.45"/>
    <row r="31" spans="2:9" ht="15" customHeight="1" x14ac:dyDescent="0.45"/>
    <row r="32" spans="2:9" ht="15" customHeight="1" x14ac:dyDescent="0.45"/>
    <row r="33" ht="15" customHeight="1" x14ac:dyDescent="0.45"/>
    <row r="34" ht="15" customHeight="1" x14ac:dyDescent="0.45"/>
    <row r="35" ht="15" customHeight="1" x14ac:dyDescent="0.45"/>
    <row r="36" ht="15" customHeight="1" x14ac:dyDescent="0.45"/>
    <row r="37" ht="15" customHeight="1" x14ac:dyDescent="0.45"/>
    <row r="38" ht="15" customHeight="1" x14ac:dyDescent="0.45"/>
    <row r="39" ht="15" customHeight="1" x14ac:dyDescent="0.45"/>
    <row r="40" ht="15" customHeight="1" x14ac:dyDescent="0.45"/>
    <row r="41" ht="15" customHeight="1" x14ac:dyDescent="0.45"/>
    <row r="42" ht="15" customHeight="1" x14ac:dyDescent="0.45"/>
    <row r="43" ht="15" customHeight="1" x14ac:dyDescent="0.45"/>
    <row r="44" ht="15" customHeight="1" x14ac:dyDescent="0.45"/>
    <row r="45" ht="15" customHeight="1" x14ac:dyDescent="0.45"/>
    <row r="46" ht="15" customHeight="1" x14ac:dyDescent="0.45"/>
    <row r="47" ht="15" customHeight="1" x14ac:dyDescent="0.45"/>
    <row r="48" ht="15" customHeight="1" x14ac:dyDescent="0.45"/>
    <row r="49" ht="15" customHeight="1" x14ac:dyDescent="0.45"/>
  </sheetData>
  <mergeCells count="8">
    <mergeCell ref="B13:C13"/>
    <mergeCell ref="B12:C12"/>
    <mergeCell ref="B6:H6"/>
    <mergeCell ref="B4:H4"/>
    <mergeCell ref="B9:C9"/>
    <mergeCell ref="B10:C10"/>
    <mergeCell ref="B11:C11"/>
    <mergeCell ref="B5:H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7A01C-7852-4E95-BD91-257134D74ABD}">
  <dimension ref="A1:I28"/>
  <sheetViews>
    <sheetView workbookViewId="0">
      <selection activeCell="G22" sqref="G22"/>
    </sheetView>
  </sheetViews>
  <sheetFormatPr defaultRowHeight="14.25" x14ac:dyDescent="0.45"/>
  <cols>
    <col min="1" max="1" width="20.609375" style="1" customWidth="1"/>
    <col min="2" max="7" width="12.609375" style="15" customWidth="1"/>
    <col min="8" max="8" width="8.88671875" style="22"/>
    <col min="9" max="16384" width="8.88671875" style="1"/>
  </cols>
  <sheetData>
    <row r="1" spans="1:8" x14ac:dyDescent="0.45">
      <c r="A1" s="1" t="s">
        <v>83</v>
      </c>
    </row>
    <row r="2" spans="1:8" x14ac:dyDescent="0.45">
      <c r="B2" s="162"/>
      <c r="C2" s="162"/>
      <c r="D2" s="162"/>
      <c r="E2" s="162"/>
      <c r="F2" s="162"/>
      <c r="G2" s="162" t="s">
        <v>13</v>
      </c>
    </row>
    <row r="3" spans="1:8" x14ac:dyDescent="0.45">
      <c r="B3" s="162" t="s">
        <v>84</v>
      </c>
      <c r="C3" s="162" t="s">
        <v>84</v>
      </c>
      <c r="D3" s="162" t="s">
        <v>85</v>
      </c>
      <c r="E3" s="162" t="s">
        <v>84</v>
      </c>
      <c r="F3" s="162" t="s">
        <v>84</v>
      </c>
      <c r="G3" s="162" t="s">
        <v>84</v>
      </c>
      <c r="H3" s="22" t="s">
        <v>195</v>
      </c>
    </row>
    <row r="4" spans="1:8" x14ac:dyDescent="0.45">
      <c r="A4" s="1" t="s">
        <v>86</v>
      </c>
      <c r="B4" s="162" t="s">
        <v>87</v>
      </c>
      <c r="C4" s="162" t="s">
        <v>88</v>
      </c>
      <c r="D4" s="162" t="s">
        <v>89</v>
      </c>
      <c r="E4" s="162" t="s">
        <v>90</v>
      </c>
      <c r="F4" s="162" t="s">
        <v>91</v>
      </c>
      <c r="G4" s="162" t="s">
        <v>92</v>
      </c>
      <c r="H4" s="22" t="s">
        <v>196</v>
      </c>
    </row>
    <row r="5" spans="1:8" x14ac:dyDescent="0.45">
      <c r="A5" s="1" t="s">
        <v>241</v>
      </c>
      <c r="B5" s="15">
        <v>1345</v>
      </c>
      <c r="C5" s="15">
        <v>0</v>
      </c>
      <c r="D5" s="15">
        <v>15</v>
      </c>
      <c r="E5" s="15">
        <f>B5*D5</f>
        <v>20175</v>
      </c>
      <c r="F5" s="15">
        <f>C5*D5*1.5</f>
        <v>0</v>
      </c>
      <c r="G5" s="15">
        <f>E5+F5</f>
        <v>20175</v>
      </c>
      <c r="H5" s="22" t="s">
        <v>242</v>
      </c>
    </row>
    <row r="6" spans="1:8" x14ac:dyDescent="0.45">
      <c r="A6" s="1" t="s">
        <v>243</v>
      </c>
      <c r="B6" s="15">
        <v>944</v>
      </c>
      <c r="C6" s="15">
        <v>0</v>
      </c>
      <c r="D6" s="15">
        <v>20</v>
      </c>
      <c r="E6" s="15">
        <f t="shared" ref="E6" si="0">B6*D6</f>
        <v>18880</v>
      </c>
      <c r="F6" s="15">
        <f t="shared" ref="F6" si="1">C6*D6*1.5</f>
        <v>0</v>
      </c>
      <c r="G6" s="15">
        <f t="shared" ref="G6" si="2">E6+F6</f>
        <v>18880</v>
      </c>
      <c r="H6" s="22" t="s">
        <v>242</v>
      </c>
    </row>
    <row r="7" spans="1:8" x14ac:dyDescent="0.45">
      <c r="B7" s="15">
        <f>SUM(B5:B6)</f>
        <v>2289</v>
      </c>
      <c r="C7" s="15">
        <f>SUM(C5:C6)</f>
        <v>0</v>
      </c>
      <c r="E7" s="15">
        <f>SUM(E5:E6)</f>
        <v>39055</v>
      </c>
      <c r="F7" s="15">
        <f>SUM(F5:F6)</f>
        <v>0</v>
      </c>
      <c r="G7" s="15">
        <f>SUM(G5:G6)</f>
        <v>39055</v>
      </c>
    </row>
    <row r="9" spans="1:8" x14ac:dyDescent="0.45">
      <c r="A9" s="1" t="s">
        <v>169</v>
      </c>
      <c r="G9" s="15">
        <f>G7</f>
        <v>39055</v>
      </c>
    </row>
    <row r="11" spans="1:8" x14ac:dyDescent="0.45">
      <c r="A11" s="1" t="s">
        <v>170</v>
      </c>
      <c r="G11" s="15">
        <v>0</v>
      </c>
    </row>
    <row r="13" spans="1:8" x14ac:dyDescent="0.45">
      <c r="G13" s="162" t="s">
        <v>34</v>
      </c>
    </row>
    <row r="14" spans="1:8" x14ac:dyDescent="0.45">
      <c r="D14" s="15" t="s">
        <v>93</v>
      </c>
      <c r="G14" s="15">
        <f>G9</f>
        <v>39055</v>
      </c>
    </row>
    <row r="15" spans="1:8" x14ac:dyDescent="0.45">
      <c r="D15" s="15" t="s">
        <v>94</v>
      </c>
      <c r="G15" s="41">
        <f>-SAO!D18</f>
        <v>-39055</v>
      </c>
    </row>
    <row r="16" spans="1:8" x14ac:dyDescent="0.45">
      <c r="D16" s="15" t="s">
        <v>95</v>
      </c>
      <c r="G16" s="15">
        <f>G14+G15</f>
        <v>0</v>
      </c>
    </row>
    <row r="17" spans="4:9" x14ac:dyDescent="0.45">
      <c r="G17" s="15" t="s">
        <v>96</v>
      </c>
    </row>
    <row r="18" spans="4:9" x14ac:dyDescent="0.45">
      <c r="D18" s="15" t="s">
        <v>97</v>
      </c>
      <c r="G18" s="15">
        <f>G9</f>
        <v>39055</v>
      </c>
    </row>
    <row r="19" spans="4:9" x14ac:dyDescent="0.45">
      <c r="D19" s="15" t="s">
        <v>98</v>
      </c>
      <c r="G19" s="163">
        <v>7.6499999999999999E-2</v>
      </c>
    </row>
    <row r="20" spans="4:9" x14ac:dyDescent="0.45">
      <c r="D20" s="15" t="s">
        <v>99</v>
      </c>
      <c r="G20" s="15">
        <f>G18*G19</f>
        <v>2987.7075</v>
      </c>
    </row>
    <row r="21" spans="4:9" x14ac:dyDescent="0.45">
      <c r="D21" s="15" t="s">
        <v>100</v>
      </c>
      <c r="G21" s="252">
        <v>-3814</v>
      </c>
      <c r="I21" s="253"/>
    </row>
    <row r="22" spans="4:9" x14ac:dyDescent="0.45">
      <c r="D22" s="15" t="s">
        <v>101</v>
      </c>
      <c r="G22" s="15">
        <f>G20+G21</f>
        <v>-826.29250000000002</v>
      </c>
    </row>
    <row r="24" spans="4:9" x14ac:dyDescent="0.45">
      <c r="D24" s="15" t="s">
        <v>102</v>
      </c>
      <c r="G24" s="15">
        <f>G11</f>
        <v>0</v>
      </c>
    </row>
    <row r="25" spans="4:9" x14ac:dyDescent="0.45">
      <c r="D25" s="15" t="s">
        <v>103</v>
      </c>
      <c r="G25" s="163">
        <v>0.26950000000000002</v>
      </c>
    </row>
    <row r="26" spans="4:9" x14ac:dyDescent="0.45">
      <c r="D26" s="15" t="s">
        <v>104</v>
      </c>
      <c r="G26" s="15">
        <f>G24*G25</f>
        <v>0</v>
      </c>
    </row>
    <row r="27" spans="4:9" x14ac:dyDescent="0.45">
      <c r="D27" s="15" t="s">
        <v>105</v>
      </c>
      <c r="G27" s="41">
        <v>0</v>
      </c>
    </row>
    <row r="28" spans="4:9" x14ac:dyDescent="0.45">
      <c r="D28" s="15" t="s">
        <v>106</v>
      </c>
      <c r="G28" s="15">
        <f>G26+G27</f>
        <v>0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1"/>
  <sheetViews>
    <sheetView topLeftCell="A6" workbookViewId="0">
      <selection activeCell="C22" sqref="C22:C27"/>
    </sheetView>
  </sheetViews>
  <sheetFormatPr defaultColWidth="8.88671875" defaultRowHeight="14.25" x14ac:dyDescent="0.45"/>
  <cols>
    <col min="1" max="1" width="12.6640625" style="170" customWidth="1"/>
    <col min="2" max="2" width="11.5546875" style="176" bestFit="1" customWidth="1"/>
    <col min="3" max="3" width="9.88671875" style="176" customWidth="1"/>
    <col min="4" max="4" width="9.77734375" style="184" customWidth="1"/>
    <col min="5" max="5" width="9.77734375" style="177" customWidth="1"/>
    <col min="6" max="6" width="11.44140625" style="176" customWidth="1"/>
    <col min="7" max="7" width="10.6640625" style="178" customWidth="1"/>
    <col min="8" max="8" width="10.109375" style="176" customWidth="1"/>
    <col min="9" max="9" width="10.5546875" style="170" customWidth="1"/>
    <col min="10" max="11" width="8.88671875" style="170"/>
    <col min="12" max="12" width="10.109375" style="170" customWidth="1"/>
    <col min="13" max="13" width="9" style="170" bestFit="1" customWidth="1"/>
    <col min="14" max="14" width="9.77734375" style="170" bestFit="1" customWidth="1"/>
    <col min="15" max="16384" width="8.88671875" style="170"/>
  </cols>
  <sheetData>
    <row r="1" spans="1:12" x14ac:dyDescent="0.45">
      <c r="A1" s="170" t="s">
        <v>251</v>
      </c>
    </row>
    <row r="2" spans="1:12" x14ac:dyDescent="0.45">
      <c r="B2" s="179"/>
    </row>
    <row r="3" spans="1:12" x14ac:dyDescent="0.45">
      <c r="C3" s="176" t="s">
        <v>175</v>
      </c>
      <c r="F3" s="176" t="s">
        <v>176</v>
      </c>
      <c r="G3" s="178" t="s">
        <v>177</v>
      </c>
      <c r="H3" s="176" t="s">
        <v>177</v>
      </c>
    </row>
    <row r="4" spans="1:12" x14ac:dyDescent="0.45">
      <c r="B4" s="180" t="s">
        <v>175</v>
      </c>
      <c r="C4" s="176" t="s">
        <v>178</v>
      </c>
      <c r="D4" s="184" t="s">
        <v>178</v>
      </c>
      <c r="E4" s="177" t="s">
        <v>179</v>
      </c>
      <c r="F4" s="176" t="s">
        <v>180</v>
      </c>
      <c r="G4" s="178" t="s">
        <v>181</v>
      </c>
      <c r="H4" s="176" t="s">
        <v>181</v>
      </c>
    </row>
    <row r="5" spans="1:12" x14ac:dyDescent="0.45">
      <c r="B5" s="176" t="s">
        <v>182</v>
      </c>
      <c r="C5" s="176" t="s">
        <v>183</v>
      </c>
      <c r="D5" s="184" t="s">
        <v>184</v>
      </c>
      <c r="E5" s="177" t="s">
        <v>184</v>
      </c>
      <c r="F5" s="176" t="s">
        <v>182</v>
      </c>
      <c r="G5" s="178" t="s">
        <v>185</v>
      </c>
      <c r="H5" s="176" t="s">
        <v>186</v>
      </c>
      <c r="I5" s="173"/>
    </row>
    <row r="6" spans="1:12" x14ac:dyDescent="0.45">
      <c r="A6" s="170" t="s">
        <v>243</v>
      </c>
      <c r="B6" s="176">
        <v>23.92</v>
      </c>
      <c r="C6" s="176">
        <v>0</v>
      </c>
      <c r="D6" s="184">
        <v>0</v>
      </c>
      <c r="E6" s="177">
        <v>1</v>
      </c>
      <c r="F6" s="176">
        <f>B6*12</f>
        <v>287.04000000000002</v>
      </c>
      <c r="G6" s="178">
        <v>0.6</v>
      </c>
      <c r="H6" s="176">
        <f>F6*G6</f>
        <v>172.22400000000002</v>
      </c>
      <c r="I6" s="173"/>
    </row>
    <row r="7" spans="1:12" x14ac:dyDescent="0.45">
      <c r="A7" s="170" t="s">
        <v>241</v>
      </c>
      <c r="B7" s="182">
        <v>23.92</v>
      </c>
      <c r="C7" s="183">
        <v>0</v>
      </c>
      <c r="D7" s="184">
        <v>0</v>
      </c>
      <c r="E7" s="186">
        <v>1</v>
      </c>
      <c r="F7" s="182">
        <f t="shared" ref="F7" si="0">B7*12</f>
        <v>287.04000000000002</v>
      </c>
      <c r="G7" s="178">
        <v>0.6</v>
      </c>
      <c r="H7" s="182">
        <f t="shared" ref="H7" si="1">F7*G7</f>
        <v>172.22400000000002</v>
      </c>
    </row>
    <row r="8" spans="1:12" x14ac:dyDescent="0.45">
      <c r="A8" s="171" t="s">
        <v>52</v>
      </c>
      <c r="B8" s="176">
        <f>SUM(B6:B7)</f>
        <v>47.84</v>
      </c>
      <c r="C8" s="176">
        <f>SUM(C6:C7)</f>
        <v>0</v>
      </c>
      <c r="F8" s="176">
        <f>SUM(F6:F7)</f>
        <v>574.08000000000004</v>
      </c>
      <c r="G8" s="190"/>
      <c r="H8" s="191">
        <f>SUM(H6:H7)</f>
        <v>344.44800000000004</v>
      </c>
      <c r="I8" s="48"/>
    </row>
    <row r="9" spans="1:12" x14ac:dyDescent="0.45">
      <c r="C9" s="181"/>
      <c r="E9" s="186"/>
      <c r="H9" s="192"/>
      <c r="I9" s="174"/>
    </row>
    <row r="10" spans="1:12" x14ac:dyDescent="0.45">
      <c r="I10" s="174"/>
    </row>
    <row r="11" spans="1:12" x14ac:dyDescent="0.45">
      <c r="A11" s="170" t="s">
        <v>248</v>
      </c>
      <c r="B11" s="170"/>
      <c r="I11" s="174"/>
    </row>
    <row r="12" spans="1:12" s="246" customFormat="1" ht="71.25" x14ac:dyDescent="0.45">
      <c r="A12" s="246" t="s">
        <v>249</v>
      </c>
      <c r="B12" s="247"/>
      <c r="C12" s="247">
        <v>-1104.96</v>
      </c>
      <c r="D12" s="248"/>
      <c r="E12" s="249"/>
      <c r="F12" s="247"/>
      <c r="G12" s="250"/>
      <c r="H12" s="247"/>
      <c r="I12" s="251"/>
    </row>
    <row r="13" spans="1:12" x14ac:dyDescent="0.45">
      <c r="E13" s="187"/>
      <c r="H13" s="193"/>
      <c r="I13" s="48"/>
      <c r="K13" s="172"/>
      <c r="L13" s="172"/>
    </row>
    <row r="14" spans="1:12" ht="85.5" x14ac:dyDescent="0.45">
      <c r="A14" s="246" t="s">
        <v>250</v>
      </c>
      <c r="C14" s="176">
        <f>H8</f>
        <v>344.44800000000004</v>
      </c>
      <c r="D14" s="185"/>
      <c r="E14" s="188"/>
      <c r="H14" s="194"/>
      <c r="I14" s="168"/>
      <c r="K14" s="175"/>
    </row>
    <row r="15" spans="1:12" ht="16.5" x14ac:dyDescent="0.75">
      <c r="E15" s="189"/>
      <c r="H15" s="195"/>
      <c r="I15" s="169"/>
    </row>
    <row r="16" spans="1:12" x14ac:dyDescent="0.45">
      <c r="E16" s="188"/>
      <c r="H16" s="194"/>
      <c r="I16" s="168"/>
    </row>
    <row r="21" spans="1:1" x14ac:dyDescent="0.45">
      <c r="A21" s="18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48674-203E-4558-9CDA-F5BFD5486140}">
  <sheetPr>
    <pageSetUpPr fitToPage="1"/>
  </sheetPr>
  <dimension ref="A1:H24"/>
  <sheetViews>
    <sheetView workbookViewId="0">
      <selection activeCell="H30" sqref="H30"/>
    </sheetView>
  </sheetViews>
  <sheetFormatPr defaultRowHeight="14.25" x14ac:dyDescent="0.45"/>
  <cols>
    <col min="1" max="1" width="33.6640625" style="1" bestFit="1" customWidth="1"/>
    <col min="2" max="2" width="12.609375" style="1" customWidth="1"/>
    <col min="3" max="3" width="12.609375" style="230" customWidth="1"/>
    <col min="4" max="4" width="12.609375" style="254" customWidth="1"/>
    <col min="5" max="5" width="12.609375" style="230" customWidth="1"/>
    <col min="6" max="7" width="12.609375" style="231" customWidth="1"/>
    <col min="8" max="16384" width="8.88671875" style="1"/>
  </cols>
  <sheetData>
    <row r="1" spans="1:8" x14ac:dyDescent="0.45">
      <c r="A1" s="255" t="s">
        <v>235</v>
      </c>
    </row>
    <row r="2" spans="1:8" x14ac:dyDescent="0.45">
      <c r="A2" s="255" t="s">
        <v>258</v>
      </c>
      <c r="B2" s="255"/>
      <c r="C2" s="288"/>
    </row>
    <row r="4" spans="1:8" x14ac:dyDescent="0.45">
      <c r="D4" s="256" t="s">
        <v>33</v>
      </c>
      <c r="E4" s="289"/>
      <c r="F4" s="291" t="s">
        <v>261</v>
      </c>
      <c r="G4" s="291" t="s">
        <v>41</v>
      </c>
    </row>
    <row r="5" spans="1:8" x14ac:dyDescent="0.45">
      <c r="A5" s="255" t="s">
        <v>259</v>
      </c>
      <c r="B5" s="255"/>
      <c r="C5" s="288"/>
      <c r="D5" s="1"/>
    </row>
    <row r="6" spans="1:8" ht="14.65" thickBot="1" x14ac:dyDescent="0.5">
      <c r="A6" s="1" t="s">
        <v>285</v>
      </c>
      <c r="D6" s="7">
        <v>54000</v>
      </c>
      <c r="F6" s="292">
        <v>50400</v>
      </c>
      <c r="G6" s="296">
        <f>F6-D6</f>
        <v>-3600</v>
      </c>
      <c r="H6" s="285" t="s">
        <v>271</v>
      </c>
    </row>
    <row r="7" spans="1:8" ht="14.65" thickTop="1" x14ac:dyDescent="0.45"/>
    <row r="8" spans="1:8" x14ac:dyDescent="0.45">
      <c r="A8" s="255" t="s">
        <v>260</v>
      </c>
      <c r="B8" s="255"/>
      <c r="C8" s="288"/>
    </row>
    <row r="9" spans="1:8" x14ac:dyDescent="0.45">
      <c r="A9" s="1" t="s">
        <v>289</v>
      </c>
      <c r="D9" s="7">
        <v>13696</v>
      </c>
      <c r="F9" s="231">
        <v>13696</v>
      </c>
      <c r="G9" s="231">
        <f>F9-D9</f>
        <v>0</v>
      </c>
    </row>
    <row r="10" spans="1:8" x14ac:dyDescent="0.45">
      <c r="A10" s="1" t="s">
        <v>290</v>
      </c>
      <c r="D10" s="7">
        <v>12336</v>
      </c>
      <c r="F10" s="231">
        <v>12336</v>
      </c>
      <c r="G10" s="231">
        <f t="shared" ref="G10:G12" si="0">F10-D10</f>
        <v>0</v>
      </c>
    </row>
    <row r="11" spans="1:8" x14ac:dyDescent="0.45">
      <c r="A11" s="1" t="s">
        <v>291</v>
      </c>
      <c r="D11" s="7">
        <v>4200</v>
      </c>
      <c r="F11" s="231">
        <v>4200</v>
      </c>
      <c r="G11" s="231">
        <f t="shared" si="0"/>
        <v>0</v>
      </c>
    </row>
    <row r="12" spans="1:8" x14ac:dyDescent="0.45">
      <c r="A12" s="1" t="s">
        <v>288</v>
      </c>
      <c r="D12" s="5">
        <v>6960</v>
      </c>
      <c r="E12" s="290"/>
      <c r="F12" s="293">
        <v>12000</v>
      </c>
      <c r="G12" s="293">
        <f t="shared" si="0"/>
        <v>5040</v>
      </c>
      <c r="H12" s="285" t="s">
        <v>287</v>
      </c>
    </row>
    <row r="13" spans="1:8" ht="14.65" thickBot="1" x14ac:dyDescent="0.5">
      <c r="D13" s="7">
        <f>SUM(D9:D12)</f>
        <v>37192</v>
      </c>
      <c r="F13" s="231">
        <f t="shared" ref="F13:G13" si="1">SUM(F9:F12)</f>
        <v>42232</v>
      </c>
      <c r="G13" s="295">
        <f t="shared" si="1"/>
        <v>5040</v>
      </c>
    </row>
    <row r="14" spans="1:8" ht="14.65" thickTop="1" x14ac:dyDescent="0.45"/>
    <row r="16" spans="1:8" x14ac:dyDescent="0.45">
      <c r="A16" s="255" t="s">
        <v>292</v>
      </c>
      <c r="B16" s="286" t="s">
        <v>293</v>
      </c>
      <c r="C16" s="289" t="s">
        <v>294</v>
      </c>
      <c r="D16" s="287" t="s">
        <v>295</v>
      </c>
      <c r="E16" s="289" t="s">
        <v>296</v>
      </c>
      <c r="F16" s="291" t="s">
        <v>297</v>
      </c>
      <c r="G16" s="291" t="s">
        <v>41</v>
      </c>
    </row>
    <row r="17" spans="1:8" x14ac:dyDescent="0.45">
      <c r="A17" s="1" t="s">
        <v>302</v>
      </c>
      <c r="B17" s="1">
        <v>102</v>
      </c>
      <c r="C17" s="230">
        <v>40</v>
      </c>
      <c r="D17" s="231">
        <f>B17*C17</f>
        <v>4080</v>
      </c>
      <c r="E17" s="230">
        <v>60</v>
      </c>
      <c r="F17" s="231">
        <f>B17*E17</f>
        <v>6120</v>
      </c>
      <c r="G17" s="231">
        <f>F17-D17</f>
        <v>2040</v>
      </c>
    </row>
    <row r="18" spans="1:8" x14ac:dyDescent="0.45">
      <c r="A18" s="1" t="s">
        <v>303</v>
      </c>
      <c r="B18" s="1">
        <v>198</v>
      </c>
      <c r="C18" s="230">
        <v>40</v>
      </c>
      <c r="D18" s="231">
        <f>B18*C18</f>
        <v>7920</v>
      </c>
      <c r="E18" s="230">
        <v>80</v>
      </c>
      <c r="F18" s="231">
        <f>B18*E18</f>
        <v>15840</v>
      </c>
      <c r="G18" s="231">
        <f>F18-D18</f>
        <v>7920</v>
      </c>
    </row>
    <row r="19" spans="1:8" x14ac:dyDescent="0.45">
      <c r="A19" s="1" t="s">
        <v>298</v>
      </c>
      <c r="B19" s="1">
        <v>43</v>
      </c>
      <c r="C19" s="230">
        <v>150</v>
      </c>
      <c r="D19" s="231">
        <f t="shared" ref="D19:D22" si="2">B19*C19</f>
        <v>6450</v>
      </c>
      <c r="E19" s="230">
        <v>200</v>
      </c>
      <c r="F19" s="231">
        <f t="shared" ref="F19:F22" si="3">B19*E19</f>
        <v>8600</v>
      </c>
      <c r="G19" s="231">
        <f t="shared" ref="G19:G22" si="4">F19-D19</f>
        <v>2150</v>
      </c>
    </row>
    <row r="20" spans="1:8" x14ac:dyDescent="0.45">
      <c r="A20" s="1" t="s">
        <v>299</v>
      </c>
      <c r="B20" s="1">
        <v>64</v>
      </c>
      <c r="C20" s="230">
        <v>100</v>
      </c>
      <c r="D20" s="231">
        <f t="shared" si="2"/>
        <v>6400</v>
      </c>
      <c r="E20" s="230">
        <v>150</v>
      </c>
      <c r="F20" s="231">
        <f t="shared" si="3"/>
        <v>9600</v>
      </c>
      <c r="G20" s="231">
        <f t="shared" si="4"/>
        <v>3200</v>
      </c>
    </row>
    <row r="21" spans="1:8" x14ac:dyDescent="0.45">
      <c r="A21" s="1" t="s">
        <v>300</v>
      </c>
      <c r="B21" s="1">
        <v>65</v>
      </c>
      <c r="C21" s="230">
        <v>200</v>
      </c>
      <c r="D21" s="231">
        <f t="shared" si="2"/>
        <v>13000</v>
      </c>
      <c r="E21" s="230">
        <v>300</v>
      </c>
      <c r="F21" s="231">
        <f t="shared" si="3"/>
        <v>19500</v>
      </c>
      <c r="G21" s="231">
        <f t="shared" si="4"/>
        <v>6500</v>
      </c>
    </row>
    <row r="22" spans="1:8" x14ac:dyDescent="0.45">
      <c r="A22" s="1" t="s">
        <v>301</v>
      </c>
      <c r="B22" s="229">
        <v>142</v>
      </c>
      <c r="C22" s="230">
        <v>150</v>
      </c>
      <c r="D22" s="293">
        <f t="shared" si="2"/>
        <v>21300</v>
      </c>
      <c r="E22" s="230">
        <v>250</v>
      </c>
      <c r="F22" s="293">
        <f t="shared" si="3"/>
        <v>35500</v>
      </c>
      <c r="G22" s="293">
        <f t="shared" si="4"/>
        <v>14200</v>
      </c>
    </row>
    <row r="23" spans="1:8" ht="14.65" thickBot="1" x14ac:dyDescent="0.5">
      <c r="B23" s="1">
        <f>SUM(B17:B22)</f>
        <v>614</v>
      </c>
      <c r="D23" s="231">
        <f>SUM(D17:D22)</f>
        <v>59150</v>
      </c>
      <c r="F23" s="231">
        <f>SUM(F17:F22)</f>
        <v>95160</v>
      </c>
      <c r="G23" s="295">
        <f>SUM(G17:G22)</f>
        <v>36010</v>
      </c>
      <c r="H23" s="294" t="s">
        <v>242</v>
      </c>
    </row>
    <row r="24" spans="1:8" ht="14.65" thickTop="1" x14ac:dyDescent="0.45"/>
  </sheetData>
  <pageMargins left="0.7" right="0.7" top="0.75" bottom="0.75" header="0.3" footer="0.3"/>
  <pageSetup scale="93" orientation="landscape" horizontalDpi="4294967293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590D3-A7C3-4727-A9D4-F5C014E94ADB}">
  <sheetPr>
    <pageSetUpPr fitToPage="1"/>
  </sheetPr>
  <dimension ref="A1:R56"/>
  <sheetViews>
    <sheetView showGridLines="0" topLeftCell="A33" workbookViewId="0">
      <selection activeCell="M47" sqref="A1:M47"/>
    </sheetView>
  </sheetViews>
  <sheetFormatPr defaultRowHeight="15.4" x14ac:dyDescent="0.45"/>
  <cols>
    <col min="1" max="1" width="2" customWidth="1"/>
    <col min="2" max="2" width="1.88671875" customWidth="1"/>
    <col min="3" max="3" width="1.77734375" customWidth="1"/>
    <col min="4" max="4" width="27.44140625" style="1" customWidth="1"/>
    <col min="5" max="5" width="8.33203125" style="1" customWidth="1"/>
    <col min="6" max="6" width="10.6640625" style="203" customWidth="1"/>
    <col min="7" max="7" width="6.109375" style="1" customWidth="1"/>
    <col min="8" max="8" width="9.33203125" style="199" customWidth="1"/>
    <col min="9" max="9" width="6.109375" customWidth="1"/>
    <col min="10" max="10" width="9.33203125" style="199" customWidth="1"/>
    <col min="11" max="11" width="10.6640625" customWidth="1"/>
    <col min="12" max="12" width="1.88671875" customWidth="1"/>
    <col min="13" max="13" width="2.44140625" customWidth="1"/>
    <col min="15" max="18" width="8.88671875" style="1"/>
  </cols>
  <sheetData>
    <row r="1" spans="1:13" x14ac:dyDescent="0.45">
      <c r="A1" s="1"/>
      <c r="B1" s="1"/>
      <c r="C1" s="3"/>
      <c r="D1" s="3"/>
      <c r="E1" s="3"/>
      <c r="G1" s="144"/>
      <c r="H1" s="19"/>
      <c r="I1" s="144"/>
      <c r="J1" s="19"/>
      <c r="K1" s="3"/>
      <c r="L1" s="3"/>
      <c r="M1" s="3"/>
    </row>
    <row r="2" spans="1:13" x14ac:dyDescent="0.45">
      <c r="A2" s="1"/>
      <c r="B2" s="134"/>
      <c r="C2" s="136"/>
      <c r="D2" s="136"/>
      <c r="E2" s="136"/>
      <c r="F2" s="204"/>
      <c r="G2" s="145"/>
      <c r="H2" s="196"/>
      <c r="I2" s="145"/>
      <c r="J2" s="196"/>
      <c r="K2" s="136"/>
      <c r="L2" s="152"/>
      <c r="M2" s="155"/>
    </row>
    <row r="3" spans="1:13" ht="18" x14ac:dyDescent="0.55000000000000004">
      <c r="A3" s="1"/>
      <c r="B3" s="57"/>
      <c r="C3" s="298" t="s">
        <v>31</v>
      </c>
      <c r="D3" s="298"/>
      <c r="E3" s="298"/>
      <c r="F3" s="298"/>
      <c r="G3" s="298"/>
      <c r="H3" s="298"/>
      <c r="I3" s="298"/>
      <c r="J3" s="298"/>
      <c r="K3" s="298"/>
      <c r="L3" s="153"/>
      <c r="M3" s="155"/>
    </row>
    <row r="4" spans="1:13" ht="18" x14ac:dyDescent="0.55000000000000004">
      <c r="A4" s="1"/>
      <c r="B4" s="57"/>
      <c r="C4" s="299" t="s">
        <v>44</v>
      </c>
      <c r="D4" s="299"/>
      <c r="E4" s="299"/>
      <c r="F4" s="299"/>
      <c r="G4" s="299"/>
      <c r="H4" s="299"/>
      <c r="I4" s="299"/>
      <c r="J4" s="299"/>
      <c r="K4" s="299"/>
      <c r="L4" s="153"/>
      <c r="M4" s="155"/>
    </row>
    <row r="5" spans="1:13" ht="15.75" x14ac:dyDescent="0.45">
      <c r="A5" s="1"/>
      <c r="B5" s="57"/>
      <c r="C5" s="300" t="s">
        <v>235</v>
      </c>
      <c r="D5" s="300"/>
      <c r="E5" s="300"/>
      <c r="F5" s="300"/>
      <c r="G5" s="300"/>
      <c r="H5" s="300"/>
      <c r="I5" s="300"/>
      <c r="J5" s="300"/>
      <c r="K5" s="300"/>
      <c r="L5" s="153"/>
      <c r="M5" s="155"/>
    </row>
    <row r="6" spans="1:13" x14ac:dyDescent="0.45">
      <c r="A6" s="1"/>
      <c r="B6" s="57"/>
      <c r="C6" s="3"/>
      <c r="D6" s="3"/>
      <c r="E6" s="3"/>
      <c r="G6" s="146"/>
      <c r="H6" s="19"/>
      <c r="I6" s="146"/>
      <c r="J6" s="19"/>
      <c r="K6" s="138" t="s">
        <v>45</v>
      </c>
      <c r="L6" s="153"/>
      <c r="M6" s="155"/>
    </row>
    <row r="7" spans="1:13" x14ac:dyDescent="0.45">
      <c r="A7" s="1"/>
      <c r="B7" s="57"/>
      <c r="C7" s="137"/>
      <c r="D7" s="137"/>
      <c r="E7" s="137" t="s">
        <v>46</v>
      </c>
      <c r="F7" s="205" t="s">
        <v>47</v>
      </c>
      <c r="G7" s="301" t="s">
        <v>148</v>
      </c>
      <c r="H7" s="301"/>
      <c r="I7" s="301" t="s">
        <v>36</v>
      </c>
      <c r="J7" s="301"/>
      <c r="K7" s="138" t="s">
        <v>48</v>
      </c>
      <c r="L7" s="153"/>
      <c r="M7" s="155"/>
    </row>
    <row r="8" spans="1:13" ht="17.649999999999999" x14ac:dyDescent="0.75">
      <c r="A8" s="1"/>
      <c r="B8" s="57"/>
      <c r="C8" s="138"/>
      <c r="D8" s="142" t="s">
        <v>127</v>
      </c>
      <c r="E8" s="138" t="s">
        <v>49</v>
      </c>
      <c r="F8" s="206" t="s">
        <v>147</v>
      </c>
      <c r="G8" s="210" t="s">
        <v>50</v>
      </c>
      <c r="H8" s="138" t="s">
        <v>51</v>
      </c>
      <c r="I8" s="25" t="s">
        <v>50</v>
      </c>
      <c r="J8" s="138" t="s">
        <v>51</v>
      </c>
      <c r="K8" s="138" t="s">
        <v>41</v>
      </c>
      <c r="L8" s="153"/>
      <c r="M8" s="155"/>
    </row>
    <row r="9" spans="1:13" x14ac:dyDescent="0.45">
      <c r="A9" s="1"/>
      <c r="B9" s="57"/>
      <c r="C9" s="139" t="s">
        <v>122</v>
      </c>
      <c r="D9" s="3"/>
      <c r="E9" s="143"/>
      <c r="G9" s="146"/>
      <c r="H9" s="198"/>
      <c r="I9" s="146"/>
      <c r="J9" s="198"/>
      <c r="K9" s="2"/>
      <c r="L9" s="153"/>
      <c r="M9" s="155"/>
    </row>
    <row r="10" spans="1:13" x14ac:dyDescent="0.45">
      <c r="A10" s="1"/>
      <c r="B10" s="57"/>
      <c r="C10" s="139"/>
      <c r="D10" s="3" t="s">
        <v>128</v>
      </c>
      <c r="E10" s="143" t="s">
        <v>149</v>
      </c>
      <c r="F10" s="208">
        <v>2380</v>
      </c>
      <c r="G10" s="78" t="s">
        <v>256</v>
      </c>
      <c r="H10" s="164">
        <v>45.027027027027025</v>
      </c>
      <c r="I10" s="146">
        <v>37.5</v>
      </c>
      <c r="J10" s="164">
        <f>F10/I10</f>
        <v>63.466666666666669</v>
      </c>
      <c r="K10" s="23">
        <f>J10-H10</f>
        <v>18.439639639639644</v>
      </c>
      <c r="L10" s="153"/>
      <c r="M10" s="155"/>
    </row>
    <row r="11" spans="1:13" x14ac:dyDescent="0.45">
      <c r="A11" s="1"/>
      <c r="B11" s="57"/>
      <c r="C11" s="139"/>
      <c r="D11" s="3" t="s">
        <v>129</v>
      </c>
      <c r="E11" s="143" t="s">
        <v>149</v>
      </c>
      <c r="F11" s="208">
        <v>10644</v>
      </c>
      <c r="G11" s="78" t="s">
        <v>256</v>
      </c>
      <c r="H11" s="164">
        <v>1064.4000000000001</v>
      </c>
      <c r="I11" s="146">
        <v>10</v>
      </c>
      <c r="J11" s="164">
        <f>F11/I11</f>
        <v>1064.4000000000001</v>
      </c>
      <c r="K11" s="23">
        <f>J11-H11</f>
        <v>0</v>
      </c>
      <c r="L11" s="153"/>
      <c r="M11" s="155"/>
    </row>
    <row r="12" spans="1:13" x14ac:dyDescent="0.45">
      <c r="A12" s="1"/>
      <c r="B12" s="57"/>
      <c r="C12" s="3"/>
      <c r="D12" s="3" t="s">
        <v>130</v>
      </c>
      <c r="E12" s="143"/>
      <c r="F12" s="208"/>
      <c r="G12" s="78"/>
      <c r="H12" s="164"/>
      <c r="I12" s="146">
        <v>22.5</v>
      </c>
      <c r="J12" s="164">
        <f>F12/I12</f>
        <v>0</v>
      </c>
      <c r="K12" s="23">
        <f>J12-H12</f>
        <v>0</v>
      </c>
      <c r="L12" s="153"/>
      <c r="M12" s="155"/>
    </row>
    <row r="13" spans="1:13" x14ac:dyDescent="0.45">
      <c r="A13" s="1"/>
      <c r="B13" s="57"/>
      <c r="C13" s="3"/>
      <c r="D13" s="3" t="s">
        <v>131</v>
      </c>
      <c r="E13" s="143" t="s">
        <v>149</v>
      </c>
      <c r="F13" s="208">
        <v>0</v>
      </c>
      <c r="G13" s="78" t="s">
        <v>256</v>
      </c>
      <c r="H13" s="164">
        <v>0</v>
      </c>
      <c r="I13" s="146">
        <v>12.5</v>
      </c>
      <c r="J13" s="164">
        <f t="shared" ref="J13:J15" si="0">F13/I13</f>
        <v>0</v>
      </c>
      <c r="K13" s="23">
        <f t="shared" ref="K13:K15" si="1">J13-H13</f>
        <v>0</v>
      </c>
      <c r="L13" s="153"/>
      <c r="M13" s="155"/>
    </row>
    <row r="14" spans="1:13" x14ac:dyDescent="0.45">
      <c r="A14" s="1"/>
      <c r="B14" s="57"/>
      <c r="C14" s="3"/>
      <c r="D14" s="3" t="s">
        <v>132</v>
      </c>
      <c r="E14" s="143"/>
      <c r="F14" s="208"/>
      <c r="G14" s="78"/>
      <c r="H14" s="164"/>
      <c r="I14" s="146">
        <v>17.5</v>
      </c>
      <c r="J14" s="164">
        <f t="shared" si="0"/>
        <v>0</v>
      </c>
      <c r="K14" s="23">
        <f t="shared" si="1"/>
        <v>0</v>
      </c>
      <c r="L14" s="153"/>
      <c r="M14" s="155"/>
    </row>
    <row r="15" spans="1:13" x14ac:dyDescent="0.45">
      <c r="A15" s="1"/>
      <c r="B15" s="57"/>
      <c r="C15" s="3"/>
      <c r="D15" s="3" t="s">
        <v>133</v>
      </c>
      <c r="E15" s="143"/>
      <c r="F15" s="208"/>
      <c r="G15" s="78"/>
      <c r="H15" s="164"/>
      <c r="I15" s="146">
        <v>15</v>
      </c>
      <c r="J15" s="164">
        <f t="shared" si="0"/>
        <v>0</v>
      </c>
      <c r="K15" s="23">
        <f t="shared" si="1"/>
        <v>0</v>
      </c>
      <c r="L15" s="153"/>
      <c r="M15" s="155"/>
    </row>
    <row r="16" spans="1:13" x14ac:dyDescent="0.45">
      <c r="A16" s="1"/>
      <c r="B16" s="57"/>
      <c r="C16" s="3"/>
      <c r="D16" s="3"/>
      <c r="E16" s="143"/>
      <c r="F16" s="208"/>
      <c r="G16" s="78"/>
      <c r="H16" s="164"/>
      <c r="I16" s="146"/>
      <c r="J16" s="164"/>
      <c r="K16" s="23"/>
      <c r="L16" s="153"/>
      <c r="M16" s="155"/>
    </row>
    <row r="17" spans="1:13" x14ac:dyDescent="0.45">
      <c r="A17" s="1"/>
      <c r="B17" s="57"/>
      <c r="C17" s="139" t="s">
        <v>190</v>
      </c>
      <c r="D17" s="3"/>
      <c r="E17" s="143"/>
      <c r="F17" s="208"/>
      <c r="G17" s="78"/>
      <c r="H17" s="164"/>
      <c r="I17" s="146"/>
      <c r="J17" s="164"/>
      <c r="K17" s="23"/>
      <c r="L17" s="153"/>
      <c r="M17" s="155"/>
    </row>
    <row r="18" spans="1:13" x14ac:dyDescent="0.45">
      <c r="A18" s="1"/>
      <c r="B18" s="57"/>
      <c r="C18" s="3"/>
      <c r="D18" s="3" t="s">
        <v>191</v>
      </c>
      <c r="E18" s="143"/>
      <c r="F18" s="208"/>
      <c r="G18" s="78"/>
      <c r="H18" s="164"/>
      <c r="I18" s="146">
        <v>62.5</v>
      </c>
      <c r="J18" s="164">
        <f t="shared" ref="J18:J19" si="2">F18/I18</f>
        <v>0</v>
      </c>
      <c r="K18" s="23">
        <f t="shared" ref="K18:K19" si="3">J18-H18</f>
        <v>0</v>
      </c>
      <c r="L18" s="153"/>
      <c r="M18" s="155"/>
    </row>
    <row r="19" spans="1:13" x14ac:dyDescent="0.45">
      <c r="A19" s="1"/>
      <c r="B19" s="57"/>
      <c r="C19" s="3"/>
      <c r="D19" s="3" t="s">
        <v>192</v>
      </c>
      <c r="E19" s="143"/>
      <c r="F19" s="208"/>
      <c r="G19" s="78"/>
      <c r="H19" s="164"/>
      <c r="I19" s="146">
        <v>62.5</v>
      </c>
      <c r="J19" s="164">
        <f t="shared" si="2"/>
        <v>0</v>
      </c>
      <c r="K19" s="23">
        <f t="shared" si="3"/>
        <v>0</v>
      </c>
      <c r="L19" s="153"/>
      <c r="M19" s="155"/>
    </row>
    <row r="20" spans="1:13" x14ac:dyDescent="0.45">
      <c r="A20" s="1"/>
      <c r="B20" s="57"/>
      <c r="C20" s="138"/>
      <c r="D20" s="138"/>
      <c r="E20" s="138"/>
      <c r="F20" s="207"/>
      <c r="G20" s="245"/>
      <c r="H20" s="197"/>
      <c r="I20" s="25"/>
      <c r="J20" s="197"/>
      <c r="K20" s="138"/>
      <c r="L20" s="153"/>
      <c r="M20" s="155"/>
    </row>
    <row r="21" spans="1:13" x14ac:dyDescent="0.45">
      <c r="A21" s="1"/>
      <c r="B21" s="57"/>
      <c r="C21" s="139" t="s">
        <v>123</v>
      </c>
      <c r="D21" s="3"/>
      <c r="E21" s="143"/>
      <c r="G21" s="147"/>
      <c r="H21" s="198"/>
      <c r="I21" s="147"/>
      <c r="J21" s="198"/>
      <c r="K21" s="2"/>
      <c r="L21" s="153"/>
      <c r="M21" s="155"/>
    </row>
    <row r="22" spans="1:13" x14ac:dyDescent="0.45">
      <c r="A22" s="1"/>
      <c r="B22" s="57"/>
      <c r="C22" s="139"/>
      <c r="D22" s="3" t="s">
        <v>128</v>
      </c>
      <c r="E22" s="143"/>
      <c r="F22" s="208"/>
      <c r="G22" s="78"/>
      <c r="H22" s="164"/>
      <c r="I22" s="146">
        <v>37.5</v>
      </c>
      <c r="J22" s="164">
        <f>F22/I22</f>
        <v>0</v>
      </c>
      <c r="K22" s="23">
        <f>J22-H22</f>
        <v>0</v>
      </c>
      <c r="L22" s="153"/>
      <c r="M22" s="155"/>
    </row>
    <row r="23" spans="1:13" x14ac:dyDescent="0.45">
      <c r="A23" s="1"/>
      <c r="B23" s="57"/>
      <c r="C23" s="3"/>
      <c r="D23" s="3" t="s">
        <v>134</v>
      </c>
      <c r="E23" s="143" t="s">
        <v>149</v>
      </c>
      <c r="F23" s="203">
        <v>0</v>
      </c>
      <c r="G23" s="147" t="s">
        <v>149</v>
      </c>
      <c r="H23" s="164">
        <v>0</v>
      </c>
      <c r="I23" s="146">
        <v>10</v>
      </c>
      <c r="J23" s="198">
        <f>F23/I23</f>
        <v>0</v>
      </c>
      <c r="K23" s="23">
        <f>J23-H23</f>
        <v>0</v>
      </c>
      <c r="L23" s="153"/>
      <c r="M23" s="155"/>
    </row>
    <row r="24" spans="1:13" x14ac:dyDescent="0.45">
      <c r="A24" s="1"/>
      <c r="B24" s="57"/>
      <c r="C24" s="3"/>
      <c r="D24" s="3" t="s">
        <v>135</v>
      </c>
      <c r="E24" s="143"/>
      <c r="G24" s="147"/>
      <c r="H24" s="164"/>
      <c r="I24" s="146">
        <v>20</v>
      </c>
      <c r="J24" s="198">
        <f>F24/I24</f>
        <v>0</v>
      </c>
      <c r="K24" s="23">
        <f>J24-H24</f>
        <v>0</v>
      </c>
      <c r="L24" s="153"/>
      <c r="M24" s="155"/>
    </row>
    <row r="25" spans="1:13" x14ac:dyDescent="0.45">
      <c r="A25" s="1"/>
      <c r="B25" s="57"/>
      <c r="C25" s="138"/>
      <c r="D25" s="138"/>
      <c r="E25" s="138"/>
      <c r="G25" s="147"/>
      <c r="H25" s="198"/>
      <c r="I25" s="147"/>
      <c r="J25" s="198"/>
      <c r="K25" s="2"/>
      <c r="L25" s="153"/>
      <c r="M25" s="155"/>
    </row>
    <row r="26" spans="1:13" x14ac:dyDescent="0.45">
      <c r="A26" s="1"/>
      <c r="B26" s="57"/>
      <c r="C26" s="139" t="s">
        <v>124</v>
      </c>
      <c r="D26" s="3"/>
      <c r="E26" s="143"/>
      <c r="G26" s="146"/>
      <c r="H26" s="198"/>
      <c r="I26" s="146"/>
      <c r="J26" s="198"/>
      <c r="K26" s="2"/>
      <c r="L26" s="153"/>
      <c r="M26" s="155"/>
    </row>
    <row r="27" spans="1:13" x14ac:dyDescent="0.45">
      <c r="A27" s="1"/>
      <c r="B27" s="57"/>
      <c r="C27" s="139"/>
      <c r="D27" s="3" t="s">
        <v>136</v>
      </c>
      <c r="E27" s="143" t="s">
        <v>149</v>
      </c>
      <c r="F27" s="208">
        <v>126253.35</v>
      </c>
      <c r="G27" s="78" t="s">
        <v>149</v>
      </c>
      <c r="H27" s="164">
        <v>2991.5813112025071</v>
      </c>
      <c r="I27" s="146">
        <v>50</v>
      </c>
      <c r="J27" s="164">
        <f>H27</f>
        <v>2991.5813112025071</v>
      </c>
      <c r="K27" s="23">
        <f>J27-H27</f>
        <v>0</v>
      </c>
      <c r="L27" s="153"/>
      <c r="M27" s="155"/>
    </row>
    <row r="28" spans="1:13" x14ac:dyDescent="0.45">
      <c r="A28" s="1"/>
      <c r="B28" s="57"/>
      <c r="C28" s="139"/>
      <c r="D28" s="3" t="s">
        <v>137</v>
      </c>
      <c r="E28" s="143" t="s">
        <v>149</v>
      </c>
      <c r="F28" s="208">
        <v>4035093.9</v>
      </c>
      <c r="G28" s="78" t="s">
        <v>149</v>
      </c>
      <c r="H28" s="164">
        <v>68943.442161052604</v>
      </c>
      <c r="I28" s="146">
        <v>62.5</v>
      </c>
      <c r="J28" s="164">
        <f t="shared" ref="J28:J35" si="4">F28/I28</f>
        <v>64561.502399999998</v>
      </c>
      <c r="K28" s="23">
        <f t="shared" ref="K28:K35" si="5">J28-H28</f>
        <v>-4381.9397610526066</v>
      </c>
      <c r="L28" s="153"/>
      <c r="M28" s="155"/>
    </row>
    <row r="29" spans="1:13" x14ac:dyDescent="0.45">
      <c r="A29" s="1"/>
      <c r="B29" s="57"/>
      <c r="C29" s="139"/>
      <c r="D29" s="3" t="s">
        <v>138</v>
      </c>
      <c r="E29" s="143" t="s">
        <v>149</v>
      </c>
      <c r="F29" s="208">
        <v>421061.43</v>
      </c>
      <c r="G29" s="78" t="s">
        <v>149</v>
      </c>
      <c r="H29" s="164">
        <v>8569.2691395949041</v>
      </c>
      <c r="I29" s="146">
        <v>45</v>
      </c>
      <c r="J29" s="164">
        <f t="shared" si="4"/>
        <v>9356.9206666666669</v>
      </c>
      <c r="K29" s="23">
        <f t="shared" si="5"/>
        <v>787.65152707176276</v>
      </c>
      <c r="L29" s="153"/>
      <c r="M29" s="155"/>
    </row>
    <row r="30" spans="1:13" x14ac:dyDescent="0.45">
      <c r="A30" s="1"/>
      <c r="B30" s="57"/>
      <c r="C30" s="139"/>
      <c r="D30" s="3" t="s">
        <v>139</v>
      </c>
      <c r="E30" s="143"/>
      <c r="F30" s="208"/>
      <c r="G30" s="78"/>
      <c r="H30" s="164"/>
      <c r="I30" s="146">
        <v>15</v>
      </c>
      <c r="J30" s="164">
        <f t="shared" si="4"/>
        <v>0</v>
      </c>
      <c r="K30" s="23">
        <f t="shared" si="5"/>
        <v>0</v>
      </c>
      <c r="L30" s="153"/>
      <c r="M30" s="155"/>
    </row>
    <row r="31" spans="1:13" x14ac:dyDescent="0.45">
      <c r="A31" s="1"/>
      <c r="B31" s="57"/>
      <c r="C31" s="139"/>
      <c r="D31" s="3" t="s">
        <v>140</v>
      </c>
      <c r="E31" s="143" t="s">
        <v>149</v>
      </c>
      <c r="F31" s="208">
        <v>5042.88</v>
      </c>
      <c r="G31" s="78" t="s">
        <v>149</v>
      </c>
      <c r="H31" s="164">
        <v>47.964225352112663</v>
      </c>
      <c r="I31" s="146">
        <v>20</v>
      </c>
      <c r="J31" s="164">
        <f t="shared" si="4"/>
        <v>252.14400000000001</v>
      </c>
      <c r="K31" s="23">
        <f t="shared" si="5"/>
        <v>204.17977464788734</v>
      </c>
      <c r="L31" s="153"/>
      <c r="M31" s="155"/>
    </row>
    <row r="32" spans="1:13" x14ac:dyDescent="0.45">
      <c r="A32" s="1"/>
      <c r="B32" s="57"/>
      <c r="C32" s="139"/>
      <c r="D32" s="3" t="s">
        <v>141</v>
      </c>
      <c r="E32" s="143"/>
      <c r="F32" s="208"/>
      <c r="G32" s="78"/>
      <c r="H32" s="164"/>
      <c r="I32" s="146">
        <v>37.5</v>
      </c>
      <c r="J32" s="164">
        <f t="shared" si="4"/>
        <v>0</v>
      </c>
      <c r="K32" s="23">
        <f t="shared" si="5"/>
        <v>0</v>
      </c>
      <c r="L32" s="153"/>
      <c r="M32" s="155"/>
    </row>
    <row r="33" spans="1:14" x14ac:dyDescent="0.45">
      <c r="A33" s="1"/>
      <c r="B33" s="57"/>
      <c r="C33" s="139"/>
      <c r="D33" s="3" t="s">
        <v>142</v>
      </c>
      <c r="E33" s="143"/>
      <c r="F33" s="208"/>
      <c r="G33" s="78"/>
      <c r="H33" s="164"/>
      <c r="I33" s="146">
        <v>40</v>
      </c>
      <c r="J33" s="164">
        <f t="shared" si="4"/>
        <v>0</v>
      </c>
      <c r="K33" s="23">
        <f t="shared" si="5"/>
        <v>0</v>
      </c>
      <c r="L33" s="153"/>
      <c r="M33" s="155"/>
    </row>
    <row r="34" spans="1:14" x14ac:dyDescent="0.45">
      <c r="A34" s="1"/>
      <c r="B34" s="57"/>
      <c r="C34" s="139"/>
      <c r="D34" s="3" t="s">
        <v>143</v>
      </c>
      <c r="E34" s="143" t="s">
        <v>149</v>
      </c>
      <c r="F34" s="208">
        <v>747391.5</v>
      </c>
      <c r="G34" s="78" t="s">
        <v>149</v>
      </c>
      <c r="H34" s="164">
        <v>18684.787649445563</v>
      </c>
      <c r="I34" s="146">
        <v>45</v>
      </c>
      <c r="J34" s="164">
        <f t="shared" si="4"/>
        <v>16608.7</v>
      </c>
      <c r="K34" s="23">
        <f t="shared" si="5"/>
        <v>-2076.0876494455624</v>
      </c>
      <c r="L34" s="153"/>
      <c r="M34" s="155"/>
    </row>
    <row r="35" spans="1:14" x14ac:dyDescent="0.45">
      <c r="A35" s="1"/>
      <c r="B35" s="57"/>
      <c r="C35" s="139"/>
      <c r="D35" s="3" t="s">
        <v>144</v>
      </c>
      <c r="E35" s="143"/>
      <c r="F35" s="208"/>
      <c r="G35" s="78"/>
      <c r="H35" s="164"/>
      <c r="I35" s="146">
        <v>15</v>
      </c>
      <c r="J35" s="164">
        <f t="shared" si="4"/>
        <v>0</v>
      </c>
      <c r="K35" s="23">
        <f t="shared" si="5"/>
        <v>0</v>
      </c>
      <c r="L35" s="153"/>
      <c r="M35" s="155"/>
    </row>
    <row r="36" spans="1:14" x14ac:dyDescent="0.45">
      <c r="A36" s="1"/>
      <c r="B36" s="57"/>
      <c r="C36" s="139"/>
      <c r="E36" s="143"/>
      <c r="G36" s="147"/>
      <c r="H36" s="198"/>
      <c r="I36" s="147"/>
      <c r="J36" s="198"/>
      <c r="K36" s="23"/>
      <c r="L36" s="153"/>
      <c r="M36" s="155"/>
    </row>
    <row r="37" spans="1:14" x14ac:dyDescent="0.45">
      <c r="A37" s="1"/>
      <c r="B37" s="57"/>
      <c r="C37" s="139" t="s">
        <v>125</v>
      </c>
      <c r="E37" s="143"/>
      <c r="G37" s="146"/>
      <c r="H37" s="198"/>
      <c r="I37" s="151"/>
      <c r="J37" s="198"/>
      <c r="K37" s="2"/>
      <c r="L37" s="153"/>
      <c r="M37" s="155"/>
    </row>
    <row r="38" spans="1:14" x14ac:dyDescent="0.45">
      <c r="A38" s="1"/>
      <c r="B38" s="57"/>
      <c r="C38" s="3"/>
      <c r="D38" s="1" t="s">
        <v>145</v>
      </c>
      <c r="E38" s="143"/>
      <c r="G38" s="146"/>
      <c r="H38" s="198"/>
      <c r="I38" s="151">
        <v>7</v>
      </c>
      <c r="J38" s="198">
        <f>F38/I38</f>
        <v>0</v>
      </c>
      <c r="K38" s="2">
        <f>J38-H38</f>
        <v>0</v>
      </c>
      <c r="L38" s="153"/>
      <c r="M38" s="155"/>
    </row>
    <row r="39" spans="1:14" x14ac:dyDescent="0.45">
      <c r="A39" s="1"/>
      <c r="B39" s="57"/>
      <c r="C39" s="138"/>
      <c r="D39" s="138"/>
      <c r="E39" s="138"/>
      <c r="G39" s="147"/>
      <c r="H39" s="198"/>
      <c r="I39" s="147"/>
      <c r="J39" s="198"/>
      <c r="K39" s="2"/>
      <c r="L39" s="153"/>
      <c r="M39" s="155"/>
    </row>
    <row r="40" spans="1:14" x14ac:dyDescent="0.45">
      <c r="A40" s="1"/>
      <c r="B40" s="57"/>
      <c r="C40" s="139" t="s">
        <v>126</v>
      </c>
      <c r="D40" s="3"/>
      <c r="E40" s="143"/>
      <c r="G40" s="148"/>
      <c r="H40" s="198"/>
      <c r="I40" s="146"/>
      <c r="J40" s="198"/>
      <c r="K40" s="2"/>
      <c r="L40" s="153"/>
      <c r="M40" s="155"/>
    </row>
    <row r="41" spans="1:14" x14ac:dyDescent="0.45">
      <c r="A41" s="1"/>
      <c r="B41" s="57"/>
      <c r="C41" s="139"/>
      <c r="D41" s="1" t="s">
        <v>188</v>
      </c>
      <c r="E41" s="143"/>
      <c r="G41" s="146"/>
      <c r="H41" s="198"/>
      <c r="I41" s="151">
        <v>62.5</v>
      </c>
      <c r="J41" s="198">
        <f>F41/I41</f>
        <v>0</v>
      </c>
      <c r="K41" s="2">
        <f>J41-H41</f>
        <v>0</v>
      </c>
      <c r="L41" s="153"/>
      <c r="M41" s="155"/>
    </row>
    <row r="42" spans="1:14" x14ac:dyDescent="0.45">
      <c r="A42" s="1"/>
      <c r="B42" s="57"/>
      <c r="C42" s="139"/>
      <c r="D42" s="1" t="s">
        <v>189</v>
      </c>
      <c r="E42" s="143"/>
      <c r="G42" s="146"/>
      <c r="H42" s="198"/>
      <c r="I42" s="151">
        <v>27.5</v>
      </c>
      <c r="J42" s="198">
        <f>F42/I42</f>
        <v>0</v>
      </c>
      <c r="K42" s="2">
        <f>J42-H42</f>
        <v>0</v>
      </c>
      <c r="L42" s="153"/>
      <c r="M42" s="155"/>
    </row>
    <row r="43" spans="1:14" x14ac:dyDescent="0.45">
      <c r="A43" s="1"/>
      <c r="B43" s="57"/>
      <c r="C43" s="3"/>
      <c r="D43" s="3"/>
      <c r="E43" s="3"/>
      <c r="G43" s="2"/>
      <c r="H43" s="164"/>
      <c r="I43" s="2"/>
      <c r="J43" s="202"/>
      <c r="K43" s="2"/>
      <c r="L43" s="153"/>
      <c r="M43" s="155"/>
    </row>
    <row r="44" spans="1:14" x14ac:dyDescent="0.45">
      <c r="A44" s="1"/>
      <c r="B44" s="57"/>
      <c r="C44" s="140" t="s">
        <v>75</v>
      </c>
      <c r="F44" s="200">
        <f>SUM(F10:F43)</f>
        <v>5347867.0599999996</v>
      </c>
      <c r="G44" s="149"/>
      <c r="H44" s="200">
        <f>SUM(H10:H43)</f>
        <v>100346.47151367471</v>
      </c>
      <c r="I44" s="150"/>
      <c r="J44" s="200">
        <f>SUM(J10:J43)</f>
        <v>94898.715044535842</v>
      </c>
      <c r="K44" s="150">
        <f>SUM(K10:K43)</f>
        <v>-5447.7564691388798</v>
      </c>
      <c r="L44" s="153"/>
      <c r="M44" s="155"/>
      <c r="N44" s="21"/>
    </row>
    <row r="45" spans="1:14" x14ac:dyDescent="0.45">
      <c r="A45" s="1"/>
      <c r="B45" s="135"/>
      <c r="C45" s="141"/>
      <c r="D45" s="141"/>
      <c r="E45" s="141"/>
      <c r="F45" s="209"/>
      <c r="G45" s="141"/>
      <c r="H45" s="201"/>
      <c r="I45" s="141"/>
      <c r="J45" s="201"/>
      <c r="K45" s="141"/>
      <c r="L45" s="154"/>
      <c r="M45" s="156"/>
    </row>
    <row r="46" spans="1:14" x14ac:dyDescent="0.45">
      <c r="A46" s="1"/>
      <c r="B46" s="1"/>
      <c r="C46" s="3"/>
      <c r="D46" s="3"/>
      <c r="E46" s="3"/>
      <c r="G46" s="3"/>
      <c r="H46" s="202"/>
      <c r="I46" s="3"/>
      <c r="J46" s="202"/>
      <c r="K46" s="3"/>
      <c r="L46" s="3"/>
      <c r="M46" s="3"/>
    </row>
    <row r="47" spans="1:14" x14ac:dyDescent="0.45">
      <c r="D47" s="3" t="s">
        <v>146</v>
      </c>
    </row>
    <row r="51" spans="6:7" ht="17.649999999999999" x14ac:dyDescent="0.75">
      <c r="F51" s="211"/>
    </row>
    <row r="52" spans="6:7" x14ac:dyDescent="0.45">
      <c r="G52" s="21"/>
    </row>
    <row r="55" spans="6:7" ht="17.649999999999999" x14ac:dyDescent="0.75">
      <c r="F55" s="211"/>
    </row>
    <row r="56" spans="6:7" x14ac:dyDescent="0.45">
      <c r="G56" s="21"/>
    </row>
  </sheetData>
  <mergeCells count="5">
    <mergeCell ref="C3:K3"/>
    <mergeCell ref="C4:K4"/>
    <mergeCell ref="C5:K5"/>
    <mergeCell ref="G7:H7"/>
    <mergeCell ref="I7:J7"/>
  </mergeCells>
  <pageMargins left="0.7" right="0.7" top="0.75" bottom="0.75" header="0.3" footer="0.3"/>
  <pageSetup scale="77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630B1-5320-458A-B984-AF0BD6A9981A}">
  <sheetPr>
    <pageSetUpPr fitToPage="1"/>
  </sheetPr>
  <dimension ref="B1:P24"/>
  <sheetViews>
    <sheetView showGridLines="0" workbookViewId="0">
      <selection activeCell="A27" sqref="A27"/>
    </sheetView>
  </sheetViews>
  <sheetFormatPr defaultRowHeight="15" x14ac:dyDescent="0.4"/>
  <cols>
    <col min="1" max="1" width="1.77734375" customWidth="1"/>
    <col min="2" max="2" width="20.44140625" bestFit="1" customWidth="1"/>
    <col min="3" max="12" width="7.77734375" customWidth="1"/>
    <col min="13" max="13" width="10.6640625" customWidth="1"/>
    <col min="14" max="14" width="0.77734375" customWidth="1"/>
    <col min="15" max="15" width="2.33203125" customWidth="1"/>
    <col min="16" max="16" width="9.6640625" customWidth="1"/>
  </cols>
  <sheetData>
    <row r="1" spans="2:16" ht="15.4" x14ac:dyDescent="0.4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2:16" ht="15.4" x14ac:dyDescent="0.45"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  <c r="O2" s="18"/>
      <c r="P2" s="18"/>
    </row>
    <row r="3" spans="2:16" ht="18" x14ac:dyDescent="0.55000000000000004">
      <c r="B3" s="89" t="s">
        <v>109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81"/>
      <c r="O3" s="18"/>
      <c r="P3" s="18"/>
    </row>
    <row r="4" spans="2:16" ht="18" x14ac:dyDescent="0.55000000000000004">
      <c r="B4" s="91" t="s">
        <v>110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81"/>
      <c r="O4" s="18"/>
      <c r="P4" s="18"/>
    </row>
    <row r="5" spans="2:16" ht="15.75" x14ac:dyDescent="0.45">
      <c r="B5" s="93" t="s">
        <v>235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81"/>
      <c r="O5" s="18"/>
      <c r="P5" s="18"/>
    </row>
    <row r="6" spans="2:16" ht="15.75" x14ac:dyDescent="0.5">
      <c r="B6" s="94" t="s">
        <v>111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81"/>
      <c r="O6" s="18"/>
      <c r="P6" s="18"/>
    </row>
    <row r="7" spans="2:16" ht="15.4" x14ac:dyDescent="0.45">
      <c r="B7" s="96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81"/>
      <c r="O7" s="18"/>
      <c r="P7" s="18"/>
    </row>
    <row r="8" spans="2:16" ht="15.4" x14ac:dyDescent="0.45">
      <c r="B8" s="97"/>
      <c r="C8" s="98"/>
      <c r="D8" s="99"/>
      <c r="E8" s="98"/>
      <c r="F8" s="100"/>
      <c r="G8" s="98"/>
      <c r="H8" s="100"/>
      <c r="I8" s="98"/>
      <c r="J8" s="100"/>
      <c r="K8" s="98"/>
      <c r="L8" s="100"/>
      <c r="M8" s="99"/>
      <c r="N8" s="88"/>
      <c r="O8" s="18"/>
      <c r="P8" s="18"/>
    </row>
    <row r="9" spans="2:16" ht="16.5" x14ac:dyDescent="0.45">
      <c r="B9" s="101"/>
      <c r="C9" s="302" t="s">
        <v>112</v>
      </c>
      <c r="D9" s="303"/>
      <c r="E9" s="302" t="s">
        <v>113</v>
      </c>
      <c r="F9" s="303"/>
      <c r="G9" s="302" t="s">
        <v>114</v>
      </c>
      <c r="H9" s="303"/>
      <c r="I9" s="302" t="s">
        <v>115</v>
      </c>
      <c r="J9" s="303"/>
      <c r="K9" s="302" t="s">
        <v>116</v>
      </c>
      <c r="L9" s="303"/>
      <c r="M9" s="18"/>
      <c r="N9" s="81"/>
      <c r="O9" s="18"/>
      <c r="P9" s="18"/>
    </row>
    <row r="10" spans="2:16" ht="16.5" x14ac:dyDescent="0.45">
      <c r="B10" s="101"/>
      <c r="C10" s="102"/>
      <c r="D10" s="103" t="s">
        <v>117</v>
      </c>
      <c r="E10" s="104"/>
      <c r="F10" s="103" t="s">
        <v>117</v>
      </c>
      <c r="G10" s="104"/>
      <c r="H10" s="103" t="s">
        <v>117</v>
      </c>
      <c r="I10" s="104"/>
      <c r="J10" s="103" t="s">
        <v>117</v>
      </c>
      <c r="K10" s="104"/>
      <c r="L10" s="103" t="s">
        <v>117</v>
      </c>
      <c r="M10" s="18"/>
      <c r="N10" s="81"/>
      <c r="O10" s="18"/>
      <c r="P10" s="18"/>
    </row>
    <row r="11" spans="2:16" ht="16.5" x14ac:dyDescent="0.45">
      <c r="B11" s="101"/>
      <c r="C11" s="102" t="s">
        <v>118</v>
      </c>
      <c r="D11" s="105" t="s">
        <v>119</v>
      </c>
      <c r="E11" s="102" t="s">
        <v>118</v>
      </c>
      <c r="F11" s="105" t="s">
        <v>119</v>
      </c>
      <c r="G11" s="102" t="s">
        <v>118</v>
      </c>
      <c r="H11" s="105" t="s">
        <v>119</v>
      </c>
      <c r="I11" s="102" t="s">
        <v>118</v>
      </c>
      <c r="J11" s="105" t="s">
        <v>119</v>
      </c>
      <c r="K11" s="102" t="s">
        <v>118</v>
      </c>
      <c r="L11" s="105" t="s">
        <v>119</v>
      </c>
      <c r="M11" s="106" t="s">
        <v>75</v>
      </c>
      <c r="N11" s="81"/>
      <c r="O11" s="18"/>
      <c r="P11" s="18"/>
    </row>
    <row r="12" spans="2:16" ht="15.4" x14ac:dyDescent="0.45">
      <c r="B12" s="107" t="s">
        <v>244</v>
      </c>
      <c r="C12" s="108">
        <v>16000</v>
      </c>
      <c r="D12" s="109">
        <v>6011</v>
      </c>
      <c r="E12" s="108">
        <v>16900</v>
      </c>
      <c r="F12" s="110">
        <v>5131</v>
      </c>
      <c r="G12" s="108">
        <v>17800</v>
      </c>
      <c r="H12" s="110">
        <v>4202</v>
      </c>
      <c r="I12" s="108">
        <v>18800</v>
      </c>
      <c r="J12" s="110">
        <v>3223</v>
      </c>
      <c r="K12" s="108">
        <v>19800</v>
      </c>
      <c r="L12" s="110">
        <v>2189</v>
      </c>
      <c r="M12" s="111">
        <f t="shared" ref="M12:M17" si="0">SUM(C12:L12)</f>
        <v>110056</v>
      </c>
      <c r="N12" s="81"/>
      <c r="O12" s="18"/>
      <c r="P12" s="18"/>
    </row>
    <row r="13" spans="2:16" ht="15.4" x14ac:dyDescent="0.45">
      <c r="B13" s="107" t="s">
        <v>245</v>
      </c>
      <c r="C13" s="108">
        <v>6700</v>
      </c>
      <c r="D13" s="109">
        <v>1569</v>
      </c>
      <c r="E13" s="108">
        <v>7000</v>
      </c>
      <c r="F13" s="110">
        <v>1209</v>
      </c>
      <c r="G13" s="108">
        <v>7400</v>
      </c>
      <c r="H13" s="110">
        <v>833</v>
      </c>
      <c r="I13" s="108">
        <v>8100</v>
      </c>
      <c r="J13" s="110">
        <v>435</v>
      </c>
      <c r="K13" s="108">
        <v>0</v>
      </c>
      <c r="L13" s="110">
        <v>0</v>
      </c>
      <c r="M13" s="111">
        <f t="shared" si="0"/>
        <v>33246</v>
      </c>
      <c r="N13" s="81"/>
      <c r="O13" s="18"/>
      <c r="P13" s="18"/>
    </row>
    <row r="14" spans="2:16" ht="15.4" x14ac:dyDescent="0.45">
      <c r="B14" s="107" t="s">
        <v>246</v>
      </c>
      <c r="C14" s="108">
        <v>7400</v>
      </c>
      <c r="D14" s="109">
        <v>8570</v>
      </c>
      <c r="E14" s="108">
        <v>7700</v>
      </c>
      <c r="F14" s="109">
        <v>8246</v>
      </c>
      <c r="G14" s="108">
        <v>8000</v>
      </c>
      <c r="H14" s="109">
        <v>7910</v>
      </c>
      <c r="I14" s="108">
        <v>8400</v>
      </c>
      <c r="J14" s="109">
        <v>7560</v>
      </c>
      <c r="K14" s="108">
        <v>8800</v>
      </c>
      <c r="L14" s="110">
        <v>7192</v>
      </c>
      <c r="M14" s="111">
        <f t="shared" si="0"/>
        <v>79778</v>
      </c>
      <c r="N14" s="81"/>
      <c r="O14" s="18"/>
      <c r="P14" s="18"/>
    </row>
    <row r="15" spans="2:16" ht="15.4" x14ac:dyDescent="0.45">
      <c r="B15" s="107" t="s">
        <v>247</v>
      </c>
      <c r="C15" s="108">
        <v>1300</v>
      </c>
      <c r="D15" s="109">
        <v>1600</v>
      </c>
      <c r="E15" s="108">
        <v>1300</v>
      </c>
      <c r="F15" s="109">
        <v>1600</v>
      </c>
      <c r="G15" s="108">
        <v>1400</v>
      </c>
      <c r="H15" s="109">
        <v>1500</v>
      </c>
      <c r="I15" s="108">
        <v>1400</v>
      </c>
      <c r="J15" s="109">
        <v>1500</v>
      </c>
      <c r="K15" s="108">
        <v>1500</v>
      </c>
      <c r="L15" s="110">
        <v>1400</v>
      </c>
      <c r="M15" s="111">
        <f t="shared" si="0"/>
        <v>14500</v>
      </c>
      <c r="N15" s="81"/>
      <c r="O15" s="18"/>
      <c r="P15" s="18"/>
    </row>
    <row r="16" spans="2:16" ht="15.4" x14ac:dyDescent="0.45">
      <c r="B16" s="107" t="s">
        <v>240</v>
      </c>
      <c r="C16" s="108">
        <f>1666.67+(11*1750)</f>
        <v>20916.669999999998</v>
      </c>
      <c r="D16" s="109">
        <f>1003.63+(11*936.13)</f>
        <v>11301.06</v>
      </c>
      <c r="E16" s="108">
        <f>1750+(11*1833.33)</f>
        <v>21916.629999999997</v>
      </c>
      <c r="F16" s="109">
        <f>936.13+(11*836.06)</f>
        <v>10132.789999999999</v>
      </c>
      <c r="G16" s="108">
        <f>1833.33+(1916.67*11)</f>
        <v>22916.700000000004</v>
      </c>
      <c r="H16" s="109">
        <f>863.06+(11*784.23)</f>
        <v>9489.59</v>
      </c>
      <c r="I16" s="108">
        <f>1916.67+(11*2000)</f>
        <v>23916.67</v>
      </c>
      <c r="J16" s="109">
        <f>784.23+(11*701.81)</f>
        <v>8504.14</v>
      </c>
      <c r="K16" s="108">
        <f>2000+(11*2083.33)</f>
        <v>24916.629999999997</v>
      </c>
      <c r="L16" s="110">
        <f>701.81+(11*615.81)</f>
        <v>7475.7199999999993</v>
      </c>
      <c r="M16" s="111">
        <f t="shared" si="0"/>
        <v>161486.6</v>
      </c>
      <c r="N16" s="81"/>
      <c r="O16" s="18"/>
      <c r="P16" s="18"/>
    </row>
    <row r="17" spans="2:16" ht="15.4" x14ac:dyDescent="0.45">
      <c r="B17" s="257" t="s">
        <v>265</v>
      </c>
      <c r="C17" s="112">
        <f>890*12</f>
        <v>10680</v>
      </c>
      <c r="D17" s="113">
        <v>0</v>
      </c>
      <c r="E17" s="112">
        <f>19064-C17</f>
        <v>8384</v>
      </c>
      <c r="F17" s="113">
        <v>0</v>
      </c>
      <c r="G17" s="112">
        <v>0</v>
      </c>
      <c r="H17" s="113">
        <v>0</v>
      </c>
      <c r="I17" s="112">
        <v>0</v>
      </c>
      <c r="J17" s="113">
        <v>0</v>
      </c>
      <c r="K17" s="112">
        <v>0</v>
      </c>
      <c r="L17" s="114">
        <v>0</v>
      </c>
      <c r="M17" s="111">
        <f t="shared" si="0"/>
        <v>19064</v>
      </c>
      <c r="N17" s="81"/>
      <c r="O17" s="18"/>
      <c r="P17" s="18" t="s">
        <v>266</v>
      </c>
    </row>
    <row r="18" spans="2:16" ht="15.4" x14ac:dyDescent="0.45">
      <c r="B18" s="82" t="s">
        <v>75</v>
      </c>
      <c r="C18" s="115">
        <f t="shared" ref="C18:M18" si="1">SUM(C12:C17)</f>
        <v>62996.67</v>
      </c>
      <c r="D18" s="116">
        <f t="shared" si="1"/>
        <v>29051.059999999998</v>
      </c>
      <c r="E18" s="115">
        <f t="shared" si="1"/>
        <v>63200.63</v>
      </c>
      <c r="F18" s="117">
        <f t="shared" si="1"/>
        <v>26318.79</v>
      </c>
      <c r="G18" s="115">
        <f t="shared" si="1"/>
        <v>57516.700000000004</v>
      </c>
      <c r="H18" s="117">
        <f t="shared" si="1"/>
        <v>23934.59</v>
      </c>
      <c r="I18" s="115">
        <f t="shared" si="1"/>
        <v>60616.67</v>
      </c>
      <c r="J18" s="117">
        <f t="shared" si="1"/>
        <v>21222.14</v>
      </c>
      <c r="K18" s="115">
        <f t="shared" si="1"/>
        <v>55016.63</v>
      </c>
      <c r="L18" s="117">
        <f t="shared" si="1"/>
        <v>18256.72</v>
      </c>
      <c r="M18" s="118">
        <f t="shared" si="1"/>
        <v>418130.6</v>
      </c>
      <c r="N18" s="81"/>
      <c r="O18" s="18"/>
      <c r="P18" s="18">
        <f>SUM(C18:L18)</f>
        <v>418130.6</v>
      </c>
    </row>
    <row r="19" spans="2:16" ht="15.4" x14ac:dyDescent="0.45">
      <c r="B19" s="119"/>
      <c r="C19" s="120"/>
      <c r="D19" s="121"/>
      <c r="E19" s="120"/>
      <c r="F19" s="122"/>
      <c r="G19" s="120"/>
      <c r="H19" s="122"/>
      <c r="I19" s="120"/>
      <c r="J19" s="123"/>
      <c r="K19" s="120"/>
      <c r="L19" s="122"/>
      <c r="M19" s="121"/>
      <c r="N19" s="77"/>
      <c r="O19" s="18"/>
      <c r="P19" s="18"/>
    </row>
    <row r="20" spans="2:16" ht="15.4" x14ac:dyDescent="0.45">
      <c r="B20" s="124"/>
      <c r="C20" s="125"/>
      <c r="D20" s="125"/>
      <c r="E20" s="125"/>
      <c r="F20" s="125"/>
      <c r="G20" s="125"/>
      <c r="H20" s="125"/>
      <c r="I20" s="125"/>
      <c r="J20" s="126"/>
      <c r="K20" s="126"/>
      <c r="L20" s="126"/>
      <c r="M20" s="125"/>
      <c r="N20" s="81"/>
      <c r="O20" s="18"/>
      <c r="P20" s="18"/>
    </row>
    <row r="21" spans="2:16" ht="15.4" x14ac:dyDescent="0.45">
      <c r="B21" s="127"/>
      <c r="C21" s="128"/>
      <c r="D21" s="129"/>
      <c r="E21" s="128"/>
      <c r="F21" s="128"/>
      <c r="G21" s="128"/>
      <c r="H21" s="128"/>
      <c r="I21" s="129" t="s">
        <v>120</v>
      </c>
      <c r="J21" s="18"/>
      <c r="K21" s="130"/>
      <c r="L21" s="131"/>
      <c r="M21" s="128">
        <f>M18/5</f>
        <v>83626.12</v>
      </c>
      <c r="N21" s="81"/>
      <c r="O21" s="18"/>
      <c r="P21" s="18"/>
    </row>
    <row r="22" spans="2:16" ht="15.4" x14ac:dyDescent="0.45">
      <c r="B22" s="20"/>
      <c r="C22" s="129"/>
      <c r="D22" s="18"/>
      <c r="E22" s="129"/>
      <c r="F22" s="129"/>
      <c r="G22" s="129"/>
      <c r="H22" s="129"/>
      <c r="I22" s="129"/>
      <c r="J22" s="18"/>
      <c r="K22" s="23"/>
      <c r="L22" s="130"/>
      <c r="M22" s="32"/>
      <c r="N22" s="81"/>
      <c r="O22" s="18"/>
      <c r="P22" s="18"/>
    </row>
    <row r="23" spans="2:16" ht="15.4" x14ac:dyDescent="0.45">
      <c r="B23" s="127"/>
      <c r="C23" s="129"/>
      <c r="D23" s="129"/>
      <c r="E23" s="129"/>
      <c r="F23" s="129"/>
      <c r="G23" s="129"/>
      <c r="H23" s="129"/>
      <c r="I23" s="129" t="s">
        <v>121</v>
      </c>
      <c r="J23" s="18"/>
      <c r="K23" s="130"/>
      <c r="L23" s="129"/>
      <c r="M23" s="128">
        <f>M21*0.2</f>
        <v>16725.223999999998</v>
      </c>
      <c r="N23" s="81"/>
      <c r="O23" s="18"/>
      <c r="P23" s="18">
        <f>M23+M21</f>
        <v>100351.344</v>
      </c>
    </row>
    <row r="24" spans="2:16" ht="15.4" x14ac:dyDescent="0.45">
      <c r="B24" s="132"/>
      <c r="C24" s="133"/>
      <c r="D24" s="133"/>
      <c r="E24" s="133"/>
      <c r="F24" s="133" t="s">
        <v>194</v>
      </c>
      <c r="G24" s="133"/>
      <c r="H24" s="133"/>
      <c r="I24" s="133"/>
      <c r="J24" s="133"/>
      <c r="K24" s="284"/>
      <c r="L24" s="133"/>
      <c r="M24" s="133"/>
      <c r="N24" s="77"/>
      <c r="O24" s="18"/>
      <c r="P24" s="18"/>
    </row>
  </sheetData>
  <mergeCells count="5">
    <mergeCell ref="C9:D9"/>
    <mergeCell ref="E9:F9"/>
    <mergeCell ref="G9:H9"/>
    <mergeCell ref="I9:J9"/>
    <mergeCell ref="K9:L9"/>
  </mergeCells>
  <pageMargins left="0.7" right="0.7" top="0.75" bottom="0.75" header="0.3" footer="0.3"/>
  <pageSetup scale="90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7B32F-4CA1-4F84-B54A-FE6CF749D13D}">
  <dimension ref="A1:D6"/>
  <sheetViews>
    <sheetView workbookViewId="0">
      <selection activeCell="C4" sqref="C4"/>
    </sheetView>
  </sheetViews>
  <sheetFormatPr defaultRowHeight="15" x14ac:dyDescent="0.4"/>
  <sheetData>
    <row r="1" spans="1:4" ht="15.4" x14ac:dyDescent="0.45">
      <c r="A1" s="1" t="s">
        <v>171</v>
      </c>
      <c r="B1" s="1"/>
      <c r="C1" s="1"/>
      <c r="D1" s="1"/>
    </row>
    <row r="2" spans="1:4" ht="15.4" x14ac:dyDescent="0.45">
      <c r="A2" s="1"/>
      <c r="B2" s="1"/>
      <c r="C2" s="1"/>
      <c r="D2" s="1"/>
    </row>
    <row r="3" spans="1:4" ht="15.4" x14ac:dyDescent="0.45">
      <c r="A3" s="1" t="s">
        <v>174</v>
      </c>
      <c r="B3" s="1"/>
      <c r="C3" s="166">
        <v>22200</v>
      </c>
      <c r="D3" s="1"/>
    </row>
    <row r="4" spans="1:4" ht="15.4" x14ac:dyDescent="0.45">
      <c r="A4" s="1"/>
      <c r="B4" s="1"/>
      <c r="C4" s="1"/>
      <c r="D4" s="1"/>
    </row>
    <row r="5" spans="1:4" ht="15.4" x14ac:dyDescent="0.45">
      <c r="A5" s="1" t="s">
        <v>172</v>
      </c>
      <c r="B5" s="167">
        <v>0.3</v>
      </c>
      <c r="C5" s="166">
        <f>B5*C3</f>
        <v>6660</v>
      </c>
      <c r="D5" s="1"/>
    </row>
    <row r="6" spans="1:4" ht="15.4" x14ac:dyDescent="0.45">
      <c r="A6" s="1" t="s">
        <v>173</v>
      </c>
      <c r="B6" s="167">
        <v>0.7</v>
      </c>
      <c r="C6" s="166">
        <f>B6*C3</f>
        <v>15539.999999999998</v>
      </c>
      <c r="D6" s="1"/>
    </row>
  </sheetData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52889-0321-45D3-A9A4-AE60C9D6113F}">
  <dimension ref="A1:G37"/>
  <sheetViews>
    <sheetView showGridLines="0" topLeftCell="A8" workbookViewId="0">
      <selection activeCell="D36" sqref="D36"/>
    </sheetView>
  </sheetViews>
  <sheetFormatPr defaultRowHeight="13.5" x14ac:dyDescent="0.35"/>
  <cols>
    <col min="1" max="1" width="22.0546875" style="160" customWidth="1"/>
    <col min="2" max="2" width="9.88671875" style="161" bestFit="1" customWidth="1"/>
    <col min="3" max="3" width="9.71875" style="161" bestFit="1" customWidth="1"/>
    <col min="4" max="4" width="9.88671875" style="160" bestFit="1" customWidth="1"/>
    <col min="5" max="16384" width="8.88671875" style="160"/>
  </cols>
  <sheetData>
    <row r="1" spans="1:7" ht="14.25" x14ac:dyDescent="0.45">
      <c r="A1" s="1" t="s">
        <v>150</v>
      </c>
      <c r="B1" s="7"/>
      <c r="C1" s="7"/>
      <c r="D1" s="1"/>
      <c r="E1" s="1"/>
      <c r="F1" s="1"/>
      <c r="G1" s="1"/>
    </row>
    <row r="2" spans="1:7" ht="14.25" x14ac:dyDescent="0.45">
      <c r="A2" s="1" t="s">
        <v>156</v>
      </c>
      <c r="B2" s="7"/>
      <c r="C2" s="7">
        <v>0</v>
      </c>
      <c r="D2" s="1"/>
      <c r="E2" s="1"/>
      <c r="F2" s="1"/>
      <c r="G2" s="1"/>
    </row>
    <row r="3" spans="1:7" ht="14.25" x14ac:dyDescent="0.45">
      <c r="A3" s="1" t="s">
        <v>157</v>
      </c>
      <c r="B3" s="7"/>
      <c r="C3" s="5">
        <v>203361</v>
      </c>
      <c r="D3" s="1"/>
      <c r="E3" s="1"/>
      <c r="F3" s="1"/>
      <c r="G3" s="1"/>
    </row>
    <row r="4" spans="1:7" ht="14.25" x14ac:dyDescent="0.45">
      <c r="A4" s="1" t="s">
        <v>158</v>
      </c>
      <c r="B4" s="7"/>
      <c r="C4" s="7">
        <f>C2+C3</f>
        <v>203361</v>
      </c>
      <c r="D4" s="1"/>
      <c r="E4" s="1"/>
      <c r="F4" s="1"/>
      <c r="G4" s="1"/>
    </row>
    <row r="5" spans="1:7" ht="14.25" x14ac:dyDescent="0.45">
      <c r="A5" s="1"/>
      <c r="B5" s="7"/>
      <c r="C5" s="7"/>
      <c r="D5" s="1"/>
      <c r="E5" s="1"/>
      <c r="F5" s="1"/>
      <c r="G5" s="1"/>
    </row>
    <row r="6" spans="1:7" ht="14.25" x14ac:dyDescent="0.45">
      <c r="A6" s="1" t="s">
        <v>151</v>
      </c>
      <c r="B6" s="7"/>
      <c r="C6" s="7">
        <v>128106</v>
      </c>
      <c r="D6" s="1"/>
      <c r="E6" s="1"/>
      <c r="F6" s="1"/>
      <c r="G6" s="1"/>
    </row>
    <row r="7" spans="1:7" ht="14.25" x14ac:dyDescent="0.45">
      <c r="A7" s="1"/>
      <c r="B7" s="7"/>
      <c r="C7" s="7"/>
      <c r="D7" s="1"/>
      <c r="E7" s="1"/>
      <c r="F7" s="1"/>
      <c r="G7" s="1"/>
    </row>
    <row r="8" spans="1:7" ht="14.25" x14ac:dyDescent="0.45">
      <c r="A8" s="1" t="s">
        <v>152</v>
      </c>
      <c r="B8" s="7"/>
      <c r="C8" s="7"/>
      <c r="D8" s="1"/>
      <c r="E8" s="1"/>
      <c r="F8" s="1"/>
      <c r="G8" s="1"/>
    </row>
    <row r="9" spans="1:7" ht="14.25" x14ac:dyDescent="0.45">
      <c r="A9" s="1" t="s">
        <v>161</v>
      </c>
      <c r="B9" s="7">
        <v>0</v>
      </c>
      <c r="C9" s="7"/>
      <c r="D9" s="1"/>
      <c r="E9" s="1"/>
      <c r="F9" s="1"/>
      <c r="G9" s="1"/>
    </row>
    <row r="10" spans="1:7" ht="14.25" x14ac:dyDescent="0.45">
      <c r="A10" s="1" t="s">
        <v>162</v>
      </c>
      <c r="B10" s="7">
        <v>14000</v>
      </c>
      <c r="C10" s="7"/>
      <c r="D10" s="1"/>
      <c r="E10" s="1"/>
      <c r="F10" s="1"/>
      <c r="G10" s="1"/>
    </row>
    <row r="11" spans="1:7" ht="14.25" x14ac:dyDescent="0.45">
      <c r="A11" s="1" t="s">
        <v>163</v>
      </c>
      <c r="B11" s="7">
        <v>1000</v>
      </c>
      <c r="C11" s="7"/>
      <c r="D11" s="1"/>
      <c r="E11" s="1"/>
      <c r="F11" s="1"/>
      <c r="G11" s="1"/>
    </row>
    <row r="12" spans="1:7" ht="14.25" x14ac:dyDescent="0.45">
      <c r="A12" s="1" t="s">
        <v>164</v>
      </c>
      <c r="B12" s="7">
        <v>0</v>
      </c>
      <c r="C12" s="7"/>
      <c r="D12" s="1"/>
      <c r="E12" s="1"/>
      <c r="F12" s="1"/>
      <c r="G12" s="1"/>
    </row>
    <row r="13" spans="1:7" ht="14.25" x14ac:dyDescent="0.45">
      <c r="A13" s="1" t="s">
        <v>159</v>
      </c>
      <c r="B13" s="7"/>
      <c r="C13" s="7">
        <f>SUM(B9:B12)</f>
        <v>15000</v>
      </c>
      <c r="D13" s="1"/>
      <c r="E13" s="1"/>
      <c r="F13" s="1"/>
      <c r="G13" s="1"/>
    </row>
    <row r="14" spans="1:7" ht="14.25" x14ac:dyDescent="0.45">
      <c r="A14" s="1"/>
      <c r="B14" s="7"/>
      <c r="C14" s="7"/>
      <c r="D14" s="1"/>
      <c r="E14" s="1"/>
      <c r="F14" s="1"/>
      <c r="G14" s="1"/>
    </row>
    <row r="15" spans="1:7" ht="14.25" x14ac:dyDescent="0.45">
      <c r="A15" s="1" t="s">
        <v>160</v>
      </c>
      <c r="B15" s="7"/>
      <c r="C15" s="7"/>
      <c r="D15" s="1"/>
      <c r="E15" s="1"/>
      <c r="F15" s="1"/>
      <c r="G15" s="1"/>
    </row>
    <row r="16" spans="1:7" ht="14.25" x14ac:dyDescent="0.45">
      <c r="A16" s="1" t="s">
        <v>210</v>
      </c>
      <c r="B16" s="7">
        <v>1500</v>
      </c>
      <c r="C16" s="7"/>
      <c r="D16" s="1"/>
      <c r="E16" s="1"/>
      <c r="F16" s="1"/>
      <c r="G16" s="1"/>
    </row>
    <row r="17" spans="1:7" ht="14.25" x14ac:dyDescent="0.45">
      <c r="A17" s="1" t="s">
        <v>211</v>
      </c>
      <c r="B17" s="7">
        <v>65</v>
      </c>
      <c r="C17" s="7"/>
      <c r="D17" s="1"/>
      <c r="E17" s="1"/>
      <c r="F17" s="1"/>
      <c r="G17" s="1"/>
    </row>
    <row r="18" spans="1:7" ht="14.25" x14ac:dyDescent="0.45">
      <c r="A18" s="1" t="s">
        <v>165</v>
      </c>
      <c r="B18" s="7">
        <v>70</v>
      </c>
      <c r="C18" s="7"/>
      <c r="D18" s="1"/>
      <c r="E18" s="1"/>
      <c r="F18" s="1"/>
      <c r="G18" s="1"/>
    </row>
    <row r="19" spans="1:7" ht="14.25" x14ac:dyDescent="0.45">
      <c r="A19" s="1" t="s">
        <v>166</v>
      </c>
      <c r="B19" s="7">
        <v>58620</v>
      </c>
      <c r="C19" s="7"/>
    </row>
    <row r="20" spans="1:7" ht="14.25" x14ac:dyDescent="0.45">
      <c r="A20" s="1" t="s">
        <v>167</v>
      </c>
      <c r="B20" s="7"/>
      <c r="C20" s="5">
        <f>SUM(B16:B19)</f>
        <v>60255</v>
      </c>
    </row>
    <row r="21" spans="1:7" ht="14.25" x14ac:dyDescent="0.45">
      <c r="A21" s="1" t="s">
        <v>168</v>
      </c>
      <c r="B21" s="7"/>
      <c r="C21" s="7">
        <f>C6+C13+C20</f>
        <v>203361</v>
      </c>
    </row>
    <row r="22" spans="1:7" ht="14.25" x14ac:dyDescent="0.45">
      <c r="A22" s="1"/>
    </row>
    <row r="24" spans="1:7" ht="14.25" x14ac:dyDescent="0.45">
      <c r="D24" s="49">
        <f>C20/C4</f>
        <v>0.29629574992255153</v>
      </c>
      <c r="E24" s="1" t="s">
        <v>153</v>
      </c>
      <c r="F24" s="1"/>
      <c r="G24" s="1"/>
    </row>
    <row r="25" spans="1:7" ht="14.25" x14ac:dyDescent="0.45">
      <c r="D25" s="49">
        <v>0.15</v>
      </c>
      <c r="E25" s="1" t="s">
        <v>154</v>
      </c>
      <c r="F25" s="1"/>
      <c r="G25" s="1"/>
    </row>
    <row r="26" spans="1:7" ht="14.25" x14ac:dyDescent="0.45">
      <c r="D26" s="49">
        <f>D24-D25</f>
        <v>0.14629574992255154</v>
      </c>
      <c r="E26" s="1" t="s">
        <v>155</v>
      </c>
      <c r="F26" s="1"/>
      <c r="G26" s="21"/>
    </row>
    <row r="28" spans="1:7" ht="14.25" x14ac:dyDescent="0.45">
      <c r="A28" s="1" t="s">
        <v>232</v>
      </c>
      <c r="B28" s="7"/>
      <c r="C28" s="7"/>
      <c r="D28" s="22" t="s">
        <v>41</v>
      </c>
    </row>
    <row r="29" spans="1:7" ht="14.25" x14ac:dyDescent="0.45">
      <c r="A29" s="1" t="str">
        <f>SAO!C21</f>
        <v>Purchased Water</v>
      </c>
      <c r="B29" s="237">
        <f>SAO!D21</f>
        <v>492989</v>
      </c>
      <c r="C29" s="216"/>
      <c r="D29" s="217">
        <f>-SAO!D21*$D$26</f>
        <v>-72122.195458568764</v>
      </c>
      <c r="F29" s="223"/>
    </row>
    <row r="30" spans="1:7" ht="14.25" x14ac:dyDescent="0.45">
      <c r="A30" s="1" t="str">
        <f>SAO!C22</f>
        <v>Purchased Power</v>
      </c>
      <c r="B30" s="237">
        <f>SAO!D22</f>
        <v>32896</v>
      </c>
      <c r="C30" s="216"/>
      <c r="D30" s="217">
        <f>-SAO!D22*$D$26</f>
        <v>-4812.5449894522553</v>
      </c>
      <c r="F30" s="223"/>
    </row>
    <row r="31" spans="1:7" ht="14.25" x14ac:dyDescent="0.45">
      <c r="A31" s="1" t="str">
        <f>SAO!C23</f>
        <v>Chemicals</v>
      </c>
      <c r="B31" s="238">
        <f>SAO!D23</f>
        <v>0</v>
      </c>
      <c r="C31" s="218"/>
      <c r="D31" s="219">
        <f>-SAO!D23*$D$26</f>
        <v>0</v>
      </c>
    </row>
    <row r="32" spans="1:7" ht="14.25" x14ac:dyDescent="0.45">
      <c r="A32" s="1" t="s">
        <v>13</v>
      </c>
      <c r="B32" s="237">
        <f>SUM(B29:B31)</f>
        <v>525885</v>
      </c>
      <c r="C32" s="218"/>
      <c r="D32" s="237">
        <f>SUM(D29:D31)</f>
        <v>-76934.740448021024</v>
      </c>
    </row>
    <row r="33" spans="1:4" ht="14.25" x14ac:dyDescent="0.45">
      <c r="A33" s="1"/>
      <c r="B33" s="237"/>
      <c r="C33" s="218"/>
      <c r="D33" s="237"/>
    </row>
    <row r="34" spans="1:4" ht="14.25" x14ac:dyDescent="0.45">
      <c r="A34" s="1" t="s">
        <v>233</v>
      </c>
      <c r="B34" s="7"/>
      <c r="C34" s="218"/>
      <c r="D34" s="220"/>
    </row>
    <row r="35" spans="1:4" ht="14.25" x14ac:dyDescent="0.45">
      <c r="A35" s="1" t="s">
        <v>201</v>
      </c>
      <c r="B35" s="7"/>
      <c r="C35" s="218"/>
      <c r="D35" s="241">
        <f>D32</f>
        <v>-76934.740448021024</v>
      </c>
    </row>
    <row r="36" spans="1:4" ht="14.25" x14ac:dyDescent="0.45">
      <c r="A36" s="1" t="s">
        <v>204</v>
      </c>
      <c r="B36" s="7"/>
      <c r="C36" s="6"/>
      <c r="D36" s="31">
        <f>ExBA!D20</f>
        <v>19889</v>
      </c>
    </row>
    <row r="37" spans="1:4" ht="14.25" x14ac:dyDescent="0.45">
      <c r="A37" s="1" t="s">
        <v>202</v>
      </c>
      <c r="B37" s="7"/>
      <c r="C37" s="218"/>
      <c r="D37" s="217">
        <f>-D35/D36</f>
        <v>3.8682055632772401</v>
      </c>
    </row>
  </sheetData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H22"/>
  <sheetViews>
    <sheetView showGridLines="0" workbookViewId="0">
      <selection activeCell="N11" sqref="N11"/>
    </sheetView>
  </sheetViews>
  <sheetFormatPr defaultColWidth="8.88671875" defaultRowHeight="14.25" x14ac:dyDescent="0.45"/>
  <cols>
    <col min="1" max="1" width="3.0546875" style="26" customWidth="1"/>
    <col min="2" max="2" width="9.6640625" style="26" customWidth="1"/>
    <col min="3" max="3" width="11.109375" style="26" customWidth="1"/>
    <col min="4" max="4" width="8.44140625" style="26" customWidth="1"/>
    <col min="5" max="5" width="9.6640625" style="26" customWidth="1"/>
    <col min="6" max="6" width="9.6640625" style="26" hidden="1" customWidth="1"/>
    <col min="7" max="7" width="9.6640625" style="26" customWidth="1"/>
    <col min="8" max="8" width="9.6640625" style="244" customWidth="1"/>
    <col min="9" max="9" width="2.77734375" style="26" customWidth="1"/>
    <col min="10" max="10" width="2.5546875" style="26" customWidth="1"/>
    <col min="11" max="11" width="9.6640625" style="212" customWidth="1"/>
    <col min="12" max="190" width="9.6640625" style="26" customWidth="1"/>
    <col min="191" max="16384" width="8.88671875" style="17"/>
  </cols>
  <sheetData>
    <row r="1" spans="2:13" ht="14.65" thickBot="1" x14ac:dyDescent="0.5"/>
    <row r="2" spans="2:13" ht="18" customHeight="1" x14ac:dyDescent="0.55000000000000004">
      <c r="B2" s="306"/>
      <c r="C2" s="307"/>
      <c r="D2" s="307"/>
      <c r="E2" s="307"/>
      <c r="F2" s="307"/>
      <c r="G2" s="307"/>
      <c r="H2" s="307"/>
      <c r="I2" s="308"/>
    </row>
    <row r="3" spans="2:13" ht="18" hidden="1" customHeight="1" x14ac:dyDescent="0.55000000000000004">
      <c r="B3" s="324" t="s">
        <v>76</v>
      </c>
      <c r="C3" s="325"/>
      <c r="D3" s="325"/>
      <c r="E3" s="325"/>
      <c r="F3" s="325"/>
      <c r="G3" s="325"/>
      <c r="H3" s="325"/>
      <c r="I3" s="326"/>
    </row>
    <row r="4" spans="2:13" ht="18" customHeight="1" x14ac:dyDescent="0.45">
      <c r="B4" s="274"/>
      <c r="I4" s="275"/>
    </row>
    <row r="5" spans="2:13" ht="21" x14ac:dyDescent="0.65">
      <c r="B5" s="309" t="s">
        <v>54</v>
      </c>
      <c r="C5" s="310"/>
      <c r="D5" s="310"/>
      <c r="E5" s="310"/>
      <c r="F5" s="310"/>
      <c r="G5" s="310"/>
      <c r="H5" s="310"/>
      <c r="I5" s="311"/>
    </row>
    <row r="6" spans="2:13" ht="18" customHeight="1" x14ac:dyDescent="0.45">
      <c r="B6" s="312" t="s">
        <v>239</v>
      </c>
      <c r="C6" s="313"/>
      <c r="D6" s="313"/>
      <c r="E6" s="313"/>
      <c r="F6" s="313"/>
      <c r="G6" s="313"/>
      <c r="H6" s="313"/>
      <c r="I6" s="314"/>
    </row>
    <row r="7" spans="2:13" ht="6" customHeight="1" x14ac:dyDescent="0.45">
      <c r="B7" s="274"/>
      <c r="I7" s="275"/>
    </row>
    <row r="8" spans="2:13" hidden="1" x14ac:dyDescent="0.45">
      <c r="B8" s="274"/>
      <c r="I8" s="275"/>
    </row>
    <row r="9" spans="2:13" ht="18" x14ac:dyDescent="0.55000000000000004">
      <c r="B9" s="318" t="s">
        <v>58</v>
      </c>
      <c r="C9" s="319"/>
      <c r="D9" s="319"/>
      <c r="E9" s="319"/>
      <c r="F9" s="319"/>
      <c r="G9" s="319"/>
      <c r="H9" s="319"/>
      <c r="I9" s="320"/>
    </row>
    <row r="10" spans="2:13" ht="6" customHeight="1" x14ac:dyDescent="0.45">
      <c r="B10" s="274"/>
      <c r="I10" s="275"/>
    </row>
    <row r="11" spans="2:13" ht="30.4" customHeight="1" x14ac:dyDescent="0.75">
      <c r="B11" s="315" t="s">
        <v>81</v>
      </c>
      <c r="C11" s="316"/>
      <c r="D11" s="259" t="s">
        <v>55</v>
      </c>
      <c r="E11" s="259" t="s">
        <v>10</v>
      </c>
      <c r="F11" s="259"/>
      <c r="G11" s="317" t="s">
        <v>70</v>
      </c>
      <c r="H11" s="317"/>
      <c r="I11" s="276"/>
    </row>
    <row r="12" spans="2:13" x14ac:dyDescent="0.45">
      <c r="B12" s="277"/>
      <c r="C12" s="27" t="s">
        <v>212</v>
      </c>
      <c r="D12" s="29">
        <v>20.48</v>
      </c>
      <c r="E12" s="30">
        <f>ROUND(D12*(1+SAO!$G$56),2)</f>
        <v>22.82</v>
      </c>
      <c r="F12" s="29" t="e">
        <f>#REF!*(1+#REF!)</f>
        <v>#REF!</v>
      </c>
      <c r="G12" s="29">
        <f>E12-D12</f>
        <v>2.34</v>
      </c>
      <c r="H12" s="244">
        <f>G12/D12</f>
        <v>0.11425781249999999</v>
      </c>
      <c r="I12" s="278"/>
      <c r="L12" s="213"/>
      <c r="M12" s="213"/>
    </row>
    <row r="13" spans="2:13" x14ac:dyDescent="0.45">
      <c r="B13" s="277"/>
      <c r="C13" s="27" t="s">
        <v>213</v>
      </c>
      <c r="D13" s="29">
        <v>4.99</v>
      </c>
      <c r="E13" s="30">
        <f>ROUND(D13*(1+SAO!$G$56),2)</f>
        <v>5.56</v>
      </c>
      <c r="F13" s="29"/>
      <c r="G13" s="29">
        <f t="shared" ref="G13:G16" si="0">E13-D13</f>
        <v>0.5699999999999994</v>
      </c>
      <c r="H13" s="244">
        <f t="shared" ref="H13:H16" si="1">G13/D13</f>
        <v>0.11422845691382753</v>
      </c>
      <c r="I13" s="278"/>
      <c r="L13" s="213"/>
      <c r="M13" s="213"/>
    </row>
    <row r="14" spans="2:13" x14ac:dyDescent="0.45">
      <c r="B14" s="277"/>
      <c r="C14" s="27" t="s">
        <v>80</v>
      </c>
      <c r="D14" s="29">
        <v>4.78</v>
      </c>
      <c r="E14" s="30">
        <f>ROUND(D14*(1+SAO!$G$56),2)</f>
        <v>5.33</v>
      </c>
      <c r="F14" s="29"/>
      <c r="G14" s="29">
        <f t="shared" si="0"/>
        <v>0.54999999999999982</v>
      </c>
      <c r="H14" s="244">
        <f t="shared" si="1"/>
        <v>0.1150627615062761</v>
      </c>
      <c r="I14" s="278"/>
      <c r="L14" s="213"/>
      <c r="M14" s="213"/>
    </row>
    <row r="15" spans="2:13" x14ac:dyDescent="0.45">
      <c r="B15" s="277"/>
      <c r="C15" s="27" t="s">
        <v>214</v>
      </c>
      <c r="D15" s="29">
        <v>4.45</v>
      </c>
      <c r="E15" s="30">
        <f>ROUND(D15*(1+SAO!$G$56),2)</f>
        <v>4.96</v>
      </c>
      <c r="F15" s="29"/>
      <c r="G15" s="29">
        <f t="shared" ref="G15" si="2">E15-D15</f>
        <v>0.50999999999999979</v>
      </c>
      <c r="H15" s="244">
        <f t="shared" si="1"/>
        <v>0.11460674157303366</v>
      </c>
      <c r="I15" s="278"/>
      <c r="L15" s="213"/>
      <c r="M15" s="213"/>
    </row>
    <row r="16" spans="2:13" x14ac:dyDescent="0.45">
      <c r="B16" s="277"/>
      <c r="C16" s="27" t="s">
        <v>215</v>
      </c>
      <c r="D16" s="17">
        <v>4.05</v>
      </c>
      <c r="E16" s="30">
        <f>ROUND(D16*(1+SAO!$G$56),2)</f>
        <v>4.51</v>
      </c>
      <c r="F16" s="26" t="e">
        <f>#REF!*(1+#REF!)</f>
        <v>#REF!</v>
      </c>
      <c r="G16" s="29">
        <f t="shared" si="0"/>
        <v>0.45999999999999996</v>
      </c>
      <c r="H16" s="244">
        <f t="shared" si="1"/>
        <v>0.11358024691358025</v>
      </c>
      <c r="I16" s="278"/>
      <c r="L16" s="213"/>
      <c r="M16" s="213"/>
    </row>
    <row r="17" spans="2:13" x14ac:dyDescent="0.45">
      <c r="B17" s="277"/>
      <c r="D17" s="17"/>
      <c r="I17" s="275"/>
      <c r="L17" s="213"/>
      <c r="M17" s="213"/>
    </row>
    <row r="18" spans="2:13" ht="18" x14ac:dyDescent="0.55000000000000004">
      <c r="B18" s="321" t="s">
        <v>198</v>
      </c>
      <c r="C18" s="322"/>
      <c r="D18" s="322"/>
      <c r="E18" s="322"/>
      <c r="F18" s="322"/>
      <c r="G18" s="322"/>
      <c r="H18" s="322"/>
      <c r="I18" s="323"/>
    </row>
    <row r="19" spans="2:13" x14ac:dyDescent="0.45">
      <c r="B19" s="274"/>
      <c r="I19" s="275"/>
    </row>
    <row r="20" spans="2:13" ht="16.5" x14ac:dyDescent="0.75">
      <c r="B20" s="304" t="s">
        <v>199</v>
      </c>
      <c r="C20" s="305"/>
      <c r="D20" s="259" t="s">
        <v>55</v>
      </c>
      <c r="E20" s="259" t="s">
        <v>10</v>
      </c>
      <c r="G20" s="317" t="s">
        <v>70</v>
      </c>
      <c r="H20" s="317"/>
      <c r="I20" s="275"/>
    </row>
    <row r="21" spans="2:13" x14ac:dyDescent="0.45">
      <c r="B21" s="304" t="s">
        <v>200</v>
      </c>
      <c r="C21" s="305"/>
      <c r="D21" s="215">
        <v>0</v>
      </c>
      <c r="E21" s="215">
        <f>'Water Loss'!D37</f>
        <v>3.8682055632772401</v>
      </c>
      <c r="G21" s="29">
        <f>E21-D21</f>
        <v>3.8682055632772401</v>
      </c>
      <c r="H21" s="244">
        <v>1</v>
      </c>
      <c r="I21" s="275"/>
    </row>
    <row r="22" spans="2:13" ht="14.65" thickBot="1" x14ac:dyDescent="0.5">
      <c r="B22" s="279"/>
      <c r="C22" s="280"/>
      <c r="D22" s="280"/>
      <c r="E22" s="280"/>
      <c r="F22" s="280"/>
      <c r="G22" s="280"/>
      <c r="H22" s="281"/>
      <c r="I22" s="282"/>
    </row>
  </sheetData>
  <mergeCells count="11">
    <mergeCell ref="B20:C20"/>
    <mergeCell ref="B21:C21"/>
    <mergeCell ref="B2:I2"/>
    <mergeCell ref="B5:I5"/>
    <mergeCell ref="B6:I6"/>
    <mergeCell ref="B11:C11"/>
    <mergeCell ref="G11:H11"/>
    <mergeCell ref="G20:H20"/>
    <mergeCell ref="B9:I9"/>
    <mergeCell ref="B18:I18"/>
    <mergeCell ref="B3:I3"/>
  </mergeCells>
  <printOptions horizontalCentered="1"/>
  <pageMargins left="0.55000000000000004" right="0.55000000000000004" top="1.6" bottom="0.5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8</vt:i4>
      </vt:variant>
    </vt:vector>
  </HeadingPairs>
  <TitlesOfParts>
    <vt:vector size="22" baseType="lpstr">
      <vt:lpstr>SAO</vt:lpstr>
      <vt:lpstr>Wages</vt:lpstr>
      <vt:lpstr>Dental</vt:lpstr>
      <vt:lpstr>Contractors</vt:lpstr>
      <vt:lpstr>Depreciation</vt:lpstr>
      <vt:lpstr>Debt Service</vt:lpstr>
      <vt:lpstr>Capital</vt:lpstr>
      <vt:lpstr>Water Loss</vt:lpstr>
      <vt:lpstr>Rates</vt:lpstr>
      <vt:lpstr>Bills</vt:lpstr>
      <vt:lpstr>Bills with Surcharge</vt:lpstr>
      <vt:lpstr>ExBA</vt:lpstr>
      <vt:lpstr>PrBA</vt:lpstr>
      <vt:lpstr>Notice_R</vt:lpstr>
      <vt:lpstr>Bills!Print_Area</vt:lpstr>
      <vt:lpstr>Contractors!Print_Area</vt:lpstr>
      <vt:lpstr>'Debt Service'!Print_Area</vt:lpstr>
      <vt:lpstr>Depreciation!Print_Area</vt:lpstr>
      <vt:lpstr>ExBA!Print_Area</vt:lpstr>
      <vt:lpstr>PrBA!Print_Area</vt:lpstr>
      <vt:lpstr>Rates!Print_Area</vt:lpstr>
      <vt:lpstr>SAO!Print_Area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Robert Miller</cp:lastModifiedBy>
  <cp:lastPrinted>2022-04-19T15:40:23Z</cp:lastPrinted>
  <dcterms:created xsi:type="dcterms:W3CDTF">2016-05-18T14:12:06Z</dcterms:created>
  <dcterms:modified xsi:type="dcterms:W3CDTF">2022-04-19T18:57:19Z</dcterms:modified>
</cp:coreProperties>
</file>