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405" tabRatio="371" activeTab="0"/>
  </bookViews>
  <sheets>
    <sheet name="O &amp; M Rev" sheetId="1" r:id="rId1"/>
    <sheet name="Construction" sheetId="2" r:id="rId2"/>
  </sheet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Brooklyn Gamble</author>
    <author>Rachel Short</author>
  </authors>
  <commentList>
    <comment ref="Z4" authorId="0">
      <text>
        <r>
          <rPr>
            <b/>
            <sz val="9"/>
            <rFont val="Tahoma"/>
            <family val="2"/>
          </rPr>
          <t>Brooklyn Gamble:
O&amp;M Citizens 106240</t>
        </r>
      </text>
    </comment>
    <comment ref="F50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dormant account fee</t>
        </r>
      </text>
    </comment>
    <comment ref="S46" authorId="1">
      <text>
        <r>
          <rPr>
            <b/>
            <sz val="9"/>
            <rFont val="Tahoma"/>
            <family val="0"/>
          </rPr>
          <t>Rachel Short:</t>
        </r>
        <r>
          <rPr>
            <sz val="9"/>
            <rFont val="Tahoma"/>
            <family val="0"/>
          </rPr>
          <t xml:space="preserve">
Withers Realty
</t>
        </r>
      </text>
    </comment>
    <comment ref="S49" authorId="1">
      <text>
        <r>
          <rPr>
            <b/>
            <sz val="9"/>
            <rFont val="Tahoma"/>
            <family val="0"/>
          </rPr>
          <t>Rachel Short:</t>
        </r>
        <r>
          <rPr>
            <sz val="9"/>
            <rFont val="Tahoma"/>
            <family val="0"/>
          </rPr>
          <t xml:space="preserve">
Crossfield Center</t>
        </r>
      </text>
    </comment>
    <comment ref="D46" authorId="1">
      <text>
        <r>
          <rPr>
            <b/>
            <sz val="9"/>
            <rFont val="Tahoma"/>
            <family val="0"/>
          </rPr>
          <t>Rachel Short:</t>
        </r>
        <r>
          <rPr>
            <sz val="9"/>
            <rFont val="Tahoma"/>
            <family val="0"/>
          </rPr>
          <t xml:space="preserve">
Cashed in CD for $40,007.10; entered $7.10 as Interest above</t>
        </r>
      </text>
    </comment>
    <comment ref="Q55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per above</t>
        </r>
      </text>
    </comment>
    <comment ref="D44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Includes $5,500 in expenses that would typically be paid out of O&amp;M</t>
        </r>
      </text>
    </comment>
    <comment ref="F9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Paid out of Revenue account</t>
        </r>
      </text>
    </comment>
    <comment ref="AA9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Difference due to $4,500 for Customer Billing paid out of Revenue account</t>
        </r>
      </text>
    </comment>
    <comment ref="W12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Paid out of Revenue account</t>
        </r>
      </text>
    </comment>
    <comment ref="AA12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Difference due to $1,000 for Rent paid out of Revenue account</t>
        </r>
      </text>
    </comment>
    <comment ref="D48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Includes $233.39 for "DELUXE BUS SYS. BUS PRODS" - included in office supplies when entering TB</t>
        </r>
      </text>
    </comment>
    <comment ref="Y24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Typically linked to Construction expenses on the next tab, but in the CY, activity in the Construction account was adjusted for after the TB was entered</t>
        </r>
      </text>
    </comment>
    <comment ref="J37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Typically linked to Construction deposits on the next tab, but in the CY, activity in the Construction account was adjusted for after the TB was entered</t>
        </r>
      </text>
    </comment>
    <comment ref="K19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"DELUXE BUS SYS. BUS PRODS" from Revenue account - see Miscellaneous/Bank fees below</t>
        </r>
      </text>
    </comment>
    <comment ref="H48" authorId="1">
      <text>
        <r>
          <rPr>
            <b/>
            <sz val="9"/>
            <rFont val="Tahoma"/>
            <family val="2"/>
          </rPr>
          <t>Rachel Short:</t>
        </r>
        <r>
          <rPr>
            <sz val="9"/>
            <rFont val="Tahoma"/>
            <family val="2"/>
          </rPr>
          <t xml:space="preserve">
Backed out "DELUXE BUS SYS. BUS PRODS" included in office supplies above</t>
        </r>
      </text>
    </comment>
  </commentList>
</comments>
</file>

<file path=xl/sharedStrings.xml><?xml version="1.0" encoding="utf-8"?>
<sst xmlns="http://schemas.openxmlformats.org/spreadsheetml/2006/main" count="145" uniqueCount="109">
  <si>
    <t>South Woodford Water District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</si>
  <si>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</si>
  <si>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</si>
  <si>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</si>
  <si>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</si>
  <si>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</si>
  <si>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</si>
  <si>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</si>
  <si>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</si>
  <si>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</si>
  <si>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</si>
  <si>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</si>
  <si>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</si>
  <si>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Water</t>
  </si>
  <si>
    <t>Utility Tax</t>
  </si>
  <si>
    <t>Utilities</t>
  </si>
  <si>
    <t xml:space="preserve">Meter  </t>
  </si>
  <si>
    <t>Reading</t>
  </si>
  <si>
    <t>Customer</t>
  </si>
  <si>
    <t>Bill</t>
  </si>
  <si>
    <t>Ins</t>
  </si>
  <si>
    <t>R &amp; M</t>
  </si>
  <si>
    <t>Acc/Legal</t>
  </si>
  <si>
    <t>Comm</t>
  </si>
  <si>
    <t>Salary</t>
  </si>
  <si>
    <t xml:space="preserve">Office </t>
  </si>
  <si>
    <t>Supplies</t>
  </si>
  <si>
    <t>Fees</t>
  </si>
  <si>
    <t>Misc</t>
  </si>
  <si>
    <t>PSC</t>
  </si>
  <si>
    <t>New Const</t>
  </si>
  <si>
    <t>Refunds</t>
  </si>
  <si>
    <t>Fouser</t>
  </si>
  <si>
    <t>Material</t>
  </si>
  <si>
    <t>Compt</t>
  </si>
  <si>
    <t>Postage</t>
  </si>
  <si>
    <t>Taxes</t>
  </si>
  <si>
    <t>Deposits</t>
  </si>
  <si>
    <t>Payments</t>
  </si>
  <si>
    <t>Meter</t>
  </si>
  <si>
    <t>Interest</t>
  </si>
  <si>
    <t>Total</t>
  </si>
  <si>
    <t>Salaries</t>
  </si>
  <si>
    <t>Rent</t>
  </si>
  <si>
    <t>Per Bank</t>
  </si>
  <si>
    <t>Charge Backs to Revenue Account</t>
  </si>
  <si>
    <t>Interest:</t>
  </si>
  <si>
    <t>Reserve</t>
  </si>
  <si>
    <t>CD's</t>
  </si>
  <si>
    <t>732001 Const</t>
  </si>
  <si>
    <t>Per Bank Statement</t>
  </si>
  <si>
    <t>Construction Ledger Breakdown</t>
  </si>
  <si>
    <t>cash balance</t>
  </si>
  <si>
    <t>Transfer In</t>
  </si>
  <si>
    <t>Refund</t>
  </si>
  <si>
    <t>beg balance</t>
  </si>
  <si>
    <t>transfer</t>
  </si>
  <si>
    <t>Internet</t>
  </si>
  <si>
    <t>B&amp;I Payments</t>
  </si>
  <si>
    <t>Transfers</t>
  </si>
  <si>
    <t>Unknown Rev</t>
  </si>
  <si>
    <t>Safe Deposit</t>
  </si>
  <si>
    <t>Service Fees</t>
  </si>
  <si>
    <t>Beginning Balance</t>
  </si>
  <si>
    <t>Ending Balance</t>
  </si>
  <si>
    <t>Bond</t>
  </si>
  <si>
    <t>Revenue</t>
  </si>
  <si>
    <t>Chargebacks to Rev</t>
  </si>
  <si>
    <t>Miscellaneous fees</t>
  </si>
  <si>
    <t>Testing</t>
  </si>
  <si>
    <t>Total expenses</t>
  </si>
  <si>
    <t xml:space="preserve">Bond </t>
  </si>
  <si>
    <t>Total Bank fees</t>
  </si>
  <si>
    <t>rev out to B&amp;I</t>
  </si>
  <si>
    <t>rev out to O&amp;M</t>
  </si>
  <si>
    <t>rev out to res</t>
  </si>
  <si>
    <t>TRANSFERS</t>
  </si>
  <si>
    <t>transfer to B&amp;I</t>
  </si>
  <si>
    <t>transfer to res</t>
  </si>
  <si>
    <t>transfer to 1729</t>
  </si>
  <si>
    <t>per unadj tb</t>
  </si>
  <si>
    <t>diff</t>
  </si>
  <si>
    <t>501729 Operations</t>
  </si>
  <si>
    <t>Const</t>
  </si>
  <si>
    <t>rev out to 1729</t>
  </si>
  <si>
    <t>ex paid out of rev</t>
  </si>
  <si>
    <t>Beg Bal</t>
  </si>
  <si>
    <t>Obtained cash account balances from client's cash ledger book and bank statements</t>
  </si>
  <si>
    <t>Checks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</si>
  <si>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</si>
  <si>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</si>
  <si>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</si>
  <si>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</si>
  <si>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</si>
  <si>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</si>
  <si>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</si>
  <si>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</si>
  <si>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</si>
  <si>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</si>
  <si>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</si>
  <si>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Total </t>
  </si>
  <si>
    <t>HMB Engineers</t>
  </si>
  <si>
    <t>Abbico Contracting, LLC</t>
  </si>
  <si>
    <t>KY Dept. of Treasury</t>
  </si>
  <si>
    <t>AJE: To record activity in New Construction cash account</t>
  </si>
  <si>
    <t>5033 Bank Fees</t>
  </si>
  <si>
    <t>1612 CIP</t>
  </si>
  <si>
    <t>4045 Line Relocation Revenue</t>
  </si>
  <si>
    <t>1128 New Construction 1998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</si>
</sst>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m/d/yy;@"/>
    <numFmt numFmtId="175" formatCode="[$-409]mmmm\ d\,\ yyyy;@"/>
    <numFmt numFmtId="176" formatCode="[$-409]h:mm:ss\ AM/PM"/>
    <numFmt numFmtId="177" formatCode="#,##0.0_);\(#,##0.0\)"/>
  </numFmts>
  <fonts count="50">
    <font>
      <sz val="10"/>
      <name val="Arial"/>
      <family val="0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sz val="9"/>
      <name val="Tahoma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3" fillId="0" borderId="0" xfId="42" applyFont="1" applyAlignment="1">
      <alignment/>
    </xf>
    <xf numFmtId="12" fontId="0" fillId="0" borderId="0" xfId="42" applyNumberFormat="1" applyFont="1" applyAlignment="1">
      <alignment/>
    </xf>
    <xf numFmtId="43" fontId="1" fillId="0" borderId="0" xfId="42" applyFont="1" applyAlignment="1">
      <alignment/>
    </xf>
    <xf numFmtId="9" fontId="0" fillId="0" borderId="0" xfId="64" applyFont="1" applyAlignment="1">
      <alignment/>
    </xf>
    <xf numFmtId="43" fontId="0" fillId="0" borderId="0" xfId="42" applyFont="1" applyAlignment="1">
      <alignment horizontal="center"/>
    </xf>
    <xf numFmtId="43" fontId="1" fillId="0" borderId="0" xfId="42" applyFont="1" applyAlignment="1">
      <alignment horizontal="center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14" fontId="0" fillId="0" borderId="0" xfId="42" applyNumberFormat="1" applyFont="1" applyAlignment="1">
      <alignment/>
    </xf>
    <xf numFmtId="13" fontId="0" fillId="0" borderId="0" xfId="42" applyNumberFormat="1" applyFont="1" applyAlignment="1">
      <alignment/>
    </xf>
    <xf numFmtId="43" fontId="1" fillId="0" borderId="0" xfId="42" applyFont="1" applyAlignment="1">
      <alignment/>
    </xf>
    <xf numFmtId="43" fontId="0" fillId="0" borderId="0" xfId="45" applyAlignment="1">
      <alignment/>
    </xf>
    <xf numFmtId="14" fontId="0" fillId="0" borderId="0" xfId="42" applyNumberFormat="1" applyFont="1" applyAlignment="1">
      <alignment/>
    </xf>
    <xf numFmtId="0" fontId="47" fillId="0" borderId="0" xfId="0" applyFont="1" applyAlignment="1">
      <alignment/>
    </xf>
    <xf numFmtId="43" fontId="0" fillId="0" borderId="0" xfId="45" applyFont="1" applyAlignment="1">
      <alignment/>
    </xf>
    <xf numFmtId="173" fontId="0" fillId="0" borderId="0" xfId="0" applyNumberFormat="1" applyFont="1" applyAlignment="1">
      <alignment horizontal="right"/>
    </xf>
    <xf numFmtId="167" fontId="0" fillId="0" borderId="0" xfId="42" applyNumberFormat="1" applyFont="1" applyAlignment="1">
      <alignment/>
    </xf>
    <xf numFmtId="43" fontId="0" fillId="0" borderId="0" xfId="42" applyFont="1" applyAlignment="1">
      <alignment horizontal="center"/>
    </xf>
    <xf numFmtId="43" fontId="0" fillId="0" borderId="0" xfId="0" applyNumberFormat="1" applyFont="1" applyAlignment="1">
      <alignment/>
    </xf>
    <xf numFmtId="43" fontId="1" fillId="0" borderId="0" xfId="42" applyFont="1" applyAlignment="1">
      <alignment horizontal="left"/>
    </xf>
    <xf numFmtId="1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9" fillId="0" borderId="0" xfId="0" applyFont="1" applyAlignment="1">
      <alignment/>
    </xf>
    <xf numFmtId="43" fontId="0" fillId="0" borderId="0" xfId="64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43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43" fontId="0" fillId="0" borderId="0" xfId="45" applyFill="1" applyAlignment="1">
      <alignment/>
    </xf>
    <xf numFmtId="43" fontId="0" fillId="0" borderId="0" xfId="46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ill="1" applyAlignment="1">
      <alignment/>
    </xf>
    <xf numFmtId="43" fontId="0" fillId="0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5" applyFont="1" applyFill="1" applyAlignment="1">
      <alignment/>
    </xf>
    <xf numFmtId="12" fontId="0" fillId="0" borderId="0" xfId="42" applyNumberFormat="1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1" fillId="0" borderId="0" xfId="45" applyFont="1" applyFill="1" applyAlignment="1">
      <alignment/>
    </xf>
    <xf numFmtId="43" fontId="1" fillId="0" borderId="0" xfId="46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Fill="1" applyBorder="1" applyAlignment="1">
      <alignment/>
    </xf>
    <xf numFmtId="43" fontId="1" fillId="0" borderId="11" xfId="42" applyFont="1" applyFill="1" applyBorder="1" applyAlignment="1">
      <alignment/>
    </xf>
    <xf numFmtId="43" fontId="0" fillId="0" borderId="12" xfId="42" applyFont="1" applyFill="1" applyBorder="1" applyAlignment="1">
      <alignment/>
    </xf>
    <xf numFmtId="43" fontId="0" fillId="0" borderId="13" xfId="42" applyFont="1" applyFill="1" applyBorder="1" applyAlignment="1">
      <alignment/>
    </xf>
    <xf numFmtId="43" fontId="0" fillId="0" borderId="11" xfId="42" applyFont="1" applyFill="1" applyBorder="1" applyAlignment="1">
      <alignment horizontal="center"/>
    </xf>
    <xf numFmtId="43" fontId="0" fillId="0" borderId="0" xfId="42" applyFont="1" applyFill="1" applyAlignment="1">
      <alignment horizontal="center"/>
    </xf>
    <xf numFmtId="43" fontId="0" fillId="0" borderId="11" xfId="42" applyFon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11" xfId="42" applyFont="1" applyFill="1" applyBorder="1" applyAlignment="1">
      <alignment/>
    </xf>
    <xf numFmtId="0" fontId="0" fillId="0" borderId="0" xfId="0" applyFont="1" applyFill="1" applyAlignment="1">
      <alignment horizontal="center"/>
    </xf>
    <xf numFmtId="43" fontId="0" fillId="0" borderId="14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43" fontId="0" fillId="0" borderId="16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43" fontId="0" fillId="0" borderId="17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1" fillId="0" borderId="10" xfId="42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0" xfId="64" applyNumberFormat="1" applyFill="1" applyAlignment="1">
      <alignment/>
    </xf>
    <xf numFmtId="43" fontId="9" fillId="0" borderId="0" xfId="42" applyFont="1" applyFill="1" applyAlignment="1">
      <alignment/>
    </xf>
    <xf numFmtId="43" fontId="0" fillId="0" borderId="0" xfId="42" applyFont="1" applyFill="1" applyAlignment="1">
      <alignment horizontal="center"/>
    </xf>
    <xf numFmtId="43" fontId="0" fillId="0" borderId="0" xfId="42" applyFont="1" applyFill="1" applyAlignment="1">
      <alignment/>
    </xf>
    <xf numFmtId="43" fontId="1" fillId="0" borderId="0" xfId="42" applyFont="1" applyFill="1" applyAlignment="1">
      <alignment horizontal="center"/>
    </xf>
    <xf numFmtId="43" fontId="0" fillId="0" borderId="15" xfId="42" applyFont="1" applyFill="1" applyBorder="1" applyAlignment="1">
      <alignment/>
    </xf>
    <xf numFmtId="43" fontId="0" fillId="0" borderId="12" xfId="42" applyFont="1" applyFill="1" applyBorder="1" applyAlignment="1">
      <alignment/>
    </xf>
    <xf numFmtId="43" fontId="0" fillId="0" borderId="17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6" xfId="42" applyFont="1" applyFill="1" applyBorder="1" applyAlignment="1">
      <alignment/>
    </xf>
    <xf numFmtId="14" fontId="0" fillId="0" borderId="0" xfId="0" applyNumberFormat="1" applyAlignment="1">
      <alignment horizontal="left"/>
    </xf>
    <xf numFmtId="0" fontId="9" fillId="0" borderId="0" xfId="0" applyFont="1" applyFill="1" applyAlignment="1">
      <alignment horizontal="center"/>
    </xf>
    <xf numFmtId="43" fontId="0" fillId="0" borderId="0" xfId="0" applyNumberFormat="1" applyFill="1" applyAlignment="1">
      <alignment horizontal="right"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43" fontId="0" fillId="0" borderId="0" xfId="45" applyFont="1" applyFill="1" applyAlignment="1">
      <alignment/>
    </xf>
    <xf numFmtId="14" fontId="3" fillId="0" borderId="0" xfId="0" applyNumberFormat="1" applyFont="1" applyFill="1" applyAlignment="1">
      <alignment/>
    </xf>
    <xf numFmtId="43" fontId="1" fillId="0" borderId="0" xfId="45" applyFont="1" applyFill="1" applyAlignment="1">
      <alignment/>
    </xf>
    <xf numFmtId="0" fontId="10" fillId="0" borderId="0" xfId="0" applyFon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42" applyNumberFormat="1" applyFont="1" applyFill="1" applyAlignment="1">
      <alignment horizontal="center"/>
    </xf>
    <xf numFmtId="39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39" fontId="0" fillId="0" borderId="0" xfId="45" applyNumberFormat="1" applyFont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9" fontId="0" fillId="0" borderId="0" xfId="45" applyNumberFormat="1" applyAlignment="1">
      <alignment/>
    </xf>
    <xf numFmtId="39" fontId="0" fillId="0" borderId="15" xfId="0" applyNumberFormat="1" applyBorder="1" applyAlignment="1">
      <alignment/>
    </xf>
    <xf numFmtId="39" fontId="0" fillId="0" borderId="15" xfId="45" applyNumberFormat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8" fillId="0" borderId="0" xfId="0" applyFont="1" applyFill="1" applyAlignment="1">
      <alignment/>
    </xf>
    <xf numFmtId="43" fontId="1" fillId="0" borderId="11" xfId="42" applyFont="1" applyFill="1" applyBorder="1" applyAlignment="1">
      <alignment/>
    </xf>
    <xf numFmtId="37" fontId="0" fillId="33" borderId="0" xfId="0" applyNumberFormat="1" applyFill="1" applyAlignment="1">
      <alignment/>
    </xf>
    <xf numFmtId="37" fontId="0" fillId="33" borderId="15" xfId="0" applyNumberFormat="1" applyFill="1" applyBorder="1" applyAlignment="1">
      <alignment/>
    </xf>
    <xf numFmtId="37" fontId="0" fillId="0" borderId="0" xfId="0" applyNumberFormat="1" applyAlignment="1">
      <alignment/>
    </xf>
    <xf numFmtId="43" fontId="0" fillId="0" borderId="0" xfId="42" applyFont="1" applyFill="1" applyAlignment="1" quotePrefix="1">
      <alignment/>
    </xf>
    <xf numFmtId="167" fontId="0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167" fontId="0" fillId="0" borderId="0" xfId="42" applyNumberFormat="1" applyFont="1" applyFill="1" applyAlignment="1" quotePrefix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Percent 3" xfId="66"/>
    <cellStyle name="Percent 4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66675</xdr:rowOff>
    </xdr:from>
    <xdr:to>
      <xdr:col>5</xdr:col>
      <xdr:colOff>371475</xdr:colOff>
      <xdr:row>5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52775" y="228600"/>
          <a:ext cx="16668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was scheduled from bank statements and adjusted.
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19050</xdr:colOff>
      <xdr:row>43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00650" y="6505575"/>
          <a:ext cx="3743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All disbursements will be scheduled on the L&amp;U WP and examined to ensure they are classified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appropriately.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9.140625" style="0" customWidth="1"/>
    <col min="2" max="2" width="16.7109375" style="0" bestFit="1" customWidth="1"/>
    <col min="3" max="3" width="12.8515625" style="0" bestFit="1" customWidth="1"/>
    <col min="4" max="4" width="13.00390625" style="0" customWidth="1"/>
    <col min="5" max="5" width="18.00390625" style="0" customWidth="1"/>
    <col min="6" max="6" width="12.00390625" style="0" bestFit="1" customWidth="1"/>
    <col min="7" max="7" width="12.8515625" style="0" bestFit="1" customWidth="1"/>
    <col min="8" max="8" width="12.57421875" style="0" customWidth="1"/>
    <col min="9" max="9" width="11.57421875" style="0" customWidth="1"/>
    <col min="10" max="10" width="12.8515625" style="0" bestFit="1" customWidth="1"/>
    <col min="11" max="11" width="12.00390625" style="0" customWidth="1"/>
    <col min="12" max="12" width="11.28125" style="0" bestFit="1" customWidth="1"/>
    <col min="13" max="13" width="11.00390625" style="0" customWidth="1"/>
    <col min="14" max="14" width="12.140625" style="0" customWidth="1"/>
    <col min="15" max="15" width="13.140625" style="0" customWidth="1"/>
    <col min="16" max="16" width="14.7109375" style="0" customWidth="1"/>
    <col min="17" max="17" width="15.421875" style="0" customWidth="1"/>
    <col min="18" max="18" width="14.8515625" style="0" customWidth="1"/>
    <col min="19" max="19" width="17.28125" style="0" bestFit="1" customWidth="1"/>
    <col min="20" max="20" width="10.421875" style="0" customWidth="1"/>
    <col min="21" max="21" width="11.28125" style="0" bestFit="1" customWidth="1"/>
    <col min="22" max="22" width="12.00390625" style="0" customWidth="1"/>
    <col min="23" max="23" width="10.28125" style="0" bestFit="1" customWidth="1"/>
    <col min="24" max="24" width="10.28125" style="0" customWidth="1"/>
    <col min="25" max="25" width="12.8515625" style="0" bestFit="1" customWidth="1"/>
    <col min="26" max="26" width="17.7109375" style="0" customWidth="1"/>
    <col min="27" max="27" width="11.00390625" style="0" customWidth="1"/>
    <col min="28" max="28" width="12.8515625" style="0" bestFit="1" customWidth="1"/>
    <col min="29" max="29" width="1.421875" style="36" customWidth="1"/>
    <col min="30" max="30" width="11.00390625" style="0" bestFit="1" customWidth="1"/>
    <col min="31" max="31" width="11.28125" style="0" bestFit="1" customWidth="1"/>
    <col min="32" max="32" width="11.140625" style="0" bestFit="1" customWidth="1"/>
  </cols>
  <sheetData>
    <row r="1" spans="1:7" ht="12.75">
      <c r="A1" t="s">
        <v>0</v>
      </c>
      <c r="F1" s="36"/>
      <c r="G1" s="36"/>
    </row>
    <row r="2" ht="12.75"/>
    <row r="3" spans="5:30" ht="12.75">
      <c r="E3" t="s">
        <v>16</v>
      </c>
      <c r="F3" t="s">
        <v>18</v>
      </c>
      <c r="J3" t="s">
        <v>23</v>
      </c>
      <c r="K3" t="s">
        <v>25</v>
      </c>
      <c r="AD3" s="7" t="s">
        <v>55</v>
      </c>
    </row>
    <row r="4" spans="2:32" ht="12.75">
      <c r="B4" t="s">
        <v>13</v>
      </c>
      <c r="C4" t="s">
        <v>14</v>
      </c>
      <c r="D4" t="s">
        <v>15</v>
      </c>
      <c r="E4" t="s">
        <v>17</v>
      </c>
      <c r="F4" t="s">
        <v>19</v>
      </c>
      <c r="G4" t="s">
        <v>20</v>
      </c>
      <c r="H4" t="s">
        <v>21</v>
      </c>
      <c r="I4" t="s">
        <v>22</v>
      </c>
      <c r="J4" t="s">
        <v>24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42</v>
      </c>
      <c r="W4" t="s">
        <v>43</v>
      </c>
      <c r="X4" t="s">
        <v>69</v>
      </c>
      <c r="Y4" t="s">
        <v>41</v>
      </c>
      <c r="Z4" s="1" t="s">
        <v>50</v>
      </c>
      <c r="AB4" t="s">
        <v>56</v>
      </c>
      <c r="AD4" s="40">
        <v>5490.87</v>
      </c>
      <c r="AF4" s="2"/>
    </row>
    <row r="5" spans="1:33" s="36" customFormat="1" ht="12.75">
      <c r="A5" s="36" t="s">
        <v>1</v>
      </c>
      <c r="B5" s="35">
        <v>42792.86</v>
      </c>
      <c r="C5" s="35">
        <v>2262.93</v>
      </c>
      <c r="D5" s="35">
        <v>2096.38</v>
      </c>
      <c r="E5" s="35">
        <v>2502</v>
      </c>
      <c r="F5" s="35">
        <v>6965.2</v>
      </c>
      <c r="G5" s="35">
        <v>1084.76</v>
      </c>
      <c r="H5" s="35">
        <v>8515.9</v>
      </c>
      <c r="I5" s="35">
        <v>0</v>
      </c>
      <c r="J5" s="35">
        <v>536.1</v>
      </c>
      <c r="K5" s="35">
        <v>1130.49</v>
      </c>
      <c r="L5" s="35">
        <v>991.4</v>
      </c>
      <c r="M5" s="35">
        <v>105</v>
      </c>
      <c r="N5" s="35">
        <v>0</v>
      </c>
      <c r="O5" s="35">
        <v>1030</v>
      </c>
      <c r="P5" s="35">
        <v>355.53</v>
      </c>
      <c r="Q5" s="35">
        <v>0</v>
      </c>
      <c r="R5" s="35">
        <v>0</v>
      </c>
      <c r="S5" s="35">
        <v>0</v>
      </c>
      <c r="T5" s="35">
        <v>600</v>
      </c>
      <c r="U5" s="35">
        <v>4351.5</v>
      </c>
      <c r="V5" s="35">
        <v>0</v>
      </c>
      <c r="W5" s="35">
        <v>2000</v>
      </c>
      <c r="X5" s="35">
        <v>350</v>
      </c>
      <c r="Y5" s="35">
        <f>SUM(B5:X5)</f>
        <v>77670.05</v>
      </c>
      <c r="Z5" s="35">
        <f>74357.74+3312.31</f>
        <v>77670.05</v>
      </c>
      <c r="AA5" s="34">
        <f>Y5-Z5</f>
        <v>0</v>
      </c>
      <c r="AB5" s="35">
        <v>74000</v>
      </c>
      <c r="AD5" s="34">
        <f>+AD4-Z5+AB5</f>
        <v>1820.8199999999924</v>
      </c>
      <c r="AE5" s="35"/>
      <c r="AF5" s="35"/>
      <c r="AG5" s="49"/>
    </row>
    <row r="6" spans="1:32" s="36" customFormat="1" ht="12.75">
      <c r="A6" s="36" t="s">
        <v>2</v>
      </c>
      <c r="B6" s="35">
        <v>44967.72</v>
      </c>
      <c r="C6" s="35">
        <v>2061.3</v>
      </c>
      <c r="D6" s="35">
        <v>2762.82</v>
      </c>
      <c r="E6" s="35">
        <v>2562</v>
      </c>
      <c r="F6" s="35">
        <v>4500</v>
      </c>
      <c r="G6" s="35">
        <v>94.38</v>
      </c>
      <c r="H6" s="35">
        <v>11540</v>
      </c>
      <c r="I6" s="35">
        <v>0</v>
      </c>
      <c r="J6" s="35">
        <v>804.15</v>
      </c>
      <c r="K6" s="35">
        <v>430.08</v>
      </c>
      <c r="L6" s="35">
        <v>0</v>
      </c>
      <c r="M6" s="35">
        <v>105</v>
      </c>
      <c r="N6" s="35">
        <v>0</v>
      </c>
      <c r="O6" s="35">
        <v>1030</v>
      </c>
      <c r="P6" s="35">
        <v>75</v>
      </c>
      <c r="Q6" s="35">
        <v>220</v>
      </c>
      <c r="R6" s="35">
        <v>974.81</v>
      </c>
      <c r="S6" s="35">
        <v>0</v>
      </c>
      <c r="T6" s="35">
        <v>710</v>
      </c>
      <c r="U6" s="35">
        <v>0</v>
      </c>
      <c r="V6" s="35">
        <v>2466.2</v>
      </c>
      <c r="W6" s="35">
        <v>1000</v>
      </c>
      <c r="X6" s="35">
        <v>820</v>
      </c>
      <c r="Y6" s="35">
        <f>SUM(B6:X6)</f>
        <v>77123.45999999999</v>
      </c>
      <c r="Z6" s="35">
        <f>74908.13+2215.33</f>
        <v>77123.46</v>
      </c>
      <c r="AA6" s="34">
        <f aca="true" t="shared" si="0" ref="AA6:AA14">Y6-Z6</f>
        <v>0</v>
      </c>
      <c r="AB6" s="35">
        <v>82000</v>
      </c>
      <c r="AD6" s="34">
        <f aca="true" t="shared" si="1" ref="AD6:AD14">+AD5-Z6+AB6</f>
        <v>6697.359999999986</v>
      </c>
      <c r="AE6" s="35"/>
      <c r="AF6" s="35"/>
    </row>
    <row r="7" spans="1:32" s="36" customFormat="1" ht="12.75">
      <c r="A7" s="36" t="s">
        <v>3</v>
      </c>
      <c r="B7" s="35">
        <v>46509.98</v>
      </c>
      <c r="C7" s="35">
        <v>1977.3</v>
      </c>
      <c r="D7" s="35">
        <v>3057.13</v>
      </c>
      <c r="E7" s="35">
        <v>2462</v>
      </c>
      <c r="F7" s="35">
        <v>4500</v>
      </c>
      <c r="G7" s="35">
        <v>2068.24</v>
      </c>
      <c r="H7" s="35">
        <v>4860</v>
      </c>
      <c r="I7" s="35">
        <v>60</v>
      </c>
      <c r="J7" s="35">
        <v>804.15</v>
      </c>
      <c r="K7" s="35">
        <v>165.2</v>
      </c>
      <c r="L7" s="35">
        <v>0</v>
      </c>
      <c r="M7" s="35">
        <v>105</v>
      </c>
      <c r="N7" s="35">
        <v>0</v>
      </c>
      <c r="O7" s="35">
        <v>0</v>
      </c>
      <c r="P7" s="35">
        <v>0</v>
      </c>
      <c r="Q7" s="35">
        <v>520</v>
      </c>
      <c r="R7" s="37">
        <v>0</v>
      </c>
      <c r="S7" s="37">
        <v>0</v>
      </c>
      <c r="T7" s="35">
        <v>0</v>
      </c>
      <c r="U7" s="35">
        <v>0</v>
      </c>
      <c r="V7" s="35">
        <v>2056.74</v>
      </c>
      <c r="W7" s="35">
        <v>1000</v>
      </c>
      <c r="X7" s="35">
        <v>350</v>
      </c>
      <c r="Y7" s="35">
        <f>SUM(B7:X7)</f>
        <v>70495.74</v>
      </c>
      <c r="Z7" s="35">
        <f>68518.44+1977.3</f>
        <v>70495.74</v>
      </c>
      <c r="AA7" s="34">
        <f t="shared" si="0"/>
        <v>0</v>
      </c>
      <c r="AB7" s="35">
        <v>72000</v>
      </c>
      <c r="AD7" s="34">
        <f t="shared" si="1"/>
        <v>8201.61999999998</v>
      </c>
      <c r="AE7" s="35"/>
      <c r="AF7" s="35"/>
    </row>
    <row r="8" spans="1:32" s="36" customFormat="1" ht="12.75">
      <c r="A8" s="36" t="s">
        <v>4</v>
      </c>
      <c r="B8" s="35">
        <v>37486.29</v>
      </c>
      <c r="C8" s="37">
        <v>1983.89</v>
      </c>
      <c r="D8" s="35">
        <v>2320.38</v>
      </c>
      <c r="E8" s="35">
        <v>2562</v>
      </c>
      <c r="F8" s="35">
        <v>4500</v>
      </c>
      <c r="G8" s="35">
        <v>92.08</v>
      </c>
      <c r="H8" s="35">
        <v>9787.95</v>
      </c>
      <c r="I8" s="35">
        <v>0</v>
      </c>
      <c r="J8" s="35">
        <v>804.15</v>
      </c>
      <c r="K8" s="35">
        <v>0</v>
      </c>
      <c r="L8" s="35">
        <v>0</v>
      </c>
      <c r="M8" s="35">
        <v>170.82</v>
      </c>
      <c r="N8" s="35">
        <v>0</v>
      </c>
      <c r="O8" s="37">
        <v>1800</v>
      </c>
      <c r="P8" s="37">
        <v>225.29</v>
      </c>
      <c r="Q8" s="37">
        <v>100</v>
      </c>
      <c r="R8" s="37">
        <v>0</v>
      </c>
      <c r="S8" s="37">
        <v>0</v>
      </c>
      <c r="T8" s="35">
        <v>600</v>
      </c>
      <c r="U8" s="37">
        <v>3941.6</v>
      </c>
      <c r="V8" s="37">
        <v>2230.14</v>
      </c>
      <c r="W8" s="37">
        <v>1000</v>
      </c>
      <c r="X8" s="37">
        <v>550</v>
      </c>
      <c r="Y8" s="35">
        <f aca="true" t="shared" si="2" ref="Y8:Y16">SUM(B8:X8)</f>
        <v>70154.59</v>
      </c>
      <c r="Z8" s="35">
        <f>67466.3+2688.29</f>
        <v>70154.59</v>
      </c>
      <c r="AA8" s="34">
        <f>Y8-Z8</f>
        <v>0</v>
      </c>
      <c r="AB8" s="35">
        <v>76000</v>
      </c>
      <c r="AC8" s="35"/>
      <c r="AD8" s="34">
        <f t="shared" si="1"/>
        <v>14047.029999999984</v>
      </c>
      <c r="AE8" s="35"/>
      <c r="AF8" s="35"/>
    </row>
    <row r="9" spans="1:32" s="36" customFormat="1" ht="12.75">
      <c r="A9" s="36" t="s">
        <v>5</v>
      </c>
      <c r="B9" s="35">
        <v>36172.15</v>
      </c>
      <c r="C9" s="37">
        <v>1746.31</v>
      </c>
      <c r="D9" s="35">
        <v>2570.87</v>
      </c>
      <c r="E9" s="37">
        <v>2502</v>
      </c>
      <c r="F9" s="35">
        <v>4500</v>
      </c>
      <c r="G9" s="35">
        <v>2424.18</v>
      </c>
      <c r="H9" s="37">
        <v>4915</v>
      </c>
      <c r="I9" s="35">
        <v>0</v>
      </c>
      <c r="J9" s="35">
        <v>804.15</v>
      </c>
      <c r="K9" s="35">
        <v>0</v>
      </c>
      <c r="L9" s="35">
        <v>0</v>
      </c>
      <c r="M9" s="35">
        <v>737</v>
      </c>
      <c r="N9" s="35">
        <v>0</v>
      </c>
      <c r="O9" s="35">
        <v>3985</v>
      </c>
      <c r="P9" s="37">
        <v>129.52</v>
      </c>
      <c r="Q9" s="35">
        <v>60</v>
      </c>
      <c r="R9" s="35">
        <v>0</v>
      </c>
      <c r="S9" s="35">
        <v>0</v>
      </c>
      <c r="T9" s="35">
        <v>710</v>
      </c>
      <c r="U9" s="35">
        <v>0</v>
      </c>
      <c r="V9" s="35">
        <v>2221.58</v>
      </c>
      <c r="W9" s="35">
        <v>1000</v>
      </c>
      <c r="X9" s="35">
        <v>730</v>
      </c>
      <c r="Y9" s="35">
        <f t="shared" si="2"/>
        <v>65207.76</v>
      </c>
      <c r="Z9" s="35">
        <f>58961.45+1746.31</f>
        <v>60707.759999999995</v>
      </c>
      <c r="AA9" s="34">
        <f t="shared" si="0"/>
        <v>4500.000000000007</v>
      </c>
      <c r="AB9" s="35">
        <v>65000</v>
      </c>
      <c r="AD9" s="34">
        <f t="shared" si="1"/>
        <v>18339.26999999999</v>
      </c>
      <c r="AE9" s="35"/>
      <c r="AF9" s="35"/>
    </row>
    <row r="10" spans="1:32" s="36" customFormat="1" ht="12.75">
      <c r="A10" s="36" t="s">
        <v>6</v>
      </c>
      <c r="B10" s="35">
        <v>39721.71</v>
      </c>
      <c r="C10" s="35">
        <v>1814.95</v>
      </c>
      <c r="D10" s="35">
        <v>2486.17</v>
      </c>
      <c r="E10" s="35">
        <v>2462</v>
      </c>
      <c r="F10" s="35">
        <v>4500</v>
      </c>
      <c r="G10" s="35">
        <v>3755.45</v>
      </c>
      <c r="H10" s="35">
        <v>5475</v>
      </c>
      <c r="I10" s="35">
        <v>0</v>
      </c>
      <c r="J10" s="35">
        <v>536.1</v>
      </c>
      <c r="K10" s="35">
        <v>413.51</v>
      </c>
      <c r="L10" s="35">
        <v>0</v>
      </c>
      <c r="M10" s="35">
        <v>415.8</v>
      </c>
      <c r="N10" s="35">
        <v>0</v>
      </c>
      <c r="O10" s="35">
        <f>3119.87-14.87</f>
        <v>3105</v>
      </c>
      <c r="P10" s="35">
        <v>34.85</v>
      </c>
      <c r="Q10" s="35">
        <v>100</v>
      </c>
      <c r="R10" s="35">
        <v>0</v>
      </c>
      <c r="S10" s="35">
        <v>0</v>
      </c>
      <c r="T10" s="35">
        <v>840</v>
      </c>
      <c r="U10" s="35">
        <v>0</v>
      </c>
      <c r="V10" s="35">
        <v>2321.58</v>
      </c>
      <c r="W10" s="35">
        <v>0</v>
      </c>
      <c r="X10" s="35">
        <v>350</v>
      </c>
      <c r="Y10" s="35">
        <f t="shared" si="2"/>
        <v>68332.12</v>
      </c>
      <c r="Z10" s="35">
        <f>66517.17+1814.95</f>
        <v>68332.12</v>
      </c>
      <c r="AA10" s="34">
        <f t="shared" si="0"/>
        <v>0</v>
      </c>
      <c r="AB10" s="35">
        <v>57000</v>
      </c>
      <c r="AD10" s="34">
        <f t="shared" si="1"/>
        <v>7007.149999999994</v>
      </c>
      <c r="AE10" s="35"/>
      <c r="AF10" s="35"/>
    </row>
    <row r="11" spans="1:32" s="36" customFormat="1" ht="12.75">
      <c r="A11" s="36" t="s">
        <v>7</v>
      </c>
      <c r="B11" s="35">
        <v>45583.84</v>
      </c>
      <c r="C11" s="35">
        <v>2110.89</v>
      </c>
      <c r="D11" s="35">
        <v>2767.22</v>
      </c>
      <c r="E11" s="35">
        <v>2442</v>
      </c>
      <c r="F11" s="35">
        <v>4500</v>
      </c>
      <c r="G11" s="35">
        <v>227.44</v>
      </c>
      <c r="H11" s="35">
        <v>3860</v>
      </c>
      <c r="I11" s="35">
        <v>0</v>
      </c>
      <c r="J11" s="35">
        <v>536.1</v>
      </c>
      <c r="K11" s="35">
        <v>0</v>
      </c>
      <c r="L11" s="35">
        <v>99</v>
      </c>
      <c r="M11" s="35">
        <v>960</v>
      </c>
      <c r="N11" s="35">
        <v>1767.37</v>
      </c>
      <c r="O11" s="35">
        <v>2070</v>
      </c>
      <c r="P11" s="35">
        <v>125.31</v>
      </c>
      <c r="Q11" s="35">
        <v>520</v>
      </c>
      <c r="R11" s="35">
        <v>0</v>
      </c>
      <c r="S11" s="35">
        <v>0</v>
      </c>
      <c r="T11" s="35">
        <v>710</v>
      </c>
      <c r="U11" s="35">
        <v>3005.7</v>
      </c>
      <c r="V11" s="35">
        <v>2350.24</v>
      </c>
      <c r="W11" s="35">
        <v>2000</v>
      </c>
      <c r="X11" s="35">
        <v>350</v>
      </c>
      <c r="Y11" s="35">
        <f t="shared" si="2"/>
        <v>75985.11</v>
      </c>
      <c r="Z11" s="35">
        <f>73775.22+2110.89+99</f>
        <v>75985.11</v>
      </c>
      <c r="AA11" s="34">
        <f t="shared" si="0"/>
        <v>0</v>
      </c>
      <c r="AB11" s="35">
        <f>27000+45583.84</f>
        <v>72583.84</v>
      </c>
      <c r="AD11" s="34">
        <f t="shared" si="1"/>
        <v>3605.87999999999</v>
      </c>
      <c r="AE11" s="35"/>
      <c r="AF11" s="35"/>
    </row>
    <row r="12" spans="1:32" s="36" customFormat="1" ht="12.75">
      <c r="A12" s="36" t="s">
        <v>8</v>
      </c>
      <c r="B12" s="35">
        <v>51016.5</v>
      </c>
      <c r="C12" s="35">
        <v>2184.13</v>
      </c>
      <c r="D12" s="35">
        <v>2778.44</v>
      </c>
      <c r="E12" s="37">
        <v>2442</v>
      </c>
      <c r="F12" s="35">
        <v>4500</v>
      </c>
      <c r="G12" s="35">
        <v>3055.76</v>
      </c>
      <c r="H12" s="35">
        <v>4830</v>
      </c>
      <c r="I12" s="37">
        <v>0</v>
      </c>
      <c r="J12" s="35">
        <v>536.1</v>
      </c>
      <c r="K12" s="35">
        <v>244.83</v>
      </c>
      <c r="L12" s="35">
        <v>0</v>
      </c>
      <c r="M12" s="35">
        <v>225</v>
      </c>
      <c r="N12" s="35">
        <v>0</v>
      </c>
      <c r="O12" s="35">
        <v>7245</v>
      </c>
      <c r="P12" s="35">
        <v>173.74</v>
      </c>
      <c r="Q12" s="35">
        <v>154</v>
      </c>
      <c r="R12" s="35">
        <v>79.26</v>
      </c>
      <c r="S12" s="35">
        <v>0</v>
      </c>
      <c r="T12" s="35">
        <v>600</v>
      </c>
      <c r="U12" s="35">
        <v>173.7</v>
      </c>
      <c r="V12" s="35">
        <v>2524.68</v>
      </c>
      <c r="W12" s="35">
        <v>1000</v>
      </c>
      <c r="X12" s="35">
        <v>0</v>
      </c>
      <c r="Y12" s="35">
        <f t="shared" si="2"/>
        <v>83763.14</v>
      </c>
      <c r="Z12" s="35">
        <f>80579.01+2184.13</f>
        <v>82763.14</v>
      </c>
      <c r="AA12" s="34">
        <f t="shared" si="0"/>
        <v>1000</v>
      </c>
      <c r="AB12" s="35">
        <v>90000</v>
      </c>
      <c r="AD12" s="34">
        <f t="shared" si="1"/>
        <v>10842.73999999999</v>
      </c>
      <c r="AE12" s="35"/>
      <c r="AF12" s="35"/>
    </row>
    <row r="13" spans="1:32" s="36" customFormat="1" ht="12.75">
      <c r="A13" s="36" t="s">
        <v>9</v>
      </c>
      <c r="B13" s="35">
        <v>50340.12</v>
      </c>
      <c r="C13" s="35">
        <v>2547.05</v>
      </c>
      <c r="D13" s="35">
        <v>2620.79</v>
      </c>
      <c r="E13" s="35">
        <v>2502</v>
      </c>
      <c r="F13" s="35">
        <v>4500</v>
      </c>
      <c r="G13" s="35">
        <v>3320.51</v>
      </c>
      <c r="H13" s="35">
        <v>7866</v>
      </c>
      <c r="I13" s="35">
        <v>8500</v>
      </c>
      <c r="J13" s="35">
        <v>804.15</v>
      </c>
      <c r="K13" s="35">
        <v>299.99</v>
      </c>
      <c r="L13" s="35">
        <v>0</v>
      </c>
      <c r="M13" s="35">
        <v>154.03</v>
      </c>
      <c r="N13" s="35">
        <v>0</v>
      </c>
      <c r="O13" s="35">
        <v>1035</v>
      </c>
      <c r="P13" s="35">
        <f>50.31+47.74+38.91+53.91+75</f>
        <v>265.87</v>
      </c>
      <c r="Q13" s="35">
        <v>40</v>
      </c>
      <c r="R13" s="35">
        <v>0</v>
      </c>
      <c r="S13" s="35">
        <v>2180</v>
      </c>
      <c r="T13" s="35">
        <v>105.49</v>
      </c>
      <c r="U13" s="35">
        <v>0</v>
      </c>
      <c r="V13" s="35">
        <v>2286.76</v>
      </c>
      <c r="W13" s="35">
        <v>1000</v>
      </c>
      <c r="X13" s="35">
        <v>350</v>
      </c>
      <c r="Y13" s="35">
        <f t="shared" si="2"/>
        <v>90717.76</v>
      </c>
      <c r="Z13" s="35">
        <f>88016.68+2701.08</f>
        <v>90717.76</v>
      </c>
      <c r="AA13" s="34">
        <f t="shared" si="0"/>
        <v>0</v>
      </c>
      <c r="AB13" s="35">
        <v>87000</v>
      </c>
      <c r="AD13" s="34">
        <f t="shared" si="1"/>
        <v>7124.979999999996</v>
      </c>
      <c r="AE13" s="35"/>
      <c r="AF13" s="35"/>
    </row>
    <row r="14" spans="1:32" s="36" customFormat="1" ht="12.75">
      <c r="A14" s="36" t="s">
        <v>10</v>
      </c>
      <c r="B14" s="37">
        <v>36918.56</v>
      </c>
      <c r="C14" s="37">
        <v>2724.28</v>
      </c>
      <c r="D14" s="37">
        <f>4155.73+231.02</f>
        <v>4386.75</v>
      </c>
      <c r="E14" s="37">
        <v>2462</v>
      </c>
      <c r="F14" s="37">
        <v>4500</v>
      </c>
      <c r="G14" s="37">
        <v>0</v>
      </c>
      <c r="H14" s="37">
        <v>8549</v>
      </c>
      <c r="I14" s="37">
        <v>0</v>
      </c>
      <c r="J14" s="37">
        <v>1608.3</v>
      </c>
      <c r="K14" s="37">
        <v>0</v>
      </c>
      <c r="L14" s="37">
        <v>0</v>
      </c>
      <c r="M14" s="37">
        <v>197.08</v>
      </c>
      <c r="N14" s="37">
        <v>0</v>
      </c>
      <c r="O14" s="37">
        <v>2070</v>
      </c>
      <c r="P14" s="37">
        <v>227.82</v>
      </c>
      <c r="Q14" s="37">
        <v>0</v>
      </c>
      <c r="R14" s="37">
        <v>0</v>
      </c>
      <c r="S14" s="37">
        <v>0</v>
      </c>
      <c r="T14" s="37">
        <f>600+110</f>
        <v>710</v>
      </c>
      <c r="U14" s="37">
        <v>3321.4</v>
      </c>
      <c r="V14" s="37">
        <v>2437.46</v>
      </c>
      <c r="W14" s="37">
        <v>1000</v>
      </c>
      <c r="X14" s="37">
        <v>450</v>
      </c>
      <c r="Y14" s="35">
        <f t="shared" si="2"/>
        <v>71562.65000000001</v>
      </c>
      <c r="Z14" s="35">
        <f>68838.37+2724.28</f>
        <v>71562.65</v>
      </c>
      <c r="AA14" s="34">
        <f t="shared" si="0"/>
        <v>0</v>
      </c>
      <c r="AB14" s="35">
        <v>67000</v>
      </c>
      <c r="AD14" s="34">
        <f t="shared" si="1"/>
        <v>2562.3300000000017</v>
      </c>
      <c r="AE14" s="37"/>
      <c r="AF14" s="35"/>
    </row>
    <row r="15" spans="1:32" s="36" customFormat="1" ht="12.75">
      <c r="A15" s="36" t="s">
        <v>11</v>
      </c>
      <c r="B15" s="35">
        <v>38841</v>
      </c>
      <c r="C15" s="35">
        <v>2410.6</v>
      </c>
      <c r="D15" s="35">
        <v>2447.5</v>
      </c>
      <c r="E15" s="35">
        <v>2522</v>
      </c>
      <c r="F15" s="35">
        <v>4500</v>
      </c>
      <c r="G15" s="35">
        <v>2323.09</v>
      </c>
      <c r="H15" s="37">
        <v>8782.5</v>
      </c>
      <c r="I15" s="35">
        <v>0</v>
      </c>
      <c r="J15" s="35">
        <v>1072.2</v>
      </c>
      <c r="K15" s="35">
        <v>264.54</v>
      </c>
      <c r="L15" s="35">
        <v>0</v>
      </c>
      <c r="M15" s="37">
        <v>197.08</v>
      </c>
      <c r="N15" s="35">
        <v>0</v>
      </c>
      <c r="O15" s="35">
        <v>1035</v>
      </c>
      <c r="P15" s="37">
        <v>238.65</v>
      </c>
      <c r="Q15" s="35">
        <v>0</v>
      </c>
      <c r="R15" s="35">
        <v>255.5</v>
      </c>
      <c r="S15" s="35">
        <v>0</v>
      </c>
      <c r="T15" s="35">
        <v>600</v>
      </c>
      <c r="U15" s="35">
        <v>0</v>
      </c>
      <c r="V15" s="35">
        <v>2350.24</v>
      </c>
      <c r="W15" s="35">
        <v>1000</v>
      </c>
      <c r="X15" s="35">
        <v>565</v>
      </c>
      <c r="Y15" s="35">
        <f>SUM(B15:X15)</f>
        <v>69404.90000000001</v>
      </c>
      <c r="Z15" s="35">
        <f>66994.3+2410.6</f>
        <v>69404.90000000001</v>
      </c>
      <c r="AA15" s="34">
        <f>Y15-Z15</f>
        <v>0</v>
      </c>
      <c r="AB15" s="35">
        <v>95000</v>
      </c>
      <c r="AD15" s="34">
        <f>+AD14-Z15+AB15</f>
        <v>28157.429999999993</v>
      </c>
      <c r="AE15" s="35"/>
      <c r="AF15" s="35"/>
    </row>
    <row r="16" spans="1:32" s="36" customFormat="1" ht="15">
      <c r="A16" s="36" t="s">
        <v>12</v>
      </c>
      <c r="B16" s="46">
        <v>32525.03</v>
      </c>
      <c r="C16" s="46">
        <v>2236.47</v>
      </c>
      <c r="D16" s="46">
        <v>2150.4</v>
      </c>
      <c r="E16" s="46">
        <v>2542</v>
      </c>
      <c r="F16" s="46">
        <v>4500</v>
      </c>
      <c r="G16" s="46">
        <v>0</v>
      </c>
      <c r="H16" s="46">
        <v>4790</v>
      </c>
      <c r="I16" s="46">
        <v>0</v>
      </c>
      <c r="J16" s="46">
        <v>536.1</v>
      </c>
      <c r="K16" s="46">
        <v>0</v>
      </c>
      <c r="L16" s="46">
        <v>0</v>
      </c>
      <c r="M16" s="46">
        <v>197.08</v>
      </c>
      <c r="N16" s="46">
        <v>0</v>
      </c>
      <c r="O16" s="46">
        <v>6605</v>
      </c>
      <c r="P16" s="46">
        <v>444.18</v>
      </c>
      <c r="Q16" s="46">
        <v>100</v>
      </c>
      <c r="R16" s="46">
        <v>0</v>
      </c>
      <c r="S16" s="46">
        <v>430</v>
      </c>
      <c r="T16" s="46">
        <v>1310</v>
      </c>
      <c r="U16" s="46">
        <v>0</v>
      </c>
      <c r="V16" s="46">
        <v>4389.73</v>
      </c>
      <c r="W16" s="46">
        <v>1000</v>
      </c>
      <c r="X16" s="46">
        <v>1350</v>
      </c>
      <c r="Y16" s="46">
        <f t="shared" si="2"/>
        <v>65105.990000000005</v>
      </c>
      <c r="Z16" s="46">
        <f>62869.52+2236.47</f>
        <v>65105.99</v>
      </c>
      <c r="AA16" s="34">
        <f>Y16-Z16</f>
        <v>0</v>
      </c>
      <c r="AB16" s="46">
        <v>40000</v>
      </c>
      <c r="AD16" s="34">
        <f>+AD15-Z16+AB16</f>
        <v>3051.439999999995</v>
      </c>
      <c r="AE16" s="35"/>
      <c r="AF16" s="35"/>
    </row>
    <row r="17" spans="2:28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24"/>
      <c r="X17" s="24"/>
      <c r="Y17" s="2">
        <f>SUM(B17:W17)</f>
        <v>0</v>
      </c>
      <c r="AB17" s="36"/>
    </row>
    <row r="18" spans="1:29" s="4" customFormat="1" ht="12.75">
      <c r="A18" s="4" t="s">
        <v>41</v>
      </c>
      <c r="B18" s="3">
        <f>SUM(B5:B17)</f>
        <v>502875.76</v>
      </c>
      <c r="C18" s="3">
        <f aca="true" t="shared" si="3" ref="C18:N18">SUM(C5:C17)</f>
        <v>26060.1</v>
      </c>
      <c r="D18" s="3">
        <f>SUM(D5:D17)</f>
        <v>32444.850000000002</v>
      </c>
      <c r="E18" s="3">
        <f t="shared" si="3"/>
        <v>29964</v>
      </c>
      <c r="F18" s="3">
        <f t="shared" si="3"/>
        <v>56465.2</v>
      </c>
      <c r="G18" s="3">
        <f>SUM(G5:G17)</f>
        <v>18445.89</v>
      </c>
      <c r="H18" s="3">
        <f t="shared" si="3"/>
        <v>83771.35</v>
      </c>
      <c r="I18" s="3">
        <f t="shared" si="3"/>
        <v>8560</v>
      </c>
      <c r="J18" s="3">
        <f t="shared" si="3"/>
        <v>9381.750000000002</v>
      </c>
      <c r="K18" s="3">
        <f t="shared" si="3"/>
        <v>2948.6399999999994</v>
      </c>
      <c r="L18" s="3">
        <f t="shared" si="3"/>
        <v>1090.4</v>
      </c>
      <c r="M18" s="3">
        <f>SUM(M5:M17)</f>
        <v>3568.89</v>
      </c>
      <c r="N18" s="3">
        <f t="shared" si="3"/>
        <v>1767.37</v>
      </c>
      <c r="O18" s="3">
        <f aca="true" t="shared" si="4" ref="O18:X18">SUM(O5:O17)</f>
        <v>31010</v>
      </c>
      <c r="P18" s="3">
        <f t="shared" si="4"/>
        <v>2295.76</v>
      </c>
      <c r="Q18" s="3">
        <f t="shared" si="4"/>
        <v>1814</v>
      </c>
      <c r="R18" s="3">
        <f t="shared" si="4"/>
        <v>1309.57</v>
      </c>
      <c r="S18" s="3">
        <f t="shared" si="4"/>
        <v>2610</v>
      </c>
      <c r="T18" s="3">
        <f t="shared" si="4"/>
        <v>7495.49</v>
      </c>
      <c r="U18" s="3">
        <f t="shared" si="4"/>
        <v>14793.9</v>
      </c>
      <c r="V18" s="3">
        <f t="shared" si="4"/>
        <v>27635.349999999995</v>
      </c>
      <c r="W18" s="3">
        <f t="shared" si="4"/>
        <v>13000</v>
      </c>
      <c r="X18" s="3">
        <f t="shared" si="4"/>
        <v>6215</v>
      </c>
      <c r="Y18" s="3">
        <f>SUM(Y5:Y17)</f>
        <v>885523.27</v>
      </c>
      <c r="Z18" s="41">
        <f>SUM(Z5:Z17)</f>
        <v>880023.27</v>
      </c>
      <c r="AA18" s="5"/>
      <c r="AB18" s="34">
        <f>SUM(AB5:AB16)</f>
        <v>877583.84</v>
      </c>
      <c r="AC18" s="52"/>
    </row>
    <row r="19" spans="1:29" s="15" customFormat="1" ht="15">
      <c r="A19" s="4"/>
      <c r="B19" s="3"/>
      <c r="C19" s="3"/>
      <c r="D19" s="3"/>
      <c r="E19" s="3"/>
      <c r="F19" s="3"/>
      <c r="G19" s="3"/>
      <c r="H19" s="3"/>
      <c r="I19" s="3"/>
      <c r="J19" s="3"/>
      <c r="K19" s="10">
        <f>161.98+71.41</f>
        <v>233.39</v>
      </c>
      <c r="L19" s="14"/>
      <c r="M19" s="43">
        <f>+-B49</f>
        <v>0</v>
      </c>
      <c r="N19" s="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6"/>
      <c r="AB19" s="26"/>
      <c r="AC19" s="48"/>
    </row>
    <row r="20" spans="2:29" s="15" customFormat="1" ht="15">
      <c r="B20" s="25" t="s">
        <v>57</v>
      </c>
      <c r="C20" s="25"/>
      <c r="D20" s="25"/>
      <c r="E20" s="25"/>
      <c r="F20" s="25"/>
      <c r="G20" s="14"/>
      <c r="H20" s="14"/>
      <c r="I20" s="14"/>
      <c r="J20" s="14"/>
      <c r="K20" s="14">
        <f>K18+K19</f>
        <v>3182.0299999999993</v>
      </c>
      <c r="L20" s="14"/>
      <c r="M20" s="35">
        <f>+M18+M19</f>
        <v>3568.89</v>
      </c>
      <c r="N20" s="14"/>
      <c r="O20" s="14"/>
      <c r="P20" s="14"/>
      <c r="Q20" s="14"/>
      <c r="R20" s="14"/>
      <c r="S20" s="14"/>
      <c r="U20" s="10"/>
      <c r="X20" s="26"/>
      <c r="Y20" s="47">
        <f>+-B43-C43</f>
        <v>84068.43000000002</v>
      </c>
      <c r="Z20" s="47"/>
      <c r="AC20" s="48"/>
    </row>
    <row r="21" spans="1:28" ht="12.75">
      <c r="A21" t="s">
        <v>37</v>
      </c>
      <c r="B21" t="s">
        <v>38</v>
      </c>
      <c r="C21" s="12" t="s">
        <v>38</v>
      </c>
      <c r="D21" s="12" t="s">
        <v>39</v>
      </c>
      <c r="E21" s="12" t="s">
        <v>40</v>
      </c>
      <c r="F21" s="12" t="s">
        <v>54</v>
      </c>
      <c r="G21" s="12" t="s">
        <v>43</v>
      </c>
      <c r="H21" s="12" t="s">
        <v>53</v>
      </c>
      <c r="I21" s="1"/>
      <c r="J21" s="1" t="s">
        <v>44</v>
      </c>
      <c r="K21" s="1"/>
      <c r="L21" s="1"/>
      <c r="M21" s="1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34">
        <f>-D47</f>
        <v>995.1999999999999</v>
      </c>
      <c r="Z21" s="36"/>
      <c r="AA21" s="2"/>
      <c r="AB21" s="2"/>
    </row>
    <row r="22" spans="3:28" ht="15">
      <c r="C22" s="1"/>
      <c r="D22" s="1"/>
      <c r="E22" s="1"/>
      <c r="F22" s="1"/>
      <c r="G22" s="1"/>
      <c r="H22" s="1"/>
      <c r="I22" s="1"/>
      <c r="J22" s="1"/>
      <c r="K22" s="40"/>
      <c r="L22" s="1"/>
      <c r="M22" s="1"/>
      <c r="N22" s="1"/>
      <c r="O22" s="10"/>
      <c r="P22" s="1"/>
      <c r="R22" s="1"/>
      <c r="S22" s="1"/>
      <c r="T22" s="1"/>
      <c r="U22" s="1"/>
      <c r="V22" s="1"/>
      <c r="W22" s="1"/>
      <c r="X22" s="1"/>
      <c r="Y22" s="37">
        <f>+-B49</f>
        <v>0</v>
      </c>
      <c r="Z22" s="42"/>
      <c r="AA22" s="2"/>
      <c r="AB22" s="2"/>
    </row>
    <row r="23" spans="1:28" s="36" customFormat="1" ht="12.75">
      <c r="A23" s="36" t="s">
        <v>1</v>
      </c>
      <c r="B23" s="35">
        <v>27153.3</v>
      </c>
      <c r="C23" s="38">
        <v>38158.95</v>
      </c>
      <c r="D23" s="39">
        <v>1110</v>
      </c>
      <c r="E23" s="39">
        <v>0</v>
      </c>
      <c r="F23" s="39">
        <v>0</v>
      </c>
      <c r="G23" s="39">
        <v>600</v>
      </c>
      <c r="H23" s="39"/>
      <c r="I23" s="35">
        <f>SUM(B23:H23)</f>
        <v>67022.25</v>
      </c>
      <c r="J23" s="39">
        <f>39868.95+27153.3</f>
        <v>67022.25</v>
      </c>
      <c r="K23" s="35">
        <f>+I23-J23</f>
        <v>0</v>
      </c>
      <c r="L23" s="40"/>
      <c r="M23" s="37"/>
      <c r="N23" s="40"/>
      <c r="O23" s="41"/>
      <c r="P23" s="40"/>
      <c r="Q23" s="40"/>
      <c r="R23" s="45"/>
      <c r="S23" s="40"/>
      <c r="T23" s="40"/>
      <c r="U23" s="40"/>
      <c r="V23" s="40"/>
      <c r="W23" s="40"/>
      <c r="X23" s="40"/>
      <c r="Y23" s="34">
        <f>+-H48</f>
        <v>156.5</v>
      </c>
      <c r="Z23" s="42"/>
      <c r="AA23" s="34"/>
      <c r="AB23" s="34"/>
    </row>
    <row r="24" spans="1:28" ht="12.75">
      <c r="A24" t="s">
        <v>2</v>
      </c>
      <c r="B24" s="35">
        <v>26949.25</v>
      </c>
      <c r="C24" s="44">
        <f>39834.72+50</f>
        <v>39884.72</v>
      </c>
      <c r="D24" s="39">
        <v>1410</v>
      </c>
      <c r="E24" s="39">
        <v>0</v>
      </c>
      <c r="F24" s="39">
        <v>0</v>
      </c>
      <c r="G24" s="39">
        <v>600</v>
      </c>
      <c r="H24" s="39"/>
      <c r="I24" s="35">
        <f>SUM(B24:H24)</f>
        <v>68843.97</v>
      </c>
      <c r="J24" s="39">
        <f>41844.72+26949.25+50</f>
        <v>68843.97</v>
      </c>
      <c r="K24" s="35">
        <f>+I24-J24</f>
        <v>0</v>
      </c>
      <c r="L24" s="1"/>
      <c r="M24" s="37"/>
      <c r="N24" s="114"/>
      <c r="O24" s="41"/>
      <c r="P24" s="36"/>
      <c r="Q24" s="40"/>
      <c r="R24" s="40"/>
      <c r="S24" s="1"/>
      <c r="T24" s="1"/>
      <c r="U24" s="1"/>
      <c r="V24" s="1"/>
      <c r="W24" s="1"/>
      <c r="X24" s="1"/>
      <c r="Y24" s="63">
        <v>0</v>
      </c>
      <c r="Z24" s="42"/>
      <c r="AA24" s="1"/>
      <c r="AB24" s="2"/>
    </row>
    <row r="25" spans="1:28" ht="15">
      <c r="A25" t="s">
        <v>3</v>
      </c>
      <c r="B25" s="35">
        <v>27823.72</v>
      </c>
      <c r="C25" s="38">
        <v>38258.55</v>
      </c>
      <c r="D25" s="39">
        <v>450</v>
      </c>
      <c r="E25" s="39">
        <v>0</v>
      </c>
      <c r="F25" s="39">
        <v>0</v>
      </c>
      <c r="G25" s="39">
        <v>600</v>
      </c>
      <c r="H25" s="39"/>
      <c r="I25" s="35">
        <f>SUM(B25:H25)</f>
        <v>67132.27</v>
      </c>
      <c r="J25" s="39">
        <f>39308.55+27823.72</f>
        <v>67132.27</v>
      </c>
      <c r="K25" s="35">
        <f aca="true" t="shared" si="5" ref="K25:K35">+I25-J25</f>
        <v>0</v>
      </c>
      <c r="L25" s="1"/>
      <c r="M25" s="37"/>
      <c r="N25" s="115"/>
      <c r="O25" s="37"/>
      <c r="P25" s="113"/>
      <c r="Q25" s="113"/>
      <c r="R25" s="113"/>
      <c r="S25" s="1"/>
      <c r="T25" s="1"/>
      <c r="U25" s="1"/>
      <c r="V25" s="1"/>
      <c r="W25" s="1"/>
      <c r="X25" s="1"/>
      <c r="Y25" s="95">
        <f>K19</f>
        <v>233.39</v>
      </c>
      <c r="Z25" s="36"/>
      <c r="AA25" s="1"/>
      <c r="AB25" s="2"/>
    </row>
    <row r="26" spans="1:28" s="36" customFormat="1" ht="12.75">
      <c r="A26" s="36" t="s">
        <v>4</v>
      </c>
      <c r="B26" s="35">
        <f>26403.68</f>
        <v>26403.68</v>
      </c>
      <c r="C26" s="38">
        <f>33208.84+0.06-0.04</f>
        <v>33208.85999999999</v>
      </c>
      <c r="D26" s="39">
        <v>2220</v>
      </c>
      <c r="E26" s="39">
        <v>0</v>
      </c>
      <c r="F26" s="39">
        <v>0</v>
      </c>
      <c r="G26" s="39">
        <v>600</v>
      </c>
      <c r="H26" s="39"/>
      <c r="I26" s="35">
        <f aca="true" t="shared" si="6" ref="I26:I34">SUM(B26:H26)</f>
        <v>62432.53999999999</v>
      </c>
      <c r="J26" s="39">
        <f>36028.84+26403.68-0.04+0.06</f>
        <v>62432.53999999999</v>
      </c>
      <c r="K26" s="35">
        <f t="shared" si="5"/>
        <v>0</v>
      </c>
      <c r="L26" s="40"/>
      <c r="M26" s="37"/>
      <c r="N26" s="112"/>
      <c r="O26" s="37"/>
      <c r="P26" s="40"/>
      <c r="Q26" s="113"/>
      <c r="R26" s="113"/>
      <c r="S26" s="40"/>
      <c r="T26" s="40"/>
      <c r="U26" s="40"/>
      <c r="V26" s="40"/>
      <c r="W26" s="40"/>
      <c r="X26" s="40"/>
      <c r="Y26" s="42">
        <f>SUM(Y18:Y25)</f>
        <v>970976.79</v>
      </c>
      <c r="Z26" s="42"/>
      <c r="AA26" s="40"/>
      <c r="AB26" s="34"/>
    </row>
    <row r="27" spans="1:28" s="36" customFormat="1" ht="15">
      <c r="A27" s="36" t="s">
        <v>5</v>
      </c>
      <c r="B27" s="35">
        <v>25290.43</v>
      </c>
      <c r="C27" s="38">
        <f>35304.37-0.07</f>
        <v>35304.3</v>
      </c>
      <c r="D27" s="39">
        <v>2370</v>
      </c>
      <c r="E27" s="39">
        <v>0</v>
      </c>
      <c r="F27" s="39">
        <v>0</v>
      </c>
      <c r="G27" s="39">
        <v>600</v>
      </c>
      <c r="H27" s="39"/>
      <c r="I27" s="35">
        <f t="shared" si="6"/>
        <v>63564.73</v>
      </c>
      <c r="J27" s="39">
        <f>38274.37+25290.43-0.07</f>
        <v>63564.73</v>
      </c>
      <c r="K27" s="35">
        <f t="shared" si="5"/>
        <v>0</v>
      </c>
      <c r="L27" s="40"/>
      <c r="M27" s="37"/>
      <c r="N27" s="40"/>
      <c r="O27" s="41"/>
      <c r="P27" s="40"/>
      <c r="Q27" s="40"/>
      <c r="R27" s="40"/>
      <c r="S27" s="40"/>
      <c r="T27" s="40"/>
      <c r="U27" s="40"/>
      <c r="V27" s="40"/>
      <c r="W27" s="40"/>
      <c r="X27" s="40"/>
      <c r="Y27" s="43">
        <v>970976</v>
      </c>
      <c r="Z27" s="37" t="s">
        <v>70</v>
      </c>
      <c r="AA27" s="40"/>
      <c r="AB27" s="34"/>
    </row>
    <row r="28" spans="1:27" s="36" customFormat="1" ht="12.75">
      <c r="A28" s="36" t="s">
        <v>6</v>
      </c>
      <c r="B28" s="35">
        <v>31356.86</v>
      </c>
      <c r="C28" s="38">
        <f>39352.45-0.86+1.5</f>
        <v>39353.09</v>
      </c>
      <c r="D28" s="39">
        <v>2990</v>
      </c>
      <c r="E28" s="39">
        <v>0</v>
      </c>
      <c r="F28" s="39">
        <v>0</v>
      </c>
      <c r="G28" s="39">
        <v>600</v>
      </c>
      <c r="H28" s="39"/>
      <c r="I28" s="35">
        <f t="shared" si="6"/>
        <v>74299.95</v>
      </c>
      <c r="J28" s="39">
        <f>42942.45+31356.86-0.86+1.5</f>
        <v>74299.95</v>
      </c>
      <c r="K28" s="35">
        <f t="shared" si="5"/>
        <v>0</v>
      </c>
      <c r="L28" s="40"/>
      <c r="M28" s="37"/>
      <c r="N28" s="40"/>
      <c r="O28" s="41"/>
      <c r="P28" s="40"/>
      <c r="Q28" s="37"/>
      <c r="R28" s="40"/>
      <c r="S28" s="40"/>
      <c r="T28" s="40"/>
      <c r="U28" s="40"/>
      <c r="V28" s="40"/>
      <c r="W28" s="40"/>
      <c r="X28" s="40"/>
      <c r="Y28" s="42">
        <f>+Y26-Y27</f>
        <v>0.7900000000372529</v>
      </c>
      <c r="Z28" s="42"/>
      <c r="AA28" s="40"/>
    </row>
    <row r="29" spans="1:27" s="36" customFormat="1" ht="12.75">
      <c r="A29" s="36" t="s">
        <v>7</v>
      </c>
      <c r="B29" s="35">
        <v>32747.03</v>
      </c>
      <c r="C29" s="38">
        <f>40432.27-4.99+0.5</f>
        <v>40427.78</v>
      </c>
      <c r="D29" s="39">
        <v>6510</v>
      </c>
      <c r="E29" s="39">
        <v>0</v>
      </c>
      <c r="F29" s="39">
        <v>0</v>
      </c>
      <c r="G29" s="39">
        <v>600</v>
      </c>
      <c r="H29" s="39"/>
      <c r="I29" s="35">
        <f t="shared" si="6"/>
        <v>80284.81</v>
      </c>
      <c r="J29" s="39">
        <f>47542.27+32747.03-4.99+0.5</f>
        <v>80284.80999999998</v>
      </c>
      <c r="K29" s="35">
        <f t="shared" si="5"/>
        <v>0</v>
      </c>
      <c r="L29" s="40"/>
      <c r="M29" s="37"/>
      <c r="N29" s="37"/>
      <c r="O29" s="41"/>
      <c r="P29" s="40"/>
      <c r="Q29" s="37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s="36" customFormat="1" ht="12.75">
      <c r="A30" s="36" t="s">
        <v>8</v>
      </c>
      <c r="B30" s="35">
        <v>37712.33</v>
      </c>
      <c r="C30" s="38">
        <v>49197.08</v>
      </c>
      <c r="D30" s="39">
        <v>1485</v>
      </c>
      <c r="E30" s="39">
        <v>0</v>
      </c>
      <c r="F30" s="39">
        <v>0</v>
      </c>
      <c r="G30" s="39">
        <v>600</v>
      </c>
      <c r="H30" s="39"/>
      <c r="I30" s="35">
        <f t="shared" si="6"/>
        <v>88994.41</v>
      </c>
      <c r="J30" s="39">
        <f>91289.18-40007.1+37712.33</f>
        <v>88994.41</v>
      </c>
      <c r="K30" s="35">
        <f t="shared" si="5"/>
        <v>0</v>
      </c>
      <c r="L30" s="40"/>
      <c r="M30" s="37"/>
      <c r="N30" s="37"/>
      <c r="O30" s="41"/>
      <c r="P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s="36" customFormat="1" ht="12.75">
      <c r="A31" s="36" t="s">
        <v>9</v>
      </c>
      <c r="B31" s="35">
        <v>39692.25</v>
      </c>
      <c r="C31" s="44">
        <f>52202.26-0.45+0.5</f>
        <v>52202.310000000005</v>
      </c>
      <c r="D31" s="39">
        <v>1485</v>
      </c>
      <c r="E31" s="39">
        <v>0</v>
      </c>
      <c r="F31" s="39">
        <v>0</v>
      </c>
      <c r="G31" s="39">
        <v>600</v>
      </c>
      <c r="H31" s="39"/>
      <c r="I31" s="35">
        <f t="shared" si="6"/>
        <v>93979.56</v>
      </c>
      <c r="J31" s="39">
        <f>54287.26+39692.25-0.45+0.5</f>
        <v>93979.56000000001</v>
      </c>
      <c r="K31" s="35">
        <f t="shared" si="5"/>
        <v>0</v>
      </c>
      <c r="L31" s="40"/>
      <c r="M31" s="37"/>
      <c r="N31" s="37"/>
      <c r="O31" s="41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6" s="36" customFormat="1" ht="12.75">
      <c r="A32" s="36" t="s">
        <v>10</v>
      </c>
      <c r="B32" s="37">
        <v>35915.96</v>
      </c>
      <c r="C32" s="44">
        <v>43992.29</v>
      </c>
      <c r="D32" s="39">
        <v>1145</v>
      </c>
      <c r="E32" s="39">
        <v>0</v>
      </c>
      <c r="F32" s="39">
        <v>0</v>
      </c>
      <c r="G32" s="39">
        <v>600</v>
      </c>
      <c r="I32" s="35">
        <f t="shared" si="6"/>
        <v>81653.25</v>
      </c>
      <c r="J32" s="39">
        <f>45737.29+35915.96</f>
        <v>81653.25</v>
      </c>
      <c r="K32" s="35">
        <f t="shared" si="5"/>
        <v>0</v>
      </c>
      <c r="L32" s="40"/>
      <c r="M32" s="37"/>
      <c r="N32" s="40"/>
      <c r="O32" s="41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s="36" customFormat="1" ht="12.75">
      <c r="A33" s="36" t="s">
        <v>11</v>
      </c>
      <c r="B33" s="35">
        <v>33445.32</v>
      </c>
      <c r="C33" s="44">
        <f>42893.4-0.02</f>
        <v>42893.380000000005</v>
      </c>
      <c r="D33" s="39">
        <v>1410</v>
      </c>
      <c r="E33" s="39">
        <v>0</v>
      </c>
      <c r="F33" s="39">
        <v>0</v>
      </c>
      <c r="G33" s="39">
        <v>600</v>
      </c>
      <c r="H33" s="39"/>
      <c r="I33" s="35">
        <f t="shared" si="6"/>
        <v>78348.70000000001</v>
      </c>
      <c r="J33" s="39">
        <f>44903.4+33445.32-0.02</f>
        <v>78348.7</v>
      </c>
      <c r="K33" s="35">
        <f t="shared" si="5"/>
        <v>0</v>
      </c>
      <c r="L33" s="40"/>
      <c r="M33" s="37"/>
      <c r="N33" s="40"/>
      <c r="O33" s="41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">
      <c r="A34" t="s">
        <v>12</v>
      </c>
      <c r="B34" s="46">
        <v>33310.38</v>
      </c>
      <c r="C34" s="50">
        <f>39075.48-1</f>
        <v>39074.48</v>
      </c>
      <c r="D34" s="51">
        <v>3140</v>
      </c>
      <c r="E34" s="51">
        <v>0</v>
      </c>
      <c r="F34" s="51">
        <v>0</v>
      </c>
      <c r="G34" s="51">
        <v>600</v>
      </c>
      <c r="H34" s="51"/>
      <c r="I34" s="35">
        <f t="shared" si="6"/>
        <v>76124.86</v>
      </c>
      <c r="J34" s="39">
        <f>42815.48+33310.38-1</f>
        <v>76124.86</v>
      </c>
      <c r="K34" s="35">
        <f t="shared" si="5"/>
        <v>0</v>
      </c>
      <c r="L34" s="1"/>
      <c r="M34" s="1"/>
      <c r="N34" s="1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6"/>
      <c r="C35" s="35"/>
      <c r="D35" s="35"/>
      <c r="E35" s="35"/>
      <c r="F35" s="35"/>
      <c r="G35" s="35"/>
      <c r="H35" s="35"/>
      <c r="I35" s="35"/>
      <c r="J35" s="35"/>
      <c r="K35" s="35">
        <f t="shared" si="5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9" s="7" customFormat="1" ht="12.75">
      <c r="A36" s="7" t="s">
        <v>41</v>
      </c>
      <c r="B36" s="37">
        <f>SUM(B23:B35)</f>
        <v>377800.51</v>
      </c>
      <c r="C36" s="37">
        <f>SUM(C23:C35)</f>
        <v>491955.79</v>
      </c>
      <c r="D36" s="37">
        <f>SUM(D23:D35)</f>
        <v>25725</v>
      </c>
      <c r="E36" s="37">
        <f>SUM(E23:E35)</f>
        <v>0</v>
      </c>
      <c r="F36" s="37">
        <f>SUM(F23:F34)</f>
        <v>0</v>
      </c>
      <c r="G36" s="37">
        <f>SUM(G23:G34)</f>
        <v>7200</v>
      </c>
      <c r="H36" s="37">
        <f>SUM(H23:H34)</f>
        <v>0</v>
      </c>
      <c r="I36" s="37">
        <f>SUM(I23:I34)</f>
        <v>902681.2999999999</v>
      </c>
      <c r="J36" s="37">
        <f>SUM(J23:J34)</f>
        <v>902681.2999999999</v>
      </c>
      <c r="K36" s="37">
        <f>SUM(K23:K35)</f>
        <v>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C36" s="49"/>
    </row>
    <row r="37" spans="2:24" ht="15">
      <c r="B37" s="10"/>
      <c r="C37" s="18"/>
      <c r="D37" s="6"/>
      <c r="E37" s="13"/>
      <c r="F37" s="18"/>
      <c r="G37" s="14"/>
      <c r="H37" s="18"/>
      <c r="I37" s="14"/>
      <c r="J37" s="35">
        <v>0</v>
      </c>
      <c r="K37" s="35"/>
      <c r="L37" s="28"/>
      <c r="M37" s="29"/>
      <c r="N37" s="29"/>
      <c r="O37" s="29"/>
      <c r="P37" s="29"/>
      <c r="Q37" s="29"/>
      <c r="R37" s="29"/>
      <c r="S37" s="1"/>
      <c r="T37" s="1"/>
      <c r="U37" s="1"/>
      <c r="V37" s="1"/>
      <c r="W37" s="1"/>
      <c r="X37" s="1"/>
    </row>
    <row r="38" spans="2:24" ht="15">
      <c r="B38" s="10"/>
      <c r="C38" s="37">
        <f>+C36+B36</f>
        <v>869756.3</v>
      </c>
      <c r="D38" s="6"/>
      <c r="E38" s="13"/>
      <c r="F38" s="18"/>
      <c r="G38" s="14"/>
      <c r="H38" s="18"/>
      <c r="I38" s="14"/>
      <c r="J38" s="80">
        <f>+J36+J37</f>
        <v>902681.2999999999</v>
      </c>
      <c r="K38" s="81"/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5">
      <c r="B39" s="10"/>
      <c r="C39" s="10"/>
      <c r="D39" s="6"/>
      <c r="E39" s="13"/>
      <c r="F39" s="18"/>
      <c r="G39" s="14"/>
      <c r="H39" s="18"/>
      <c r="I39" s="14"/>
      <c r="J39" s="61">
        <f>+B65-E36+Construction!B22</f>
        <v>37.89000000000001</v>
      </c>
      <c r="K39" s="82"/>
      <c r="L39" s="1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5">
      <c r="B40" s="96" t="s">
        <v>82</v>
      </c>
      <c r="C40" s="27" t="s">
        <v>65</v>
      </c>
      <c r="D40" s="27" t="s">
        <v>66</v>
      </c>
      <c r="E40" s="30" t="s">
        <v>49</v>
      </c>
      <c r="F40" s="10" t="s">
        <v>18</v>
      </c>
      <c r="G40" s="14"/>
      <c r="H40" s="18"/>
      <c r="I40" s="14"/>
      <c r="J40" s="83">
        <f>+E42</f>
        <v>0</v>
      </c>
      <c r="K40" s="82"/>
      <c r="L40" s="16"/>
      <c r="M40" s="1"/>
      <c r="N40" s="1"/>
      <c r="O40" s="56" t="s">
        <v>76</v>
      </c>
      <c r="P40" s="57"/>
      <c r="Q40" s="57"/>
      <c r="R40" s="57"/>
      <c r="S40" s="70"/>
      <c r="U40" s="1"/>
      <c r="V40" s="1"/>
      <c r="W40" s="1"/>
      <c r="X40" s="1"/>
    </row>
    <row r="41" spans="1:24" ht="15">
      <c r="A41" s="7" t="s">
        <v>86</v>
      </c>
      <c r="B41" s="35">
        <v>291.36</v>
      </c>
      <c r="C41" s="35">
        <v>40362.58</v>
      </c>
      <c r="D41" s="37">
        <v>64109.1</v>
      </c>
      <c r="E41" s="37">
        <v>484.93</v>
      </c>
      <c r="F41" s="37">
        <v>13501.21</v>
      </c>
      <c r="G41" s="14"/>
      <c r="H41" s="18"/>
      <c r="I41" s="14"/>
      <c r="J41" s="83">
        <f>+J38+J39+J40</f>
        <v>902719.19</v>
      </c>
      <c r="K41" s="82"/>
      <c r="L41" s="16"/>
      <c r="M41" s="1"/>
      <c r="N41" s="1"/>
      <c r="O41" s="58" t="s">
        <v>75</v>
      </c>
      <c r="P41" s="59" t="s">
        <v>73</v>
      </c>
      <c r="Q41" s="59" t="s">
        <v>74</v>
      </c>
      <c r="R41" s="59" t="s">
        <v>84</v>
      </c>
      <c r="S41" s="71" t="s">
        <v>85</v>
      </c>
      <c r="U41" s="1"/>
      <c r="V41" s="1"/>
      <c r="W41" s="1"/>
      <c r="X41" s="1"/>
    </row>
    <row r="42" spans="1:24" ht="15">
      <c r="A42" s="7" t="s">
        <v>66</v>
      </c>
      <c r="B42" s="35"/>
      <c r="C42" s="35"/>
      <c r="D42" s="37">
        <f>+B36+C36+D36+E36+F36+G36+H36</f>
        <v>902681.3</v>
      </c>
      <c r="E42" s="77"/>
      <c r="F42" s="48"/>
      <c r="G42" s="14"/>
      <c r="H42" s="18"/>
      <c r="I42" s="14"/>
      <c r="J42" s="108">
        <v>902719</v>
      </c>
      <c r="K42" s="71" t="s">
        <v>80</v>
      </c>
      <c r="L42" s="16"/>
      <c r="M42" s="1"/>
      <c r="N42" s="1"/>
      <c r="O42" s="60"/>
      <c r="P42" s="53">
        <v>0</v>
      </c>
      <c r="Q42" s="35">
        <f>32000+42000</f>
        <v>74000</v>
      </c>
      <c r="R42" s="53">
        <v>5900</v>
      </c>
      <c r="S42" s="54"/>
      <c r="U42" s="1"/>
      <c r="V42" s="1"/>
      <c r="W42" s="1"/>
      <c r="X42" s="1"/>
    </row>
    <row r="43" spans="1:24" ht="15">
      <c r="A43" s="7" t="s">
        <v>58</v>
      </c>
      <c r="B43" s="35">
        <f>-2022.56-2651.08-250-250-2651.08-2651.08-2651.08-2651.08-2651.08-2651.08-2651.08-2651.08-2651.08-2651.08-2651.08</f>
        <v>-34335.52000000001</v>
      </c>
      <c r="C43" s="35">
        <f>-2040-7120.68-11246.87-19180-813.75-959.43-3767.5-4604.68</f>
        <v>-49732.91</v>
      </c>
      <c r="D43" s="37"/>
      <c r="E43" s="53"/>
      <c r="F43" s="48"/>
      <c r="G43" s="1"/>
      <c r="H43" s="18"/>
      <c r="I43" s="1"/>
      <c r="J43" s="84">
        <f>+J41-J42</f>
        <v>0.18999999994412065</v>
      </c>
      <c r="K43" s="85" t="s">
        <v>81</v>
      </c>
      <c r="L43" s="16"/>
      <c r="M43" s="1"/>
      <c r="N43" s="1"/>
      <c r="O43" s="60"/>
      <c r="P43" s="40">
        <v>0</v>
      </c>
      <c r="Q43" s="35">
        <f>30000+42000+10000</f>
        <v>82000</v>
      </c>
      <c r="R43" s="53">
        <v>5900</v>
      </c>
      <c r="S43" s="54"/>
      <c r="U43" s="1"/>
      <c r="V43" s="1"/>
      <c r="W43" s="1"/>
      <c r="X43" s="1"/>
    </row>
    <row r="44" spans="1:24" ht="15">
      <c r="A44" s="7" t="s">
        <v>59</v>
      </c>
      <c r="B44" s="35">
        <f>+Q71</f>
        <v>34500</v>
      </c>
      <c r="C44" s="35">
        <f>+P71</f>
        <v>51500</v>
      </c>
      <c r="D44" s="37">
        <f>-P54-Q54-R54-S54</f>
        <v>-969083.84</v>
      </c>
      <c r="E44" s="53"/>
      <c r="F44" s="36"/>
      <c r="G44" s="1"/>
      <c r="H44" s="18"/>
      <c r="I44" s="1"/>
      <c r="J44" s="1"/>
      <c r="K44" s="40"/>
      <c r="L44" s="16"/>
      <c r="M44" s="1"/>
      <c r="N44" s="1"/>
      <c r="O44" s="60"/>
      <c r="P44" s="53">
        <v>0</v>
      </c>
      <c r="Q44" s="35">
        <f>30000+42000</f>
        <v>72000</v>
      </c>
      <c r="R44" s="53">
        <v>2000</v>
      </c>
      <c r="S44" s="54"/>
      <c r="U44" s="1"/>
      <c r="V44" s="1"/>
      <c r="W44" s="1"/>
      <c r="X44" s="1"/>
    </row>
    <row r="45" spans="1:24" ht="15">
      <c r="A45" s="7" t="s">
        <v>40</v>
      </c>
      <c r="B45" s="35"/>
      <c r="C45" s="37">
        <f>0.67+0.09+0.02+0.03</f>
        <v>0.81</v>
      </c>
      <c r="D45" s="37">
        <v>7.1</v>
      </c>
      <c r="E45" s="53">
        <v>0.24</v>
      </c>
      <c r="F45" s="49">
        <f>1.7+1.59+0.34+0.34</f>
        <v>3.9699999999999998</v>
      </c>
      <c r="G45" s="1"/>
      <c r="H45" s="18"/>
      <c r="I45" s="1"/>
      <c r="J45" s="1"/>
      <c r="K45" s="1"/>
      <c r="L45" s="16"/>
      <c r="M45" s="1"/>
      <c r="N45" s="1"/>
      <c r="O45" s="60"/>
      <c r="P45" s="53">
        <v>0</v>
      </c>
      <c r="Q45" s="35">
        <f>25000+15000+26000+10000</f>
        <v>76000</v>
      </c>
      <c r="R45" s="53">
        <v>3000</v>
      </c>
      <c r="S45" s="54"/>
      <c r="U45" s="1"/>
      <c r="V45" s="1"/>
      <c r="W45" s="1"/>
      <c r="X45" s="1"/>
    </row>
    <row r="46" spans="1:24" ht="15">
      <c r="A46" s="7" t="s">
        <v>60</v>
      </c>
      <c r="B46" s="35"/>
      <c r="C46" s="35"/>
      <c r="D46" s="40">
        <v>40000</v>
      </c>
      <c r="E46" s="53"/>
      <c r="F46" s="48"/>
      <c r="G46" s="1"/>
      <c r="H46" s="18"/>
      <c r="I46" s="1"/>
      <c r="J46" s="1"/>
      <c r="K46" s="1"/>
      <c r="L46" s="16"/>
      <c r="M46" s="1"/>
      <c r="N46" s="1"/>
      <c r="O46" s="60"/>
      <c r="P46" s="53">
        <v>0</v>
      </c>
      <c r="Q46" s="35">
        <f>15000+5000+5000+40000</f>
        <v>65000</v>
      </c>
      <c r="R46" s="53">
        <v>2000</v>
      </c>
      <c r="S46" s="54">
        <v>4500</v>
      </c>
      <c r="U46" s="1"/>
      <c r="V46" s="1"/>
      <c r="W46" s="1"/>
      <c r="X46" s="1"/>
    </row>
    <row r="47" spans="1:24" ht="15">
      <c r="A47" s="7" t="s">
        <v>67</v>
      </c>
      <c r="B47" s="36"/>
      <c r="C47" s="35"/>
      <c r="D47" s="37">
        <f>-21.09-21.09-73.69-21.09-26.6-41.51-34.33-67.69-24.17-44.69-23.15-29.99-37.29-32.58-78.1-46.64-77.41-53.47-45.16-195.46</f>
        <v>-995.1999999999999</v>
      </c>
      <c r="E47" s="53"/>
      <c r="F47" s="48"/>
      <c r="G47" s="1"/>
      <c r="H47" s="18"/>
      <c r="I47" s="1"/>
      <c r="J47" s="1"/>
      <c r="K47" s="1"/>
      <c r="L47" s="16"/>
      <c r="M47" s="1"/>
      <c r="N47" s="1"/>
      <c r="O47" s="60"/>
      <c r="P47" s="53">
        <v>10500</v>
      </c>
      <c r="Q47" s="35">
        <f>9000+10000+38000</f>
        <v>57000</v>
      </c>
      <c r="R47" s="53">
        <v>2000</v>
      </c>
      <c r="S47" s="54"/>
      <c r="U47" s="1"/>
      <c r="V47" s="1"/>
      <c r="W47" s="1"/>
      <c r="X47" s="1"/>
    </row>
    <row r="48" spans="1:24" ht="15">
      <c r="A48" s="7" t="s">
        <v>68</v>
      </c>
      <c r="B48" s="35"/>
      <c r="C48" s="35"/>
      <c r="D48" s="37">
        <f>-7.5-7.5-7.5-161.98-33-33-33-7.5-15-71.41-7.5</f>
        <v>-384.89</v>
      </c>
      <c r="E48" s="37"/>
      <c r="F48" s="37"/>
      <c r="H48" s="43">
        <f>B50+D48+F50+E50-Construction!E22+K19</f>
        <v>-156.5</v>
      </c>
      <c r="I48" s="37" t="s">
        <v>72</v>
      </c>
      <c r="J48" s="42"/>
      <c r="K48" s="1"/>
      <c r="L48" s="16"/>
      <c r="M48" s="1"/>
      <c r="N48" s="1"/>
      <c r="O48" s="60"/>
      <c r="P48" s="53">
        <v>0</v>
      </c>
      <c r="Q48" s="35">
        <f>14000+10000+3000+45583.84</f>
        <v>72583.84</v>
      </c>
      <c r="R48" s="53">
        <v>1000</v>
      </c>
      <c r="S48" s="54"/>
      <c r="U48" s="1"/>
      <c r="V48" s="1"/>
      <c r="W48" s="1"/>
      <c r="X48" s="1"/>
    </row>
    <row r="49" spans="1:24" ht="15">
      <c r="A49" s="7" t="s">
        <v>61</v>
      </c>
      <c r="B49" s="35"/>
      <c r="C49" s="35"/>
      <c r="D49" s="37"/>
      <c r="E49" s="53"/>
      <c r="F49" s="48"/>
      <c r="G49" s="1"/>
      <c r="H49" s="18"/>
      <c r="I49" s="1"/>
      <c r="J49" s="1"/>
      <c r="K49" s="1"/>
      <c r="L49" s="16"/>
      <c r="M49" s="1"/>
      <c r="N49" s="1"/>
      <c r="O49" s="60"/>
      <c r="P49" s="53">
        <v>0</v>
      </c>
      <c r="Q49" s="35">
        <f>14000+16000+52000+8000</f>
        <v>90000</v>
      </c>
      <c r="R49" s="53">
        <v>2000</v>
      </c>
      <c r="S49" s="54">
        <v>1000</v>
      </c>
      <c r="U49" s="1"/>
      <c r="V49" s="1"/>
      <c r="W49" s="1"/>
      <c r="X49" s="1"/>
    </row>
    <row r="50" spans="1:24" ht="15">
      <c r="A50" s="7" t="s">
        <v>62</v>
      </c>
      <c r="B50" s="43">
        <v>-35</v>
      </c>
      <c r="C50" s="43">
        <v>0</v>
      </c>
      <c r="D50" s="43">
        <v>0</v>
      </c>
      <c r="E50" s="46">
        <v>0</v>
      </c>
      <c r="F50" s="75">
        <f>-5-5-5-5-5-5</f>
        <v>-30</v>
      </c>
      <c r="H50" s="18"/>
      <c r="I50" s="1"/>
      <c r="J50" s="1"/>
      <c r="K50" s="1"/>
      <c r="L50" s="16"/>
      <c r="M50" s="1"/>
      <c r="N50" s="1"/>
      <c r="O50" s="60"/>
      <c r="P50" s="53">
        <v>0</v>
      </c>
      <c r="Q50" s="35">
        <f>20000+15000+52000</f>
        <v>87000</v>
      </c>
      <c r="R50" s="53">
        <v>3000</v>
      </c>
      <c r="S50" s="54"/>
      <c r="U50" s="1"/>
      <c r="V50" s="1"/>
      <c r="W50" s="1"/>
      <c r="X50" s="1"/>
    </row>
    <row r="51" spans="1:24" ht="12.75">
      <c r="A51" s="15"/>
      <c r="B51" s="35">
        <f>SUM(B41:B50)</f>
        <v>420.83999999998923</v>
      </c>
      <c r="C51" s="35">
        <f>SUM(C41:C50)</f>
        <v>42130.479999999996</v>
      </c>
      <c r="D51" s="35">
        <f>SUM(D41:D50)</f>
        <v>36333.57000000006</v>
      </c>
      <c r="E51" s="76">
        <f>SUM(E41:E50)</f>
        <v>485.17</v>
      </c>
      <c r="F51" s="37">
        <f>SUM(F41:F50)</f>
        <v>13475.179999999998</v>
      </c>
      <c r="G51" s="1"/>
      <c r="H51" s="1"/>
      <c r="I51" s="1"/>
      <c r="J51" s="1"/>
      <c r="K51" s="1"/>
      <c r="L51" s="16"/>
      <c r="M51" s="1"/>
      <c r="N51" s="1"/>
      <c r="O51" s="60"/>
      <c r="P51" s="53">
        <v>0</v>
      </c>
      <c r="Q51" s="35">
        <f>12000+10000+45000</f>
        <v>67000</v>
      </c>
      <c r="R51" s="53">
        <v>2500</v>
      </c>
      <c r="S51" s="54"/>
      <c r="U51" s="1"/>
      <c r="V51" s="1"/>
      <c r="W51" s="1"/>
      <c r="X51" s="1"/>
    </row>
    <row r="52" spans="1:24" ht="15">
      <c r="A52" s="15"/>
      <c r="B52" s="46">
        <v>420.84</v>
      </c>
      <c r="C52" s="43">
        <v>42130.48</v>
      </c>
      <c r="D52" s="43">
        <v>36333.57</v>
      </c>
      <c r="E52" s="78">
        <v>485.17</v>
      </c>
      <c r="F52" s="43">
        <v>13475.18</v>
      </c>
      <c r="G52" s="1"/>
      <c r="H52" s="1"/>
      <c r="I52" s="1"/>
      <c r="J52" s="1"/>
      <c r="K52" s="1"/>
      <c r="L52" s="16"/>
      <c r="M52" s="1"/>
      <c r="N52" s="1"/>
      <c r="O52" s="60"/>
      <c r="P52" s="53">
        <v>0</v>
      </c>
      <c r="Q52" s="35">
        <f>40000+20000+20000+15000</f>
        <v>95000</v>
      </c>
      <c r="R52" s="53">
        <v>2500</v>
      </c>
      <c r="S52" s="54"/>
      <c r="U52" s="1"/>
      <c r="V52" s="1"/>
      <c r="W52" s="1"/>
      <c r="X52" s="1"/>
    </row>
    <row r="53" spans="2:24" ht="15">
      <c r="B53" s="47">
        <f>+B52-B51</f>
        <v>1.0743406164692715E-11</v>
      </c>
      <c r="C53" s="47">
        <f>+C52-C51</f>
        <v>0</v>
      </c>
      <c r="D53" s="37">
        <f>+D51-D52</f>
        <v>5.820766091346741E-11</v>
      </c>
      <c r="E53" s="76">
        <f>+E51-E52</f>
        <v>0</v>
      </c>
      <c r="F53" s="76">
        <f>+F51-F52</f>
        <v>0</v>
      </c>
      <c r="G53" s="1"/>
      <c r="H53" s="1"/>
      <c r="I53" s="1"/>
      <c r="J53" s="1"/>
      <c r="K53" s="1"/>
      <c r="L53" s="16"/>
      <c r="M53" s="1"/>
      <c r="N53" s="1"/>
      <c r="O53" s="55">
        <v>0</v>
      </c>
      <c r="P53" s="46">
        <f>40000+1000</f>
        <v>41000</v>
      </c>
      <c r="Q53" s="46">
        <f>20000+20000</f>
        <v>40000</v>
      </c>
      <c r="R53" s="46">
        <f>2700</f>
        <v>2700</v>
      </c>
      <c r="S53" s="72">
        <v>0</v>
      </c>
      <c r="U53" s="1"/>
      <c r="V53" s="1"/>
      <c r="W53" s="1"/>
      <c r="X53" s="1"/>
    </row>
    <row r="54" spans="2:24" ht="12.75">
      <c r="B54" s="1"/>
      <c r="C54" s="31"/>
      <c r="D54" s="74"/>
      <c r="E54" s="31"/>
      <c r="G54" s="1"/>
      <c r="H54" s="1"/>
      <c r="I54" s="1"/>
      <c r="J54" s="1"/>
      <c r="K54" s="1"/>
      <c r="L54" s="1"/>
      <c r="M54" s="1"/>
      <c r="N54" s="1"/>
      <c r="O54" s="61">
        <f>SUM(O42:O53)</f>
        <v>0</v>
      </c>
      <c r="P54" s="34">
        <f>SUM(P42:P53)</f>
        <v>51500</v>
      </c>
      <c r="Q54" s="34">
        <f>SUM(Q42:Q53)</f>
        <v>877583.84</v>
      </c>
      <c r="R54" s="34">
        <f>SUM(R42:R53)</f>
        <v>34500</v>
      </c>
      <c r="S54" s="73">
        <f>SUM(S42:S53)</f>
        <v>5500</v>
      </c>
      <c r="U54" s="1"/>
      <c r="V54" s="1"/>
      <c r="W54" s="1"/>
      <c r="X54" s="1"/>
    </row>
    <row r="55" spans="2:24" ht="12.75">
      <c r="B55" s="11"/>
      <c r="C55" s="3"/>
      <c r="D55" s="14"/>
      <c r="E55" s="14"/>
      <c r="F55" s="1"/>
      <c r="G55" s="1"/>
      <c r="H55" s="1"/>
      <c r="I55" s="1"/>
      <c r="J55" s="1"/>
      <c r="K55" s="1"/>
      <c r="L55" s="1"/>
      <c r="M55" s="1"/>
      <c r="N55" s="1"/>
      <c r="O55" s="62">
        <f>-O71</f>
        <v>0</v>
      </c>
      <c r="P55" s="42">
        <f>-P71</f>
        <v>-51500</v>
      </c>
      <c r="Q55" s="53">
        <f>-AB18</f>
        <v>-877583.84</v>
      </c>
      <c r="R55" s="63">
        <f>-Q71</f>
        <v>-34500</v>
      </c>
      <c r="S55" s="54"/>
      <c r="T55" s="1"/>
      <c r="U55" s="1"/>
      <c r="V55" s="1"/>
      <c r="W55" s="1"/>
      <c r="X55" s="1"/>
    </row>
    <row r="56" spans="1:24" ht="12.75">
      <c r="A56" t="s">
        <v>45</v>
      </c>
      <c r="B56" s="14"/>
      <c r="C56" s="3"/>
      <c r="D56" s="4"/>
      <c r="E56" s="8"/>
      <c r="F56" s="1"/>
      <c r="G56" s="1"/>
      <c r="H56" s="1"/>
      <c r="I56" s="1"/>
      <c r="J56" s="1"/>
      <c r="K56" s="1"/>
      <c r="M56" s="1"/>
      <c r="N56" s="1"/>
      <c r="O56" s="61">
        <f>+O54+O55</f>
        <v>0</v>
      </c>
      <c r="P56" s="34">
        <f>+P54+P55</f>
        <v>0</v>
      </c>
      <c r="Q56" s="34">
        <f>Q54+Q55</f>
        <v>0</v>
      </c>
      <c r="R56" s="34">
        <f>R54+R55</f>
        <v>0</v>
      </c>
      <c r="S56" s="54"/>
      <c r="T56" s="1"/>
      <c r="U56" s="1"/>
      <c r="V56" s="1"/>
      <c r="W56" s="1"/>
      <c r="X56" s="1"/>
    </row>
    <row r="57" spans="2:24" ht="15">
      <c r="B57" s="37"/>
      <c r="C57" s="41" t="s">
        <v>52</v>
      </c>
      <c r="D57" s="5"/>
      <c r="E57" s="14"/>
      <c r="F57" s="1"/>
      <c r="G57" s="1"/>
      <c r="H57" s="1"/>
      <c r="I57" s="1"/>
      <c r="J57" s="1"/>
      <c r="K57" s="1"/>
      <c r="N57" s="10"/>
      <c r="O57" s="64" t="s">
        <v>78</v>
      </c>
      <c r="P57" s="65" t="s">
        <v>77</v>
      </c>
      <c r="Q57" s="37" t="s">
        <v>79</v>
      </c>
      <c r="R57" s="53"/>
      <c r="S57" s="54"/>
      <c r="T57" s="1"/>
      <c r="U57" s="1"/>
      <c r="V57" s="1"/>
      <c r="W57" s="1"/>
      <c r="X57" s="1"/>
    </row>
    <row r="58" spans="1:24" ht="12.75">
      <c r="A58" t="s">
        <v>46</v>
      </c>
      <c r="B58" s="37"/>
      <c r="C58" s="35"/>
      <c r="D58" s="14"/>
      <c r="E58" s="14"/>
      <c r="F58" s="1"/>
      <c r="G58" s="1"/>
      <c r="H58" s="1"/>
      <c r="I58" s="1"/>
      <c r="J58" s="1"/>
      <c r="K58" s="1"/>
      <c r="L58" s="20"/>
      <c r="M58" s="14"/>
      <c r="N58" s="1"/>
      <c r="O58" s="62"/>
      <c r="P58" s="42"/>
      <c r="Q58" s="42">
        <v>5900</v>
      </c>
      <c r="R58" s="53"/>
      <c r="S58" s="54"/>
      <c r="T58" s="1"/>
      <c r="U58" s="1"/>
      <c r="V58" s="1"/>
      <c r="W58" s="1"/>
      <c r="X58" s="1"/>
    </row>
    <row r="59" spans="1:24" ht="12.75">
      <c r="A59" s="7" t="s">
        <v>66</v>
      </c>
      <c r="B59" s="37">
        <f>D45</f>
        <v>7.1</v>
      </c>
      <c r="C59" s="36"/>
      <c r="D59" s="14"/>
      <c r="E59" s="14"/>
      <c r="F59" s="1"/>
      <c r="G59" s="1"/>
      <c r="H59" s="1"/>
      <c r="I59" s="1"/>
      <c r="J59" s="1"/>
      <c r="K59" s="1"/>
      <c r="L59" s="14"/>
      <c r="M59" s="14"/>
      <c r="N59" s="1"/>
      <c r="O59" s="62"/>
      <c r="P59" s="42"/>
      <c r="Q59" s="53">
        <v>5900</v>
      </c>
      <c r="R59" s="53"/>
      <c r="S59" s="54"/>
      <c r="T59" s="1"/>
      <c r="U59" s="1"/>
      <c r="V59" s="1"/>
      <c r="W59" s="1"/>
      <c r="X59" s="1"/>
    </row>
    <row r="60" spans="1:24" ht="12.75">
      <c r="A60" t="s">
        <v>47</v>
      </c>
      <c r="B60" s="37">
        <f>11.05+10.33+2.18+2.21</f>
        <v>25.770000000000003</v>
      </c>
      <c r="C60" s="35">
        <v>87736.02</v>
      </c>
      <c r="D60" s="14"/>
      <c r="E60" s="14"/>
      <c r="F60" s="1"/>
      <c r="G60" s="1"/>
      <c r="H60" s="1"/>
      <c r="I60" s="1"/>
      <c r="J60" s="1"/>
      <c r="K60" s="1"/>
      <c r="L60" s="14"/>
      <c r="M60" s="14"/>
      <c r="N60" s="1"/>
      <c r="O60" s="62"/>
      <c r="P60" s="42"/>
      <c r="Q60" s="53">
        <v>2000</v>
      </c>
      <c r="R60" s="53"/>
      <c r="S60" s="54"/>
      <c r="T60" s="1"/>
      <c r="U60" s="1"/>
      <c r="V60" s="1"/>
      <c r="W60" s="1"/>
      <c r="X60" s="1"/>
    </row>
    <row r="61" spans="1:24" ht="12.75">
      <c r="A61" s="7" t="s">
        <v>83</v>
      </c>
      <c r="B61" s="37">
        <f>E45</f>
        <v>0.24</v>
      </c>
      <c r="C61" s="35">
        <f>E52</f>
        <v>485.17</v>
      </c>
      <c r="D61" s="14"/>
      <c r="E61" s="14"/>
      <c r="F61" s="1"/>
      <c r="G61" s="1"/>
      <c r="H61" s="1"/>
      <c r="I61" s="1"/>
      <c r="J61" s="1"/>
      <c r="K61" s="1"/>
      <c r="L61" s="14"/>
      <c r="M61" s="14"/>
      <c r="N61" s="1"/>
      <c r="O61" s="62"/>
      <c r="P61" s="42"/>
      <c r="Q61" s="53">
        <v>3000</v>
      </c>
      <c r="R61" s="53"/>
      <c r="S61" s="54"/>
      <c r="T61" s="1"/>
      <c r="U61" s="1"/>
      <c r="V61" s="1"/>
      <c r="W61" s="1"/>
      <c r="X61" s="1"/>
    </row>
    <row r="62" spans="1:24" ht="12.75">
      <c r="A62" t="s">
        <v>18</v>
      </c>
      <c r="B62" s="37">
        <f>F45</f>
        <v>3.9699999999999998</v>
      </c>
      <c r="C62" s="35">
        <f>F52</f>
        <v>13475.18</v>
      </c>
      <c r="D62" s="14"/>
      <c r="E62" s="14"/>
      <c r="F62" s="1"/>
      <c r="G62" s="1"/>
      <c r="H62" s="1"/>
      <c r="I62" s="1"/>
      <c r="J62" s="1"/>
      <c r="K62" s="1"/>
      <c r="L62" s="17"/>
      <c r="M62" s="1"/>
      <c r="N62" s="1"/>
      <c r="O62" s="62"/>
      <c r="P62" s="42"/>
      <c r="Q62" s="53">
        <v>2000</v>
      </c>
      <c r="R62" s="53"/>
      <c r="S62" s="54"/>
      <c r="T62" s="1"/>
      <c r="U62" s="1"/>
      <c r="V62" s="1"/>
      <c r="W62" s="1"/>
      <c r="X62" s="1"/>
    </row>
    <row r="63" spans="1:24" ht="12.75">
      <c r="A63" t="s">
        <v>48</v>
      </c>
      <c r="B63" s="37">
        <f>E36</f>
        <v>0</v>
      </c>
      <c r="C63" s="35"/>
      <c r="D63" s="14"/>
      <c r="E63" s="14"/>
      <c r="F63" s="1"/>
      <c r="G63" s="1"/>
      <c r="H63" s="1"/>
      <c r="I63" s="1"/>
      <c r="J63" s="1"/>
      <c r="K63" s="1"/>
      <c r="L63" s="16"/>
      <c r="M63" s="1"/>
      <c r="N63" s="1"/>
      <c r="O63" s="62"/>
      <c r="P63" s="42">
        <v>10500</v>
      </c>
      <c r="Q63" s="53">
        <v>2000</v>
      </c>
      <c r="R63" s="53"/>
      <c r="S63" s="54"/>
      <c r="T63" s="1"/>
      <c r="U63" s="1"/>
      <c r="V63" s="1"/>
      <c r="W63" s="1"/>
      <c r="X63" s="1"/>
    </row>
    <row r="64" spans="1:24" ht="12.75">
      <c r="A64" s="7" t="s">
        <v>71</v>
      </c>
      <c r="B64" s="79">
        <f>C45</f>
        <v>0.81</v>
      </c>
      <c r="C64" s="35"/>
      <c r="D64" s="14"/>
      <c r="E64" s="14"/>
      <c r="F64" s="1"/>
      <c r="G64" s="1"/>
      <c r="H64" s="1"/>
      <c r="I64" s="1"/>
      <c r="J64" s="1"/>
      <c r="K64" s="1"/>
      <c r="L64" s="16"/>
      <c r="M64" s="1"/>
      <c r="N64" s="1"/>
      <c r="O64" s="62"/>
      <c r="P64" s="42"/>
      <c r="Q64" s="53">
        <v>1000</v>
      </c>
      <c r="R64" s="53"/>
      <c r="S64" s="54"/>
      <c r="T64" s="1"/>
      <c r="U64" s="1"/>
      <c r="V64" s="1"/>
      <c r="W64" s="1"/>
      <c r="X64" s="1"/>
    </row>
    <row r="65" spans="2:24" ht="12.75">
      <c r="B65" s="35">
        <f>SUM(B59:B64)</f>
        <v>37.89000000000001</v>
      </c>
      <c r="C65" s="35"/>
      <c r="D65" s="14"/>
      <c r="E65" s="14"/>
      <c r="F65" s="1"/>
      <c r="G65" s="1"/>
      <c r="H65" s="1"/>
      <c r="I65" s="1"/>
      <c r="J65" s="1"/>
      <c r="K65" s="1"/>
      <c r="L65" s="1"/>
      <c r="M65" s="1"/>
      <c r="N65" s="1"/>
      <c r="O65" s="62"/>
      <c r="P65" s="42"/>
      <c r="Q65" s="53">
        <v>2000</v>
      </c>
      <c r="R65" s="53"/>
      <c r="S65" s="54"/>
      <c r="T65" s="1"/>
      <c r="U65" s="1"/>
      <c r="V65" s="1"/>
      <c r="W65" s="1"/>
      <c r="X65" s="1"/>
    </row>
    <row r="66" spans="2:24" ht="12.75">
      <c r="B66" s="35"/>
      <c r="C66" s="35"/>
      <c r="D66" s="14"/>
      <c r="E66" s="14"/>
      <c r="F66" s="1"/>
      <c r="G66" s="1"/>
      <c r="H66" s="1"/>
      <c r="J66" s="1"/>
      <c r="K66" s="1"/>
      <c r="L66" s="1"/>
      <c r="M66" s="1"/>
      <c r="N66" s="1"/>
      <c r="O66" s="62"/>
      <c r="P66" s="42"/>
      <c r="Q66" s="53">
        <v>3000</v>
      </c>
      <c r="R66" s="53"/>
      <c r="S66" s="54"/>
      <c r="T66" s="1"/>
      <c r="U66" s="1"/>
      <c r="V66" s="1"/>
      <c r="W66" s="1"/>
      <c r="X66" s="1"/>
    </row>
    <row r="67" spans="2:24" ht="12.75">
      <c r="B67" s="14"/>
      <c r="C67" s="14"/>
      <c r="D67" s="14"/>
      <c r="E67" s="14"/>
      <c r="F67" s="1"/>
      <c r="G67" s="1"/>
      <c r="H67" s="1"/>
      <c r="J67" s="1"/>
      <c r="K67" s="1"/>
      <c r="L67" s="1"/>
      <c r="M67" s="1"/>
      <c r="N67" s="1"/>
      <c r="O67" s="62"/>
      <c r="P67" s="42"/>
      <c r="Q67" s="53">
        <v>2500</v>
      </c>
      <c r="R67" s="53"/>
      <c r="S67" s="54"/>
      <c r="T67" s="1"/>
      <c r="U67" s="1"/>
      <c r="V67" s="1"/>
      <c r="W67" s="1"/>
      <c r="X67" s="1"/>
    </row>
    <row r="68" spans="1:24" ht="12.75">
      <c r="A68" s="33" t="s">
        <v>87</v>
      </c>
      <c r="B68" s="14"/>
      <c r="C68" s="14"/>
      <c r="D68" s="14"/>
      <c r="E68" s="14"/>
      <c r="F68" s="1"/>
      <c r="G68" s="1"/>
      <c r="H68" s="1"/>
      <c r="I68" s="1"/>
      <c r="J68" s="1"/>
      <c r="K68" s="1"/>
      <c r="L68" s="1"/>
      <c r="M68" s="1"/>
      <c r="N68" s="1"/>
      <c r="O68" s="62"/>
      <c r="P68" s="42"/>
      <c r="Q68" s="53">
        <v>2500</v>
      </c>
      <c r="R68" s="53"/>
      <c r="S68" s="54"/>
      <c r="T68" s="1"/>
      <c r="U68" s="1"/>
      <c r="V68" s="1"/>
      <c r="W68" s="1"/>
      <c r="X68" s="1"/>
    </row>
    <row r="69" spans="2:24" ht="12.75">
      <c r="B69" s="14"/>
      <c r="C69" s="29"/>
      <c r="D69" s="29"/>
      <c r="E69" s="14"/>
      <c r="F69" s="1"/>
      <c r="G69" s="1"/>
      <c r="H69" s="1"/>
      <c r="I69" s="1"/>
      <c r="J69" s="1"/>
      <c r="K69" s="1"/>
      <c r="L69" s="16"/>
      <c r="M69" s="1"/>
      <c r="N69" s="1"/>
      <c r="O69" s="64"/>
      <c r="P69" s="37">
        <f>40000+1000</f>
        <v>41000</v>
      </c>
      <c r="Q69" s="53">
        <v>2700</v>
      </c>
      <c r="R69" s="53"/>
      <c r="S69" s="54"/>
      <c r="T69" s="1"/>
      <c r="U69" s="1"/>
      <c r="V69" s="1"/>
      <c r="W69" s="1"/>
      <c r="X69" s="1"/>
    </row>
    <row r="70" spans="1:24" ht="15">
      <c r="A70" s="36"/>
      <c r="B70" s="29"/>
      <c r="C70" s="29"/>
      <c r="D70" s="29"/>
      <c r="E70" s="14"/>
      <c r="F70" s="1"/>
      <c r="G70" s="1"/>
      <c r="H70" s="1"/>
      <c r="I70" s="1"/>
      <c r="J70" s="1"/>
      <c r="K70" s="1"/>
      <c r="L70" s="1"/>
      <c r="M70" s="1"/>
      <c r="N70" s="1"/>
      <c r="O70" s="55">
        <v>0</v>
      </c>
      <c r="P70" s="46">
        <v>0</v>
      </c>
      <c r="Q70" s="46">
        <v>0</v>
      </c>
      <c r="R70" s="53"/>
      <c r="S70" s="54"/>
      <c r="T70" s="1"/>
      <c r="U70" s="1"/>
      <c r="V70" s="1"/>
      <c r="W70" s="1"/>
      <c r="X70" s="1"/>
    </row>
    <row r="71" spans="1:24" ht="12.75">
      <c r="A71" s="49"/>
      <c r="B71" s="29"/>
      <c r="C71" s="29"/>
      <c r="D71" s="29"/>
      <c r="E71" s="1"/>
      <c r="F71" s="1"/>
      <c r="G71" s="1"/>
      <c r="H71" s="1"/>
      <c r="I71" s="1"/>
      <c r="J71" s="1"/>
      <c r="K71" s="1"/>
      <c r="L71" s="1"/>
      <c r="M71" s="1"/>
      <c r="N71" s="1"/>
      <c r="O71" s="66">
        <f>SUM(O58:O70)</f>
        <v>0</v>
      </c>
      <c r="P71" s="66">
        <f>SUM(P58:P70)</f>
        <v>51500</v>
      </c>
      <c r="Q71" s="69">
        <f>SUM(Q58:Q70)</f>
        <v>34500</v>
      </c>
      <c r="R71" s="67"/>
      <c r="S71" s="68"/>
      <c r="T71" s="1"/>
      <c r="U71" s="1"/>
      <c r="V71" s="1"/>
      <c r="W71" s="1"/>
      <c r="X71" s="1"/>
    </row>
    <row r="72" spans="1:24" ht="12.75">
      <c r="A72" s="49"/>
      <c r="B72" s="29"/>
      <c r="C72" s="29"/>
      <c r="D72" s="29"/>
      <c r="E72" s="1"/>
      <c r="F72" s="1"/>
      <c r="G72" s="1"/>
      <c r="H72" s="1"/>
      <c r="I72" s="1"/>
      <c r="J72" s="1"/>
      <c r="K72" s="1"/>
      <c r="L72" s="1"/>
      <c r="M72" s="1"/>
      <c r="N72" s="1"/>
      <c r="R72" s="1"/>
      <c r="S72" s="1"/>
      <c r="T72" s="1"/>
      <c r="U72" s="1"/>
      <c r="V72" s="1"/>
      <c r="W72" s="1"/>
      <c r="X72" s="1"/>
    </row>
    <row r="73" spans="1:24" ht="12.75">
      <c r="A73" s="49"/>
      <c r="B73" s="29"/>
      <c r="C73" s="29"/>
      <c r="D73" s="2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49"/>
      <c r="B74" s="29"/>
      <c r="C74" s="29"/>
      <c r="D74" s="29"/>
      <c r="E74" s="1"/>
      <c r="F74" s="1"/>
      <c r="G74" s="1"/>
      <c r="H74" s="1"/>
      <c r="I74" s="1"/>
      <c r="J74" s="1"/>
      <c r="K74" s="1"/>
      <c r="L74" s="1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49"/>
      <c r="B75" s="29"/>
      <c r="C75" s="29"/>
      <c r="D75" s="29"/>
      <c r="E75" s="1"/>
      <c r="F75" s="1"/>
      <c r="G75" s="1"/>
      <c r="H75" s="1"/>
      <c r="I75" s="1"/>
      <c r="J75" s="1"/>
      <c r="K75" s="1"/>
      <c r="L75" s="1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2.75">
      <c r="B76" s="29"/>
      <c r="C76" s="29"/>
      <c r="D76" s="2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2.75">
      <c r="B77" s="29"/>
      <c r="C77" s="29"/>
      <c r="D77" s="2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2.75">
      <c r="B78" s="29"/>
      <c r="C78" s="29"/>
      <c r="D78" s="2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2.75">
      <c r="B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5:24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</sheetData>
  <sheetProtection/>
  <printOptions/>
  <pageMargins left="0.21" right="0.26" top="0.5" bottom="0.5" header="0.5" footer="0.5"/>
  <pageSetup fitToHeight="1" fitToWidth="1" orientation="landscape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27.8515625" style="0" bestFit="1" customWidth="1"/>
    <col min="2" max="3" width="9.7109375" style="0" bestFit="1" customWidth="1"/>
    <col min="4" max="4" width="10.28125" style="0" bestFit="1" customWidth="1"/>
    <col min="5" max="5" width="9.140625" style="0" customWidth="1"/>
    <col min="6" max="6" width="11.28125" style="0" bestFit="1" customWidth="1"/>
    <col min="7" max="7" width="27.8515625" style="0" customWidth="1"/>
    <col min="8" max="8" width="9.7109375" style="0" bestFit="1" customWidth="1"/>
  </cols>
  <sheetData>
    <row r="1" ht="12.75">
      <c r="A1" t="s">
        <v>0</v>
      </c>
    </row>
    <row r="2" ht="12.75">
      <c r="A2" t="s">
        <v>51</v>
      </c>
    </row>
    <row r="3" spans="1:12" ht="12.75">
      <c r="A3" s="86">
        <v>44196</v>
      </c>
      <c r="D3" s="21"/>
      <c r="G3" s="107"/>
      <c r="H3" s="36"/>
      <c r="I3" s="36"/>
      <c r="J3" s="36"/>
      <c r="K3" s="36"/>
      <c r="L3" s="36"/>
    </row>
    <row r="4" ht="12.75">
      <c r="D4" s="21"/>
    </row>
    <row r="5" ht="12.75">
      <c r="D5" s="21"/>
    </row>
    <row r="6" ht="12.75">
      <c r="D6" s="21"/>
    </row>
    <row r="7" ht="12.75">
      <c r="D7" s="21"/>
    </row>
    <row r="8" spans="1:6" s="36" customFormat="1" ht="12.75">
      <c r="A8" s="36" t="s">
        <v>63</v>
      </c>
      <c r="D8" s="38"/>
      <c r="F8" s="88">
        <v>457.41</v>
      </c>
    </row>
    <row r="9" spans="2:6" s="36" customFormat="1" ht="12.75">
      <c r="B9" s="87" t="s">
        <v>40</v>
      </c>
      <c r="C9" s="87" t="s">
        <v>37</v>
      </c>
      <c r="D9" s="87" t="s">
        <v>88</v>
      </c>
      <c r="E9" s="87" t="s">
        <v>27</v>
      </c>
      <c r="F9" s="88"/>
    </row>
    <row r="10" spans="1:11" ht="12.75">
      <c r="A10" s="49" t="s">
        <v>89</v>
      </c>
      <c r="B10" s="97"/>
      <c r="C10" s="97">
        <v>4353.1</v>
      </c>
      <c r="D10" s="97"/>
      <c r="E10" s="97">
        <v>-5</v>
      </c>
      <c r="F10" s="88">
        <f>F8+B10+C10+D10+E10</f>
        <v>4805.51</v>
      </c>
      <c r="G10" s="36"/>
      <c r="H10" s="36"/>
      <c r="I10" s="36"/>
      <c r="J10" s="36"/>
      <c r="K10" s="36"/>
    </row>
    <row r="11" spans="1:9" ht="12.75">
      <c r="A11" s="7" t="s">
        <v>90</v>
      </c>
      <c r="B11" s="98"/>
      <c r="C11" s="98">
        <v>50513.92</v>
      </c>
      <c r="D11" s="99">
        <f>-4353.1-44175</f>
        <v>-48528.1</v>
      </c>
      <c r="E11" s="99">
        <v>-5</v>
      </c>
      <c r="F11" s="88">
        <f>F10+B11+C11+D11+E11</f>
        <v>6786.330000000002</v>
      </c>
      <c r="G11" s="22"/>
      <c r="H11" s="22"/>
      <c r="I11" s="22"/>
    </row>
    <row r="12" spans="1:9" ht="12.75">
      <c r="A12" s="7" t="s">
        <v>91</v>
      </c>
      <c r="B12" s="98"/>
      <c r="C12" s="100"/>
      <c r="D12" s="99">
        <v>-6338.92</v>
      </c>
      <c r="E12" s="99">
        <v>-5</v>
      </c>
      <c r="F12" s="88">
        <f aca="true" t="shared" si="0" ref="F12:F21">F11+B12+C12+D12+E12</f>
        <v>442.4100000000017</v>
      </c>
      <c r="G12" s="22"/>
      <c r="H12" s="22"/>
      <c r="I12" s="22"/>
    </row>
    <row r="13" spans="1:9" ht="12.75">
      <c r="A13" s="7" t="s">
        <v>92</v>
      </c>
      <c r="B13" s="98"/>
      <c r="C13" s="100">
        <v>8555.83</v>
      </c>
      <c r="D13" s="99"/>
      <c r="E13" s="99">
        <v>-5</v>
      </c>
      <c r="F13" s="88">
        <f t="shared" si="0"/>
        <v>8993.240000000002</v>
      </c>
      <c r="G13" s="22"/>
      <c r="H13" s="22"/>
      <c r="I13" s="22"/>
    </row>
    <row r="14" spans="1:9" ht="12.75">
      <c r="A14" s="7" t="s">
        <v>5</v>
      </c>
      <c r="B14" s="98"/>
      <c r="C14" s="100">
        <v>1600.68</v>
      </c>
      <c r="D14" s="99">
        <f>-4289.8-2388.83-1877.2-1600.68</f>
        <v>-10156.51</v>
      </c>
      <c r="E14" s="99">
        <v>-5</v>
      </c>
      <c r="F14" s="88">
        <f t="shared" si="0"/>
        <v>432.4100000000017</v>
      </c>
      <c r="G14" s="22"/>
      <c r="H14" s="22"/>
      <c r="I14" s="22"/>
    </row>
    <row r="15" spans="1:9" ht="12.75">
      <c r="A15" s="7" t="s">
        <v>93</v>
      </c>
      <c r="B15" s="98"/>
      <c r="C15" s="98"/>
      <c r="D15" s="99"/>
      <c r="E15" s="99">
        <v>-5</v>
      </c>
      <c r="F15" s="88">
        <f t="shared" si="0"/>
        <v>427.4100000000017</v>
      </c>
      <c r="G15" s="22"/>
      <c r="H15" s="22"/>
      <c r="I15" s="22"/>
    </row>
    <row r="16" spans="1:9" ht="12.75">
      <c r="A16" s="7" t="s">
        <v>94</v>
      </c>
      <c r="B16" s="101"/>
      <c r="C16" s="98"/>
      <c r="D16" s="102"/>
      <c r="E16" s="102">
        <v>-5</v>
      </c>
      <c r="F16" s="88">
        <f t="shared" si="0"/>
        <v>422.4100000000017</v>
      </c>
      <c r="G16" s="22"/>
      <c r="H16" s="22"/>
      <c r="I16" s="22"/>
    </row>
    <row r="17" spans="1:9" ht="12.75">
      <c r="A17" s="7" t="s">
        <v>95</v>
      </c>
      <c r="B17" s="98"/>
      <c r="C17" s="98"/>
      <c r="D17" s="102"/>
      <c r="E17" s="102">
        <v>-5</v>
      </c>
      <c r="F17" s="88">
        <f t="shared" si="0"/>
        <v>417.4100000000017</v>
      </c>
      <c r="G17" s="22"/>
      <c r="H17" s="22"/>
      <c r="I17" s="22"/>
    </row>
    <row r="18" spans="1:6" ht="12.75">
      <c r="A18" s="7" t="s">
        <v>96</v>
      </c>
      <c r="B18" s="98"/>
      <c r="C18" s="98"/>
      <c r="D18" s="102"/>
      <c r="E18" s="102">
        <v>-5</v>
      </c>
      <c r="F18" s="88">
        <f t="shared" si="0"/>
        <v>412.4100000000017</v>
      </c>
    </row>
    <row r="19" spans="1:6" ht="12.75">
      <c r="A19" s="7" t="s">
        <v>97</v>
      </c>
      <c r="B19" s="98"/>
      <c r="C19" s="98"/>
      <c r="D19" s="102"/>
      <c r="E19" s="102">
        <v>-5</v>
      </c>
      <c r="F19" s="88">
        <f t="shared" si="0"/>
        <v>407.4100000000017</v>
      </c>
    </row>
    <row r="20" spans="1:6" ht="12.75">
      <c r="A20" s="7" t="s">
        <v>98</v>
      </c>
      <c r="B20" s="98"/>
      <c r="C20" s="98"/>
      <c r="D20" s="102"/>
      <c r="E20" s="102">
        <v>-5</v>
      </c>
      <c r="F20" s="88">
        <f t="shared" si="0"/>
        <v>402.4100000000017</v>
      </c>
    </row>
    <row r="21" spans="1:6" ht="12.75">
      <c r="A21" s="7" t="s">
        <v>99</v>
      </c>
      <c r="B21" s="103"/>
      <c r="C21" s="103"/>
      <c r="D21" s="104"/>
      <c r="E21" s="104">
        <v>-5</v>
      </c>
      <c r="F21" s="88">
        <f t="shared" si="0"/>
        <v>397.4100000000017</v>
      </c>
    </row>
    <row r="22" spans="1:6" ht="12.75">
      <c r="A22" s="7"/>
      <c r="B22" s="98">
        <f>SUM(B10:B21)</f>
        <v>0</v>
      </c>
      <c r="C22" s="98">
        <f>SUM(C10:C21)</f>
        <v>65023.53</v>
      </c>
      <c r="D22" s="98">
        <f>SUM(D10:D21)</f>
        <v>-65023.53</v>
      </c>
      <c r="E22" s="98">
        <f>SUM(E10:E21)</f>
        <v>-60</v>
      </c>
      <c r="F22" s="88"/>
    </row>
    <row r="23" spans="1:6" ht="12.75">
      <c r="A23" s="7"/>
      <c r="D23" s="19"/>
      <c r="E23" s="19"/>
      <c r="F23" s="88"/>
    </row>
    <row r="24" spans="1:9" s="36" customFormat="1" ht="12.75">
      <c r="A24" s="89" t="s">
        <v>64</v>
      </c>
      <c r="B24" s="90"/>
      <c r="D24" s="38"/>
      <c r="E24" s="38"/>
      <c r="F24" s="38">
        <f>F8+B22+C22+D22+E22</f>
        <v>397.4100000000035</v>
      </c>
      <c r="G24" s="38"/>
      <c r="H24" s="91"/>
      <c r="I24" s="91"/>
    </row>
    <row r="25" spans="1:9" s="36" customFormat="1" ht="12.75">
      <c r="A25" s="89"/>
      <c r="B25" s="90"/>
      <c r="C25" s="91"/>
      <c r="D25" s="91"/>
      <c r="E25" s="91"/>
      <c r="F25" s="91"/>
      <c r="G25" s="91"/>
      <c r="H25" s="91"/>
      <c r="I25" s="91"/>
    </row>
    <row r="26" spans="1:9" s="36" customFormat="1" ht="15">
      <c r="A26" s="92"/>
      <c r="B26" s="90"/>
      <c r="C26" s="93"/>
      <c r="D26" s="91"/>
      <c r="E26" s="91"/>
      <c r="F26" s="91"/>
      <c r="G26" s="91"/>
      <c r="H26" s="91"/>
      <c r="I26" s="91"/>
    </row>
    <row r="27" spans="2:9" ht="12.75">
      <c r="B27" s="23"/>
      <c r="C27" s="2"/>
      <c r="D27" s="22"/>
      <c r="E27" s="22"/>
      <c r="F27" s="22"/>
      <c r="G27" s="22"/>
      <c r="H27" s="22"/>
      <c r="I27" s="22"/>
    </row>
    <row r="28" spans="1:7" ht="12.75">
      <c r="A28" s="94" t="s">
        <v>37</v>
      </c>
      <c r="G28" s="94" t="s">
        <v>88</v>
      </c>
    </row>
    <row r="29" spans="1:8" ht="12.75">
      <c r="A29" s="7" t="s">
        <v>103</v>
      </c>
      <c r="B29" s="98">
        <v>4353.1</v>
      </c>
      <c r="C29" s="98"/>
      <c r="D29" s="98"/>
      <c r="E29" s="98"/>
      <c r="F29" s="98"/>
      <c r="G29" s="98" t="s">
        <v>101</v>
      </c>
      <c r="H29" s="98">
        <v>4353.1</v>
      </c>
    </row>
    <row r="30" spans="1:8" ht="12.75">
      <c r="A30" s="7" t="s">
        <v>103</v>
      </c>
      <c r="B30" s="98">
        <v>50513.92</v>
      </c>
      <c r="C30" s="98"/>
      <c r="D30" s="98"/>
      <c r="E30" s="98"/>
      <c r="F30" s="98"/>
      <c r="G30" s="98" t="s">
        <v>102</v>
      </c>
      <c r="H30" s="98">
        <v>44175</v>
      </c>
    </row>
    <row r="31" spans="1:8" ht="12.75">
      <c r="A31" s="7" t="s">
        <v>103</v>
      </c>
      <c r="B31" s="98">
        <f>4289.8+1877.2+2388.83</f>
        <v>8555.83</v>
      </c>
      <c r="C31" s="98"/>
      <c r="D31" s="98"/>
      <c r="E31" s="98"/>
      <c r="F31" s="98"/>
      <c r="G31" s="98" t="s">
        <v>101</v>
      </c>
      <c r="H31" s="98">
        <v>6338.92</v>
      </c>
    </row>
    <row r="32" spans="1:8" ht="12.75">
      <c r="A32" s="7" t="s">
        <v>103</v>
      </c>
      <c r="B32" s="98">
        <v>1600.68</v>
      </c>
      <c r="C32" s="98"/>
      <c r="D32" s="98"/>
      <c r="E32" s="98"/>
      <c r="F32" s="98"/>
      <c r="G32" s="98" t="s">
        <v>102</v>
      </c>
      <c r="H32" s="98">
        <v>4289.8</v>
      </c>
    </row>
    <row r="33" spans="1:8" ht="12.75">
      <c r="A33" s="7"/>
      <c r="B33" s="98"/>
      <c r="C33" s="98"/>
      <c r="D33" s="98"/>
      <c r="E33" s="98"/>
      <c r="F33" s="98"/>
      <c r="G33" s="98" t="s">
        <v>101</v>
      </c>
      <c r="H33" s="98">
        <v>2388.83</v>
      </c>
    </row>
    <row r="34" spans="1:8" ht="12.75">
      <c r="A34" s="7"/>
      <c r="B34" s="98"/>
      <c r="C34" s="98"/>
      <c r="D34" s="98"/>
      <c r="E34" s="98"/>
      <c r="F34" s="98"/>
      <c r="G34" s="98" t="s">
        <v>102</v>
      </c>
      <c r="H34" s="98">
        <v>1877.2</v>
      </c>
    </row>
    <row r="35" spans="1:8" ht="12.75">
      <c r="A35" s="7"/>
      <c r="B35" s="98"/>
      <c r="C35" s="98"/>
      <c r="D35" s="98"/>
      <c r="E35" s="98"/>
      <c r="F35" s="98"/>
      <c r="G35" s="98" t="s">
        <v>101</v>
      </c>
      <c r="H35" s="98">
        <v>1600.68</v>
      </c>
    </row>
    <row r="36" spans="2:8" ht="12.75">
      <c r="B36" s="103"/>
      <c r="C36" s="98"/>
      <c r="D36" s="98"/>
      <c r="E36" s="98"/>
      <c r="F36" s="98"/>
      <c r="G36" s="98"/>
      <c r="H36" s="103"/>
    </row>
    <row r="37" spans="2:8" ht="12.75">
      <c r="B37" s="98"/>
      <c r="C37" s="98"/>
      <c r="D37" s="98"/>
      <c r="E37" s="98"/>
      <c r="F37" s="98"/>
      <c r="G37" s="98"/>
      <c r="H37" s="98"/>
    </row>
    <row r="38" spans="1:8" ht="12.75">
      <c r="A38" s="7" t="s">
        <v>100</v>
      </c>
      <c r="B38" s="98">
        <f>SUM(B29:B36)</f>
        <v>65023.53</v>
      </c>
      <c r="C38" s="98"/>
      <c r="D38" s="98"/>
      <c r="E38" s="98"/>
      <c r="F38" s="98"/>
      <c r="G38" s="98"/>
      <c r="H38" s="98">
        <f>SUM(H29:H36)</f>
        <v>65023.53</v>
      </c>
    </row>
    <row r="42" spans="1:4" ht="12.75">
      <c r="A42" s="106" t="s">
        <v>104</v>
      </c>
      <c r="B42" s="32"/>
      <c r="C42" s="32"/>
      <c r="D42" s="32"/>
    </row>
    <row r="43" spans="1:4" ht="12.75">
      <c r="A43" s="105" t="s">
        <v>105</v>
      </c>
      <c r="B43" s="32"/>
      <c r="C43" s="109">
        <f>-E22</f>
        <v>60</v>
      </c>
      <c r="D43" s="109"/>
    </row>
    <row r="44" spans="1:4" ht="12.75">
      <c r="A44" s="105" t="s">
        <v>106</v>
      </c>
      <c r="B44" s="32"/>
      <c r="C44" s="109">
        <f>-D22</f>
        <v>65023.53</v>
      </c>
      <c r="D44" s="109"/>
    </row>
    <row r="45" spans="1:4" ht="12.75">
      <c r="A45" s="105" t="s">
        <v>107</v>
      </c>
      <c r="B45" s="32"/>
      <c r="C45" s="109"/>
      <c r="D45" s="109">
        <f>C22</f>
        <v>65023.53</v>
      </c>
    </row>
    <row r="46" spans="1:4" ht="12.75">
      <c r="A46" s="105" t="s">
        <v>108</v>
      </c>
      <c r="B46" s="32"/>
      <c r="C46" s="110"/>
      <c r="D46" s="110">
        <f>F8-F24</f>
        <v>59.99999999999653</v>
      </c>
    </row>
    <row r="47" spans="3:4" ht="12.75">
      <c r="C47" s="111">
        <f>SUM(C43:C46)</f>
        <v>65083.53</v>
      </c>
      <c r="D47" s="111">
        <f>SUM(D43:D46)</f>
        <v>65083.53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Bohannon</dc:creator>
  <cp:keywords/>
  <dc:description/>
  <cp:lastModifiedBy>rober</cp:lastModifiedBy>
  <cp:lastPrinted>2013-03-07T15:07:52Z</cp:lastPrinted>
  <dcterms:created xsi:type="dcterms:W3CDTF">2002-03-07T14:25:25Z</dcterms:created>
  <dcterms:modified xsi:type="dcterms:W3CDTF">2022-04-20T19:23:03Z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