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Navitas\"/>
    </mc:Choice>
  </mc:AlternateContent>
  <bookViews>
    <workbookView xWindow="0" yWindow="0" windowWidth="23040" windowHeight="7980"/>
  </bookViews>
  <sheets>
    <sheet name="Cover page" sheetId="7" r:id="rId1"/>
    <sheet name="Summary (SI)" sheetId="10" r:id="rId2"/>
    <sheet name="EGC (SII)" sheetId="8" r:id="rId3"/>
    <sheet name="Actual Adjustment (IV)" sheetId="14" r:id="rId4"/>
    <sheet name="EXAMPLE Actual Adjustment (SIV)" sheetId="13" state="hidden" r:id="rId5"/>
    <sheet name="SCH III B&amp;S Oil FloydCo A-S-O" sheetId="12" r:id="rId6"/>
    <sheet name="FUTURE BA (SV)" sheetId="9" state="hidden" r:id="rId7"/>
    <sheet name="SCH III B&amp;S Oil FloydCo N-D-J" sheetId="15" r:id="rId8"/>
    <sheet name="Purchases" sheetId="11" r:id="rId9"/>
    <sheet name="Sales" sheetId="1" r:id="rId10"/>
  </sheets>
  <definedNames>
    <definedName name="_xlnm.Print_Area" localSheetId="3">'Actual Adjustment (IV)'!$A$1:$E$49</definedName>
    <definedName name="_xlnm.Print_Area" localSheetId="4">'EXAMPLE Actual Adjustment (SIV)'!$A$1:$E$49</definedName>
    <definedName name="_xlnm.Print_Area" localSheetId="6">'FUTURE BA (SV)'!$A$2:$X$29</definedName>
    <definedName name="_xlnm.Print_Area" localSheetId="8">Purchases!$A$2:$AD$32</definedName>
    <definedName name="_xlnm.Print_Area" localSheetId="9">Sales!$A$2:$AD$21</definedName>
    <definedName name="_xlnm.Print_Titles" localSheetId="3">'Actual Adjustment (IV)'!$A:$E</definedName>
    <definedName name="_xlnm.Print_Titles" localSheetId="4">'EXAMPLE Actual Adjustment (SIV)'!$A:$E</definedName>
    <definedName name="_xlnm.Print_Titles" localSheetId="6">'FUTURE BA (SV)'!$A:$D,'FUTURE BA (SV)'!$4:$5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8" l="1"/>
  <c r="J21" i="8"/>
  <c r="J27" i="15"/>
  <c r="J28" i="15" s="1"/>
  <c r="J29" i="15" s="1"/>
  <c r="J32" i="15" s="1"/>
  <c r="J18" i="15"/>
  <c r="J34" i="15" s="1"/>
  <c r="J17" i="15"/>
  <c r="J11" i="10"/>
  <c r="H28" i="8"/>
  <c r="H22" i="8"/>
  <c r="H21" i="8"/>
  <c r="H16" i="8"/>
  <c r="H15" i="8"/>
  <c r="X16" i="11"/>
  <c r="J6" i="8"/>
  <c r="J35" i="15" l="1"/>
  <c r="J33" i="15"/>
  <c r="Z10" i="11"/>
  <c r="X10" i="11"/>
  <c r="X23" i="11" s="1"/>
  <c r="V10" i="11"/>
  <c r="T10" i="11"/>
  <c r="T23" i="11" s="1"/>
  <c r="R10" i="11"/>
  <c r="P10" i="11"/>
  <c r="N10" i="11"/>
  <c r="V23" i="11"/>
  <c r="R23" i="11"/>
  <c r="P23" i="11"/>
  <c r="N23" i="11"/>
  <c r="G71" i="14" l="1"/>
  <c r="G70" i="14"/>
  <c r="G69" i="14"/>
  <c r="Z34" i="1"/>
  <c r="X34" i="1"/>
  <c r="X36" i="1" s="1"/>
  <c r="K20" i="14"/>
  <c r="I20" i="14"/>
  <c r="G20" i="14"/>
  <c r="P43" i="1"/>
  <c r="Q15" i="14"/>
  <c r="O15" i="14"/>
  <c r="M15" i="14"/>
  <c r="Q9" i="14"/>
  <c r="Q8" i="14"/>
  <c r="O9" i="14"/>
  <c r="O8" i="14"/>
  <c r="M9" i="14"/>
  <c r="M8" i="14"/>
  <c r="K9" i="14"/>
  <c r="K8" i="14"/>
  <c r="I9" i="14"/>
  <c r="I8" i="14"/>
  <c r="G9" i="14"/>
  <c r="G8" i="14"/>
  <c r="K15" i="14"/>
  <c r="I15" i="14"/>
  <c r="G15" i="14"/>
  <c r="K35" i="14"/>
  <c r="I35" i="14"/>
  <c r="G35" i="14"/>
  <c r="G72" i="14" l="1"/>
  <c r="G23" i="14" s="1"/>
  <c r="X45" i="1"/>
  <c r="V43" i="1"/>
  <c r="T43" i="1"/>
  <c r="AB34" i="1"/>
  <c r="V34" i="1"/>
  <c r="T34" i="1"/>
  <c r="R34" i="1"/>
  <c r="P34" i="1"/>
  <c r="N34" i="1"/>
  <c r="L34" i="1"/>
  <c r="J34" i="1"/>
  <c r="H34" i="1"/>
  <c r="F34" i="1"/>
  <c r="X33" i="1"/>
  <c r="Z23" i="1"/>
  <c r="F23" i="1"/>
  <c r="AB23" i="1"/>
  <c r="X23" i="1"/>
  <c r="V23" i="1"/>
  <c r="T23" i="1"/>
  <c r="R23" i="1"/>
  <c r="P23" i="1"/>
  <c r="N23" i="1"/>
  <c r="L23" i="1"/>
  <c r="J23" i="1"/>
  <c r="H23" i="1"/>
  <c r="X12" i="1"/>
  <c r="X11" i="1"/>
  <c r="X52" i="11"/>
  <c r="X50" i="11"/>
  <c r="X45" i="11"/>
  <c r="X39" i="11"/>
  <c r="X37" i="11"/>
  <c r="X32" i="11"/>
  <c r="V31" i="1"/>
  <c r="T31" i="1"/>
  <c r="V20" i="1"/>
  <c r="T20" i="1"/>
  <c r="F36" i="1" l="1"/>
  <c r="X22" i="1"/>
  <c r="AB12" i="1"/>
  <c r="Z12" i="1"/>
  <c r="V12" i="1"/>
  <c r="T12" i="1"/>
  <c r="R12" i="1"/>
  <c r="P12" i="1"/>
  <c r="N12" i="1"/>
  <c r="L12" i="1"/>
  <c r="J12" i="1"/>
  <c r="H12" i="1"/>
  <c r="F12" i="1"/>
  <c r="J5" i="10"/>
  <c r="J3" i="10"/>
  <c r="M36" i="14"/>
  <c r="M37" i="14" s="1"/>
  <c r="O36" i="14"/>
  <c r="O37" i="14" s="1"/>
  <c r="Q36" i="14"/>
  <c r="Q37" i="14" s="1"/>
  <c r="Q47" i="14" s="1"/>
  <c r="Q49" i="14" s="1"/>
  <c r="Q13" i="14" s="1"/>
  <c r="Q16" i="14" s="1"/>
  <c r="M42" i="14"/>
  <c r="O42" i="14"/>
  <c r="Q42" i="14"/>
  <c r="M48" i="14"/>
  <c r="O48" i="14"/>
  <c r="Q48" i="14"/>
  <c r="K48" i="14"/>
  <c r="I48" i="14"/>
  <c r="G48" i="14"/>
  <c r="K42" i="14"/>
  <c r="I42" i="14"/>
  <c r="G42" i="14"/>
  <c r="K36" i="14"/>
  <c r="K37" i="14" s="1"/>
  <c r="K47" i="14" s="1"/>
  <c r="I36" i="14"/>
  <c r="I37" i="14" s="1"/>
  <c r="I47" i="14" s="1"/>
  <c r="G36" i="14"/>
  <c r="G37" i="14" s="1"/>
  <c r="G47" i="14" s="1"/>
  <c r="AI65" i="13"/>
  <c r="AG65" i="13"/>
  <c r="AE65" i="13"/>
  <c r="AE9" i="13" s="1"/>
  <c r="AC65" i="13"/>
  <c r="AC9" i="13" s="1"/>
  <c r="AA65" i="13"/>
  <c r="Y65" i="13"/>
  <c r="W65" i="13"/>
  <c r="W9" i="13" s="1"/>
  <c r="U65" i="13"/>
  <c r="U9" i="13" s="1"/>
  <c r="S65" i="13"/>
  <c r="Q65" i="13"/>
  <c r="O65" i="13"/>
  <c r="O9" i="13" s="1"/>
  <c r="M65" i="13"/>
  <c r="M9" i="13" s="1"/>
  <c r="K65" i="13"/>
  <c r="I65" i="13"/>
  <c r="G65" i="13"/>
  <c r="G9" i="13" s="1"/>
  <c r="AI55" i="13"/>
  <c r="AI8" i="13" s="1"/>
  <c r="AG55" i="13"/>
  <c r="AE55" i="13"/>
  <c r="AC55" i="13"/>
  <c r="AC8" i="13" s="1"/>
  <c r="AA55" i="13"/>
  <c r="AA8" i="13" s="1"/>
  <c r="Y55" i="13"/>
  <c r="W55" i="13"/>
  <c r="U55" i="13"/>
  <c r="U8" i="13" s="1"/>
  <c r="S55" i="13"/>
  <c r="S8" i="13" s="1"/>
  <c r="Q55" i="13"/>
  <c r="O55" i="13"/>
  <c r="M55" i="13"/>
  <c r="M8" i="13" s="1"/>
  <c r="K55" i="13"/>
  <c r="K8" i="13" s="1"/>
  <c r="I55" i="13"/>
  <c r="G55" i="13"/>
  <c r="AI48" i="13"/>
  <c r="AG48" i="13"/>
  <c r="AE48" i="13"/>
  <c r="AC48" i="13"/>
  <c r="AA48" i="13"/>
  <c r="Y48" i="13"/>
  <c r="W48" i="13"/>
  <c r="U48" i="13"/>
  <c r="S48" i="13"/>
  <c r="Q48" i="13"/>
  <c r="O48" i="13"/>
  <c r="M48" i="13"/>
  <c r="K48" i="13"/>
  <c r="I48" i="13"/>
  <c r="G48" i="13"/>
  <c r="AA43" i="13"/>
  <c r="AA7" i="13" s="1"/>
  <c r="S43" i="13"/>
  <c r="S7" i="13" s="1"/>
  <c r="S10" i="13" s="1"/>
  <c r="AI42" i="13"/>
  <c r="AG42" i="13"/>
  <c r="AG43" i="13" s="1"/>
  <c r="AG7" i="13" s="1"/>
  <c r="AE42" i="13"/>
  <c r="AE43" i="13" s="1"/>
  <c r="AE7" i="13" s="1"/>
  <c r="AC42" i="13"/>
  <c r="AA42" i="13"/>
  <c r="Y42" i="13"/>
  <c r="Y43" i="13" s="1"/>
  <c r="Y7" i="13" s="1"/>
  <c r="W42" i="13"/>
  <c r="U42" i="13"/>
  <c r="S42" i="13"/>
  <c r="Q42" i="13"/>
  <c r="Q43" i="13" s="1"/>
  <c r="Q7" i="13" s="1"/>
  <c r="O42" i="13"/>
  <c r="O43" i="13" s="1"/>
  <c r="M42" i="13"/>
  <c r="K42" i="13"/>
  <c r="I42" i="13"/>
  <c r="I43" i="13" s="1"/>
  <c r="I7" i="13" s="1"/>
  <c r="G42" i="13"/>
  <c r="AG37" i="13"/>
  <c r="AG47" i="13" s="1"/>
  <c r="AG49" i="13" s="1"/>
  <c r="AG13" i="13" s="1"/>
  <c r="AE37" i="13"/>
  <c r="AE47" i="13" s="1"/>
  <c r="AE49" i="13" s="1"/>
  <c r="Y37" i="13"/>
  <c r="Y47" i="13" s="1"/>
  <c r="Y49" i="13" s="1"/>
  <c r="Y13" i="13" s="1"/>
  <c r="W37" i="13"/>
  <c r="W47" i="13" s="1"/>
  <c r="W49" i="13" s="1"/>
  <c r="Q37" i="13"/>
  <c r="Q47" i="13" s="1"/>
  <c r="Q49" i="13" s="1"/>
  <c r="Q13" i="13" s="1"/>
  <c r="Q16" i="13" s="1"/>
  <c r="O37" i="13"/>
  <c r="O47" i="13" s="1"/>
  <c r="O49" i="13" s="1"/>
  <c r="I37" i="13"/>
  <c r="I47" i="13" s="1"/>
  <c r="I49" i="13" s="1"/>
  <c r="I13" i="13" s="1"/>
  <c r="I16" i="13" s="1"/>
  <c r="G37" i="13"/>
  <c r="G47" i="13" s="1"/>
  <c r="G49" i="13" s="1"/>
  <c r="G13" i="13" s="1"/>
  <c r="G16" i="13" s="1"/>
  <c r="AI36" i="13"/>
  <c r="AI37" i="13" s="1"/>
  <c r="AI47" i="13" s="1"/>
  <c r="AI49" i="13" s="1"/>
  <c r="AI13" i="13" s="1"/>
  <c r="AI16" i="13" s="1"/>
  <c r="AG36" i="13"/>
  <c r="AE36" i="13"/>
  <c r="AC36" i="13"/>
  <c r="AC37" i="13" s="1"/>
  <c r="AC43" i="13" s="1"/>
  <c r="AC7" i="13" s="1"/>
  <c r="AA36" i="13"/>
  <c r="AA37" i="13" s="1"/>
  <c r="AA47" i="13" s="1"/>
  <c r="AA49" i="13" s="1"/>
  <c r="AA13" i="13" s="1"/>
  <c r="AA16" i="13" s="1"/>
  <c r="Y36" i="13"/>
  <c r="W36" i="13"/>
  <c r="U36" i="13"/>
  <c r="U37" i="13" s="1"/>
  <c r="U43" i="13" s="1"/>
  <c r="U7" i="13" s="1"/>
  <c r="S36" i="13"/>
  <c r="S37" i="13" s="1"/>
  <c r="S47" i="13" s="1"/>
  <c r="S49" i="13" s="1"/>
  <c r="S13" i="13" s="1"/>
  <c r="S16" i="13" s="1"/>
  <c r="Q36" i="13"/>
  <c r="O36" i="13"/>
  <c r="M36" i="13"/>
  <c r="M37" i="13" s="1"/>
  <c r="M43" i="13" s="1"/>
  <c r="M7" i="13" s="1"/>
  <c r="K36" i="13"/>
  <c r="K37" i="13" s="1"/>
  <c r="K47" i="13" s="1"/>
  <c r="K49" i="13" s="1"/>
  <c r="K13" i="13" s="1"/>
  <c r="K16" i="13" s="1"/>
  <c r="I36" i="13"/>
  <c r="G36" i="13"/>
  <c r="AG16" i="13"/>
  <c r="Y16" i="13"/>
  <c r="AE13" i="13"/>
  <c r="AE16" i="13" s="1"/>
  <c r="W13" i="13"/>
  <c r="W16" i="13" s="1"/>
  <c r="O13" i="13"/>
  <c r="O16" i="13" s="1"/>
  <c r="U10" i="13"/>
  <c r="AI9" i="13"/>
  <c r="AG9" i="13"/>
  <c r="AA9" i="13"/>
  <c r="Y9" i="13"/>
  <c r="S9" i="13"/>
  <c r="Q9" i="13"/>
  <c r="K9" i="13"/>
  <c r="I9" i="13"/>
  <c r="AG8" i="13"/>
  <c r="AE8" i="13"/>
  <c r="Y8" i="13"/>
  <c r="W8" i="13"/>
  <c r="Q8" i="13"/>
  <c r="O8" i="13"/>
  <c r="I8" i="13"/>
  <c r="G8" i="13"/>
  <c r="O7" i="13"/>
  <c r="J27" i="12"/>
  <c r="J28" i="12" s="1"/>
  <c r="J29" i="12" s="1"/>
  <c r="J32" i="12" s="1"/>
  <c r="J18" i="12"/>
  <c r="J34" i="12" s="1"/>
  <c r="J17" i="12"/>
  <c r="L36" i="11"/>
  <c r="J36" i="11"/>
  <c r="H36" i="11"/>
  <c r="F36" i="11"/>
  <c r="AB35" i="11"/>
  <c r="AB22" i="11"/>
  <c r="J10" i="11"/>
  <c r="J23" i="11" s="1"/>
  <c r="G49" i="14" l="1"/>
  <c r="G13" i="14" s="1"/>
  <c r="G16" i="14" s="1"/>
  <c r="O43" i="14"/>
  <c r="O47" i="14"/>
  <c r="O49" i="14" s="1"/>
  <c r="O13" i="14" s="1"/>
  <c r="O16" i="14" s="1"/>
  <c r="I49" i="14"/>
  <c r="I13" i="14" s="1"/>
  <c r="I16" i="14" s="1"/>
  <c r="Q43" i="14"/>
  <c r="M47" i="14"/>
  <c r="M49" i="14" s="1"/>
  <c r="M13" i="14" s="1"/>
  <c r="M16" i="14" s="1"/>
  <c r="M43" i="14"/>
  <c r="M7" i="14" s="1"/>
  <c r="K49" i="14"/>
  <c r="K13" i="14" s="1"/>
  <c r="K16" i="14" s="1"/>
  <c r="I43" i="14"/>
  <c r="I7" i="14" s="1"/>
  <c r="I10" i="14" s="1"/>
  <c r="G43" i="14"/>
  <c r="G7" i="14" s="1"/>
  <c r="K43" i="14"/>
  <c r="K7" i="14" s="1"/>
  <c r="AE10" i="13"/>
  <c r="AE18" i="13"/>
  <c r="O18" i="13"/>
  <c r="O22" i="13" s="1"/>
  <c r="O24" i="13" s="1"/>
  <c r="O25" i="13" s="1"/>
  <c r="O10" i="13"/>
  <c r="W43" i="13"/>
  <c r="W7" i="13" s="1"/>
  <c r="I18" i="13"/>
  <c r="I22" i="13" s="1"/>
  <c r="I24" i="13" s="1"/>
  <c r="I25" i="13" s="1"/>
  <c r="I10" i="13"/>
  <c r="Y10" i="13"/>
  <c r="Y18" i="13" s="1"/>
  <c r="AA10" i="13"/>
  <c r="AA18" i="13" s="1"/>
  <c r="AA22" i="13" s="1"/>
  <c r="AA24" i="13" s="1"/>
  <c r="AA25" i="13" s="1"/>
  <c r="AC47" i="13"/>
  <c r="AC49" i="13" s="1"/>
  <c r="AC13" i="13" s="1"/>
  <c r="AC16" i="13" s="1"/>
  <c r="AI43" i="13"/>
  <c r="AI7" i="13" s="1"/>
  <c r="AC18" i="13"/>
  <c r="AC22" i="13" s="1"/>
  <c r="AC24" i="13" s="1"/>
  <c r="AC25" i="13" s="1"/>
  <c r="G43" i="13"/>
  <c r="G7" i="13" s="1"/>
  <c r="U47" i="13"/>
  <c r="U49" i="13" s="1"/>
  <c r="U13" i="13" s="1"/>
  <c r="U16" i="13" s="1"/>
  <c r="AC10" i="13"/>
  <c r="Q18" i="13"/>
  <c r="Q22" i="13" s="1"/>
  <c r="Q24" i="13" s="1"/>
  <c r="Q25" i="13" s="1"/>
  <c r="Q10" i="13"/>
  <c r="AG10" i="13"/>
  <c r="AG18" i="13" s="1"/>
  <c r="AG22" i="13" s="1"/>
  <c r="AG24" i="13" s="1"/>
  <c r="AG25" i="13" s="1"/>
  <c r="M10" i="13"/>
  <c r="M18" i="13" s="1"/>
  <c r="S18" i="13"/>
  <c r="K43" i="13"/>
  <c r="K7" i="13" s="1"/>
  <c r="M47" i="13"/>
  <c r="M49" i="13" s="1"/>
  <c r="M13" i="13" s="1"/>
  <c r="M16" i="13" s="1"/>
  <c r="J33" i="12"/>
  <c r="J35" i="12" s="1"/>
  <c r="AB9" i="11"/>
  <c r="N9" i="11"/>
  <c r="N22" i="11" s="1"/>
  <c r="P9" i="11"/>
  <c r="P22" i="11" s="1"/>
  <c r="X9" i="11"/>
  <c r="X22" i="11" s="1"/>
  <c r="H10" i="11"/>
  <c r="H23" i="11" s="1"/>
  <c r="T9" i="11"/>
  <c r="T22" i="11" s="1"/>
  <c r="L10" i="11"/>
  <c r="L23" i="11" s="1"/>
  <c r="V9" i="11"/>
  <c r="V22" i="11" s="1"/>
  <c r="F10" i="11"/>
  <c r="X11" i="11" s="1"/>
  <c r="R9" i="11"/>
  <c r="R22" i="11" s="1"/>
  <c r="Z9" i="11"/>
  <c r="Z22" i="11" s="1"/>
  <c r="O7" i="14" l="1"/>
  <c r="O10" i="14" s="1"/>
  <c r="Q7" i="14"/>
  <c r="Q10" i="14" s="1"/>
  <c r="O18" i="14"/>
  <c r="O22" i="14" s="1"/>
  <c r="O24" i="14" s="1"/>
  <c r="O25" i="14" s="1"/>
  <c r="I18" i="14"/>
  <c r="I22" i="14" s="1"/>
  <c r="I24" i="14" s="1"/>
  <c r="I25" i="14" s="1"/>
  <c r="M10" i="14"/>
  <c r="M18" i="14" s="1"/>
  <c r="G10" i="14"/>
  <c r="G18" i="14" s="1"/>
  <c r="K10" i="14"/>
  <c r="Y26" i="13"/>
  <c r="Y22" i="13"/>
  <c r="Y24" i="13" s="1"/>
  <c r="Y25" i="13" s="1"/>
  <c r="AC27" i="13" s="1"/>
  <c r="AC29" i="13" s="1"/>
  <c r="M26" i="13"/>
  <c r="M22" i="13"/>
  <c r="M24" i="13" s="1"/>
  <c r="M25" i="13" s="1"/>
  <c r="Q27" i="13" s="1"/>
  <c r="Q29" i="13" s="1"/>
  <c r="W10" i="13"/>
  <c r="W18" i="13" s="1"/>
  <c r="AE22" i="13"/>
  <c r="AE24" i="13" s="1"/>
  <c r="AE25" i="13" s="1"/>
  <c r="K10" i="13"/>
  <c r="K18" i="13"/>
  <c r="K22" i="13" s="1"/>
  <c r="K24" i="13" s="1"/>
  <c r="K25" i="13" s="1"/>
  <c r="AI10" i="13"/>
  <c r="AI18" i="13"/>
  <c r="AI22" i="13" s="1"/>
  <c r="AI24" i="13" s="1"/>
  <c r="AI25" i="13" s="1"/>
  <c r="U18" i="13"/>
  <c r="U22" i="13" s="1"/>
  <c r="U24" i="13" s="1"/>
  <c r="U25" i="13" s="1"/>
  <c r="S22" i="13"/>
  <c r="S24" i="13" s="1"/>
  <c r="S25" i="13" s="1"/>
  <c r="G10" i="13"/>
  <c r="G18" i="13" s="1"/>
  <c r="F23" i="11"/>
  <c r="X25" i="11" s="1"/>
  <c r="X20" i="11" s="1"/>
  <c r="H7" i="8" s="1"/>
  <c r="H6" i="8" l="1"/>
  <c r="Q18" i="14"/>
  <c r="Q22" i="14" s="1"/>
  <c r="Q24" i="14" s="1"/>
  <c r="Q25" i="14" s="1"/>
  <c r="K18" i="14"/>
  <c r="K22" i="14" s="1"/>
  <c r="K24" i="14" s="1"/>
  <c r="K25" i="14" s="1"/>
  <c r="M26" i="14"/>
  <c r="M22" i="14"/>
  <c r="M24" i="14" s="1"/>
  <c r="M25" i="14" s="1"/>
  <c r="Q27" i="14" s="1"/>
  <c r="Q29" i="14" s="1"/>
  <c r="G22" i="14"/>
  <c r="G24" i="14" s="1"/>
  <c r="G25" i="14" s="1"/>
  <c r="G22" i="13"/>
  <c r="G24" i="13" s="1"/>
  <c r="G25" i="13" s="1"/>
  <c r="K27" i="13" s="1"/>
  <c r="K29" i="13" s="1"/>
  <c r="G26" i="13"/>
  <c r="W22" i="13"/>
  <c r="W24" i="13" s="1"/>
  <c r="W25" i="13" s="1"/>
  <c r="S26" i="13"/>
  <c r="AI27" i="13"/>
  <c r="AI29" i="13" s="1"/>
  <c r="AE26" i="13"/>
  <c r="W27" i="13"/>
  <c r="W29" i="13" s="1"/>
  <c r="K27" i="14" l="1"/>
  <c r="K29" i="14" s="1"/>
  <c r="J23" i="10" s="1"/>
  <c r="G26" i="14"/>
  <c r="AD9" i="1"/>
  <c r="V9" i="1"/>
  <c r="T9" i="1"/>
  <c r="Z43" i="1" l="1"/>
  <c r="X43" i="1"/>
  <c r="R43" i="1"/>
  <c r="Z9" i="1"/>
  <c r="Z31" i="1"/>
  <c r="Z20" i="1"/>
  <c r="X9" i="1"/>
  <c r="X31" i="1"/>
  <c r="X20" i="1"/>
  <c r="J35" i="10"/>
  <c r="J28" i="10"/>
  <c r="J4" i="10" s="1"/>
  <c r="J20" i="10"/>
  <c r="BI53" i="9" l="1"/>
  <c r="BK53" i="9" s="1"/>
  <c r="BG53" i="9"/>
  <c r="BI52" i="9"/>
  <c r="BK52" i="9" s="1"/>
  <c r="BM52" i="9" s="1"/>
  <c r="BO52" i="9" s="1"/>
  <c r="BQ52" i="9" s="1"/>
  <c r="BS52" i="9" s="1"/>
  <c r="BU52" i="9" s="1"/>
  <c r="BW52" i="9" s="1"/>
  <c r="BY52" i="9" s="1"/>
  <c r="CA52" i="9" s="1"/>
  <c r="CC52" i="9" s="1"/>
  <c r="BA49" i="9"/>
  <c r="BC49" i="9" s="1"/>
  <c r="BE48" i="9"/>
  <c r="BC48" i="9"/>
  <c r="AW45" i="9"/>
  <c r="AU45" i="9"/>
  <c r="AY44" i="9"/>
  <c r="BA44" i="9" s="1"/>
  <c r="BC44" i="9" s="1"/>
  <c r="BE44" i="9" s="1"/>
  <c r="BG44" i="9" s="1"/>
  <c r="BI44" i="9" s="1"/>
  <c r="AW44" i="9"/>
  <c r="AS41" i="9"/>
  <c r="AU41" i="9" s="1"/>
  <c r="AO41" i="9"/>
  <c r="AQ41" i="9" s="1"/>
  <c r="AS40" i="9"/>
  <c r="AU40" i="9" s="1"/>
  <c r="AW40" i="9" s="1"/>
  <c r="AY40" i="9" s="1"/>
  <c r="BA40" i="9" s="1"/>
  <c r="AQ40" i="9"/>
  <c r="AI37" i="9"/>
  <c r="AK37" i="9" s="1"/>
  <c r="AM37" i="9" s="1"/>
  <c r="AO36" i="9"/>
  <c r="AQ36" i="9" s="1"/>
  <c r="AS36" i="9" s="1"/>
  <c r="AU36" i="9" s="1"/>
  <c r="AW36" i="9" s="1"/>
  <c r="AY36" i="9" s="1"/>
  <c r="BA36" i="9" s="1"/>
  <c r="BC36" i="9" s="1"/>
  <c r="AK36" i="9"/>
  <c r="AM36" i="9" s="1"/>
  <c r="AI33" i="9"/>
  <c r="AK33" i="9" s="1"/>
  <c r="AM33" i="9" s="1"/>
  <c r="AO33" i="9" s="1"/>
  <c r="AQ33" i="9" s="1"/>
  <c r="AS33" i="9" s="1"/>
  <c r="AC33" i="9"/>
  <c r="AE33" i="9" s="1"/>
  <c r="AG33" i="9" s="1"/>
  <c r="AO32" i="9"/>
  <c r="AQ32" i="9" s="1"/>
  <c r="AS32" i="9" s="1"/>
  <c r="AI32" i="9"/>
  <c r="AK32" i="9" s="1"/>
  <c r="AM32" i="9" s="1"/>
  <c r="AG32" i="9"/>
  <c r="AE32" i="9"/>
  <c r="W29" i="9"/>
  <c r="Y28" i="9"/>
  <c r="Q25" i="9"/>
  <c r="AK24" i="9"/>
  <c r="AM24" i="9" s="1"/>
  <c r="AM14" i="9" s="1"/>
  <c r="AG24" i="9"/>
  <c r="AI24" i="9" s="1"/>
  <c r="AE24" i="9"/>
  <c r="W24" i="9"/>
  <c r="S24" i="9"/>
  <c r="U24" i="9" s="1"/>
  <c r="K21" i="9"/>
  <c r="M21" i="9" s="1"/>
  <c r="O21" i="9" s="1"/>
  <c r="AG20" i="9"/>
  <c r="AG14" i="9" s="1"/>
  <c r="AE20" i="9"/>
  <c r="O20" i="9"/>
  <c r="O17" i="9" s="1"/>
  <c r="O18" i="9" s="1"/>
  <c r="M20" i="9"/>
  <c r="M18" i="9"/>
  <c r="I18" i="9"/>
  <c r="BK17" i="9"/>
  <c r="BI17" i="9"/>
  <c r="BG17" i="9"/>
  <c r="BE17" i="9"/>
  <c r="BC17" i="9"/>
  <c r="BA17" i="9"/>
  <c r="AY17" i="9"/>
  <c r="AW17" i="9"/>
  <c r="AU17" i="9"/>
  <c r="AS17" i="9"/>
  <c r="AQ17" i="9"/>
  <c r="AO17" i="9"/>
  <c r="AM17" i="9"/>
  <c r="AK17" i="9"/>
  <c r="AI17" i="9"/>
  <c r="AG17" i="9"/>
  <c r="AE17" i="9"/>
  <c r="AC17" i="9"/>
  <c r="W17" i="9"/>
  <c r="U17" i="9"/>
  <c r="S17" i="9"/>
  <c r="Q17" i="9"/>
  <c r="M17" i="9"/>
  <c r="K17" i="9"/>
  <c r="K18" i="9" s="1"/>
  <c r="BE16" i="9"/>
  <c r="AW16" i="9"/>
  <c r="AU16" i="9"/>
  <c r="AS16" i="9"/>
  <c r="AQ16" i="9"/>
  <c r="AO16" i="9"/>
  <c r="AM16" i="9"/>
  <c r="AK16" i="9"/>
  <c r="AI16" i="9"/>
  <c r="BG15" i="9"/>
  <c r="AW15" i="9"/>
  <c r="AU15" i="9"/>
  <c r="AQ15" i="9"/>
  <c r="AO15" i="9"/>
  <c r="AG15" i="9"/>
  <c r="AE15" i="9"/>
  <c r="AC15" i="9"/>
  <c r="AK14" i="9"/>
  <c r="AI14" i="9"/>
  <c r="AE14" i="9"/>
  <c r="AC14" i="9"/>
  <c r="AM12" i="9"/>
  <c r="AK12" i="9"/>
  <c r="AI12" i="9"/>
  <c r="AG12" i="9"/>
  <c r="AE12" i="9"/>
  <c r="AC12" i="9"/>
  <c r="AA12" i="9"/>
  <c r="Y12" i="9"/>
  <c r="W12" i="9"/>
  <c r="U12" i="9"/>
  <c r="S12" i="9"/>
  <c r="Q12" i="9"/>
  <c r="O12" i="9"/>
  <c r="M12" i="9"/>
  <c r="K12" i="9"/>
  <c r="I12" i="9"/>
  <c r="M1" i="9"/>
  <c r="K1" i="9"/>
  <c r="I1" i="9"/>
  <c r="D22" i="8"/>
  <c r="F21" i="8"/>
  <c r="J16" i="8"/>
  <c r="D16" i="8"/>
  <c r="D15" i="8"/>
  <c r="L9" i="8"/>
  <c r="L7" i="8"/>
  <c r="F7" i="8"/>
  <c r="J22" i="8" s="1"/>
  <c r="L22" i="8" s="1"/>
  <c r="D6" i="8"/>
  <c r="H25" i="8" l="1"/>
  <c r="L15" i="8"/>
  <c r="L18" i="8" s="1"/>
  <c r="D18" i="8"/>
  <c r="H18" i="8"/>
  <c r="L16" i="8"/>
  <c r="H10" i="8"/>
  <c r="L10" i="8" s="1"/>
  <c r="L6" i="8"/>
  <c r="D21" i="8"/>
  <c r="D25" i="8" s="1"/>
  <c r="L21" i="8"/>
  <c r="L25" i="8" s="1"/>
  <c r="Y24" i="9"/>
  <c r="W16" i="9"/>
  <c r="AU32" i="9"/>
  <c r="AS15" i="9"/>
  <c r="BE36" i="9"/>
  <c r="BE14" i="9" s="1"/>
  <c r="BC14" i="9"/>
  <c r="BA14" i="9"/>
  <c r="O1" i="9"/>
  <c r="AU33" i="9"/>
  <c r="BC40" i="9"/>
  <c r="BA15" i="9"/>
  <c r="AY15" i="9"/>
  <c r="AY16" i="9"/>
  <c r="Q20" i="9"/>
  <c r="BK44" i="9"/>
  <c r="BI15" i="9"/>
  <c r="Y29" i="9"/>
  <c r="AA28" i="9"/>
  <c r="BA16" i="9"/>
  <c r="AO37" i="9"/>
  <c r="AQ37" i="9" s="1"/>
  <c r="AS37" i="9" s="1"/>
  <c r="AU37" i="9" s="1"/>
  <c r="AW37" i="9" s="1"/>
  <c r="AY37" i="9" s="1"/>
  <c r="BA37" i="9" s="1"/>
  <c r="BC37" i="9" s="1"/>
  <c r="BE49" i="9"/>
  <c r="BG48" i="9"/>
  <c r="BC16" i="9"/>
  <c r="Y17" i="9"/>
  <c r="S25" i="9"/>
  <c r="U25" i="9" s="1"/>
  <c r="W25" i="9" s="1"/>
  <c r="Y25" i="9" s="1"/>
  <c r="AW41" i="9"/>
  <c r="AY41" i="9" s="1"/>
  <c r="BA41" i="9" s="1"/>
  <c r="BC41" i="9" s="1"/>
  <c r="AY45" i="9"/>
  <c r="BA45" i="9" s="1"/>
  <c r="BC45" i="9" s="1"/>
  <c r="BE45" i="9" s="1"/>
  <c r="BG45" i="9" s="1"/>
  <c r="BI45" i="9" s="1"/>
  <c r="BK45" i="9" s="1"/>
  <c r="BM53" i="9"/>
  <c r="BO53" i="9" s="1"/>
  <c r="BQ53" i="9" s="1"/>
  <c r="BS53" i="9" s="1"/>
  <c r="BU53" i="9" s="1"/>
  <c r="BW53" i="9" s="1"/>
  <c r="BY53" i="9" s="1"/>
  <c r="CA53" i="9" s="1"/>
  <c r="CC53" i="9" s="1"/>
  <c r="CE53" i="9" s="1"/>
  <c r="CG53" i="9" s="1"/>
  <c r="D7" i="8"/>
  <c r="D12" i="8" s="1"/>
  <c r="L12" i="8" l="1"/>
  <c r="L32" i="8" s="1"/>
  <c r="H27" i="8"/>
  <c r="H29" i="8" s="1"/>
  <c r="H30" i="8" s="1"/>
  <c r="D33" i="8"/>
  <c r="BI48" i="9"/>
  <c r="BG16" i="9"/>
  <c r="S20" i="9"/>
  <c r="Q16" i="9"/>
  <c r="Q18" i="9" s="1"/>
  <c r="BG49" i="9"/>
  <c r="BI49" i="9" s="1"/>
  <c r="BE37" i="9"/>
  <c r="BG37" i="9" s="1"/>
  <c r="BI37" i="9" s="1"/>
  <c r="BK37" i="9" s="1"/>
  <c r="BE40" i="9"/>
  <c r="BC15" i="9"/>
  <c r="BC18" i="9" s="1"/>
  <c r="Q21" i="9"/>
  <c r="AC28" i="9"/>
  <c r="AA17" i="9"/>
  <c r="AA25" i="9"/>
  <c r="AC25" i="9" s="1"/>
  <c r="AE25" i="9" s="1"/>
  <c r="AG25" i="9" s="1"/>
  <c r="AI25" i="9" s="1"/>
  <c r="AK25" i="9" s="1"/>
  <c r="AM25" i="9" s="1"/>
  <c r="AO25" i="9" s="1"/>
  <c r="AQ25" i="9" s="1"/>
  <c r="AS25" i="9" s="1"/>
  <c r="AA29" i="9"/>
  <c r="AC29" i="9" s="1"/>
  <c r="AA24" i="9"/>
  <c r="AA16" i="9" s="1"/>
  <c r="Y16" i="9"/>
  <c r="BM45" i="9"/>
  <c r="BO45" i="9" s="1"/>
  <c r="BQ45" i="9" s="1"/>
  <c r="BS45" i="9" s="1"/>
  <c r="BU45" i="9" s="1"/>
  <c r="BM44" i="9"/>
  <c r="BO44" i="9" s="1"/>
  <c r="BQ44" i="9" s="1"/>
  <c r="BK15" i="9"/>
  <c r="AW33" i="9"/>
  <c r="BA18" i="9"/>
  <c r="AW32" i="9"/>
  <c r="AU14" i="9"/>
  <c r="AU18" i="9" s="1"/>
  <c r="L33" i="8" l="1"/>
  <c r="L35" i="8" s="1"/>
  <c r="AS26" i="9"/>
  <c r="AU24" i="9" s="1"/>
  <c r="BG40" i="9"/>
  <c r="BE15" i="9"/>
  <c r="BE18" i="9" s="1"/>
  <c r="BK48" i="9"/>
  <c r="BI16" i="9"/>
  <c r="AE29" i="9"/>
  <c r="S21" i="9"/>
  <c r="Q1" i="9"/>
  <c r="U20" i="9"/>
  <c r="S16" i="9"/>
  <c r="S18" i="9" s="1"/>
  <c r="BK49" i="9"/>
  <c r="AW14" i="9"/>
  <c r="AW18" i="9" s="1"/>
  <c r="AY32" i="9"/>
  <c r="AY14" i="9" s="1"/>
  <c r="AY18" i="9" s="1"/>
  <c r="AE28" i="9"/>
  <c r="AC16" i="9"/>
  <c r="AC18" i="9" s="1"/>
  <c r="BK38" i="9"/>
  <c r="BM36" i="9" s="1"/>
  <c r="BO36" i="9" s="1"/>
  <c r="BQ36" i="9" s="1"/>
  <c r="BS36" i="9" s="1"/>
  <c r="BU36" i="9" s="1"/>
  <c r="BW36" i="9" s="1"/>
  <c r="BY36" i="9" s="1"/>
  <c r="CA36" i="9" s="1"/>
  <c r="CC36" i="9" s="1"/>
  <c r="CE36" i="9" s="1"/>
  <c r="CG36" i="9" s="1"/>
  <c r="CI36" i="9" s="1"/>
  <c r="BE41" i="9"/>
  <c r="L34" i="8"/>
  <c r="L36" i="8" s="1"/>
  <c r="J10" i="10" s="1"/>
  <c r="J12" i="10" s="1"/>
  <c r="J2" i="10" s="1"/>
  <c r="J6" i="10" s="1"/>
  <c r="AW24" i="9" l="1"/>
  <c r="AU11" i="9"/>
  <c r="AG29" i="9"/>
  <c r="BI40" i="9"/>
  <c r="BG14" i="9"/>
  <c r="BG18" i="9" s="1"/>
  <c r="BM37" i="9"/>
  <c r="BO37" i="9" s="1"/>
  <c r="BQ37" i="9" s="1"/>
  <c r="BS37" i="9" s="1"/>
  <c r="BU37" i="9" s="1"/>
  <c r="BW37" i="9" s="1"/>
  <c r="BY37" i="9" s="1"/>
  <c r="CA37" i="9" s="1"/>
  <c r="CC37" i="9" s="1"/>
  <c r="CE37" i="9" s="1"/>
  <c r="CG37" i="9" s="1"/>
  <c r="CI37" i="9" s="1"/>
  <c r="U16" i="9"/>
  <c r="U18" i="9" s="1"/>
  <c r="W20" i="9"/>
  <c r="AU25" i="9"/>
  <c r="AW25" i="9" s="1"/>
  <c r="BM48" i="9"/>
  <c r="BO48" i="9" s="1"/>
  <c r="BQ48" i="9" s="1"/>
  <c r="BS48" i="9" s="1"/>
  <c r="BU48" i="9" s="1"/>
  <c r="BW48" i="9" s="1"/>
  <c r="BK16" i="9"/>
  <c r="BG41" i="9"/>
  <c r="AG28" i="9"/>
  <c r="AE16" i="9"/>
  <c r="AE18" i="9" s="1"/>
  <c r="AY33" i="9"/>
  <c r="BA33" i="9" s="1"/>
  <c r="BC33" i="9" s="1"/>
  <c r="BE33" i="9" s="1"/>
  <c r="U21" i="9"/>
  <c r="S1" i="9"/>
  <c r="BK40" i="9" l="1"/>
  <c r="BK14" i="9" s="1"/>
  <c r="BK18" i="9" s="1"/>
  <c r="BI14" i="9"/>
  <c r="BI18" i="9" s="1"/>
  <c r="BE34" i="9"/>
  <c r="BG32" i="9" s="1"/>
  <c r="BG33" i="9"/>
  <c r="W15" i="9"/>
  <c r="W18" i="9" s="1"/>
  <c r="Y20" i="9"/>
  <c r="AI28" i="9"/>
  <c r="AI29" i="9" s="1"/>
  <c r="AG16" i="9"/>
  <c r="AG18" i="9" s="1"/>
  <c r="BM49" i="9"/>
  <c r="BO49" i="9" s="1"/>
  <c r="BQ49" i="9" s="1"/>
  <c r="BS49" i="9" s="1"/>
  <c r="BU49" i="9" s="1"/>
  <c r="BW49" i="9" s="1"/>
  <c r="BY49" i="9" s="1"/>
  <c r="CA49" i="9" s="1"/>
  <c r="W21" i="9"/>
  <c r="U1" i="9"/>
  <c r="BI41" i="9"/>
  <c r="BK41" i="9" s="1"/>
  <c r="BM41" i="9" s="1"/>
  <c r="BO41" i="9" s="1"/>
  <c r="AY24" i="9"/>
  <c r="AW11" i="9"/>
  <c r="BA24" i="9" l="1"/>
  <c r="AY11" i="9"/>
  <c r="Y21" i="9"/>
  <c r="W1" i="9"/>
  <c r="AY25" i="9"/>
  <c r="BA25" i="9" s="1"/>
  <c r="AA20" i="9"/>
  <c r="AA15" i="9" s="1"/>
  <c r="AA18" i="9" s="1"/>
  <c r="Y15" i="9"/>
  <c r="Y18" i="9" s="1"/>
  <c r="AK28" i="9"/>
  <c r="AI15" i="9"/>
  <c r="AI18" i="9" s="1"/>
  <c r="BI32" i="9"/>
  <c r="BI33" i="9" s="1"/>
  <c r="BG11" i="9"/>
  <c r="AM28" i="9" l="1"/>
  <c r="AK15" i="9"/>
  <c r="AK18" i="9" s="1"/>
  <c r="BC25" i="9"/>
  <c r="BC24" i="9"/>
  <c r="BA10" i="9"/>
  <c r="BK32" i="9"/>
  <c r="BI11" i="9"/>
  <c r="Y1" i="9"/>
  <c r="AA21" i="9"/>
  <c r="AK29" i="9"/>
  <c r="AM29" i="9" s="1"/>
  <c r="AC21" i="9" l="1"/>
  <c r="AA1" i="9"/>
  <c r="AM15" i="9"/>
  <c r="AM18" i="9" s="1"/>
  <c r="AO28" i="9"/>
  <c r="AO29" i="9"/>
  <c r="BM32" i="9"/>
  <c r="BO32" i="9" s="1"/>
  <c r="BQ32" i="9" s="1"/>
  <c r="BS32" i="9" s="1"/>
  <c r="BU32" i="9" s="1"/>
  <c r="BW32" i="9" s="1"/>
  <c r="BY32" i="9" s="1"/>
  <c r="CA32" i="9" s="1"/>
  <c r="CC32" i="9" s="1"/>
  <c r="CI53" i="9" s="1"/>
  <c r="BK11" i="9"/>
  <c r="BE24" i="9"/>
  <c r="BC10" i="9"/>
  <c r="BK33" i="9"/>
  <c r="BM33" i="9" s="1"/>
  <c r="BO33" i="9" s="1"/>
  <c r="BQ33" i="9" s="1"/>
  <c r="BS33" i="9" s="1"/>
  <c r="BU33" i="9" s="1"/>
  <c r="BW33" i="9" s="1"/>
  <c r="BY33" i="9" s="1"/>
  <c r="CA33" i="9" s="1"/>
  <c r="CC33" i="9" s="1"/>
  <c r="CI54" i="9" l="1"/>
  <c r="CK52" i="9" s="1"/>
  <c r="CM52" i="9" s="1"/>
  <c r="CO52" i="9" s="1"/>
  <c r="CQ52" i="9" s="1"/>
  <c r="CS52" i="9" s="1"/>
  <c r="CU52" i="9" s="1"/>
  <c r="CW52" i="9" s="1"/>
  <c r="CY52" i="9" s="1"/>
  <c r="DA52" i="9" s="1"/>
  <c r="DC52" i="9" s="1"/>
  <c r="DE52" i="9" s="1"/>
  <c r="DG52" i="9" s="1"/>
  <c r="AE21" i="9"/>
  <c r="AC1" i="9"/>
  <c r="BE10" i="9"/>
  <c r="BG24" i="9"/>
  <c r="AQ28" i="9"/>
  <c r="AO14" i="9"/>
  <c r="AO18" i="9" s="1"/>
  <c r="BE25" i="9"/>
  <c r="AS28" i="9" l="1"/>
  <c r="AS14" i="9" s="1"/>
  <c r="AS18" i="9" s="1"/>
  <c r="AQ14" i="9"/>
  <c r="AQ18" i="9" s="1"/>
  <c r="AG21" i="9"/>
  <c r="AE1" i="9"/>
  <c r="BI24" i="9"/>
  <c r="BG9" i="9"/>
  <c r="AQ29" i="9"/>
  <c r="AS29" i="9" s="1"/>
  <c r="AU29" i="9" s="1"/>
  <c r="AW29" i="9" s="1"/>
  <c r="AY29" i="9" s="1"/>
  <c r="BG25" i="9"/>
  <c r="BI25" i="9" s="1"/>
  <c r="CK53" i="9"/>
  <c r="CM53" i="9" s="1"/>
  <c r="CO53" i="9" s="1"/>
  <c r="CQ53" i="9" s="1"/>
  <c r="CS53" i="9" s="1"/>
  <c r="CU53" i="9" s="1"/>
  <c r="CW53" i="9" s="1"/>
  <c r="CY53" i="9" s="1"/>
  <c r="DA53" i="9" s="1"/>
  <c r="DC53" i="9" s="1"/>
  <c r="DE53" i="9" s="1"/>
  <c r="DG53" i="9" s="1"/>
  <c r="AY30" i="9" l="1"/>
  <c r="BA28" i="9" s="1"/>
  <c r="BA29" i="9"/>
  <c r="AI21" i="9"/>
  <c r="AG1" i="9"/>
  <c r="BI9" i="9"/>
  <c r="BK24" i="9"/>
  <c r="AK21" i="9" l="1"/>
  <c r="AI1" i="9"/>
  <c r="BM24" i="9"/>
  <c r="BO24" i="9" s="1"/>
  <c r="BQ24" i="9" s="1"/>
  <c r="BW45" i="9" s="1"/>
  <c r="BK9" i="9"/>
  <c r="BC28" i="9"/>
  <c r="BA11" i="9"/>
  <c r="BC29" i="9"/>
  <c r="BK25" i="9"/>
  <c r="BM25" i="9" s="1"/>
  <c r="BO25" i="9" s="1"/>
  <c r="BQ25" i="9" s="1"/>
  <c r="BW46" i="9" l="1"/>
  <c r="BY44" i="9" s="1"/>
  <c r="CA44" i="9" s="1"/>
  <c r="CC44" i="9" s="1"/>
  <c r="CE44" i="9" s="1"/>
  <c r="CG44" i="9" s="1"/>
  <c r="CI44" i="9" s="1"/>
  <c r="CK44" i="9" s="1"/>
  <c r="CM44" i="9" s="1"/>
  <c r="CO44" i="9" s="1"/>
  <c r="CQ44" i="9" s="1"/>
  <c r="CS44" i="9" s="1"/>
  <c r="CU44" i="9" s="1"/>
  <c r="BE28" i="9"/>
  <c r="BC11" i="9"/>
  <c r="AM21" i="9"/>
  <c r="AK1" i="9"/>
  <c r="BG28" i="9" l="1"/>
  <c r="BE11" i="9"/>
  <c r="BY45" i="9"/>
  <c r="CA45" i="9" s="1"/>
  <c r="CC45" i="9" s="1"/>
  <c r="CE45" i="9" s="1"/>
  <c r="CG45" i="9" s="1"/>
  <c r="CI45" i="9" s="1"/>
  <c r="CK45" i="9" s="1"/>
  <c r="CM45" i="9" s="1"/>
  <c r="CO45" i="9" s="1"/>
  <c r="CQ45" i="9" s="1"/>
  <c r="CS45" i="9" s="1"/>
  <c r="CU45" i="9" s="1"/>
  <c r="AM22" i="9"/>
  <c r="AO20" i="9" s="1"/>
  <c r="AM1" i="9"/>
  <c r="BE29" i="9"/>
  <c r="BG29" i="9" s="1"/>
  <c r="AQ20" i="9" l="1"/>
  <c r="AO11" i="9"/>
  <c r="AO12" i="9" s="1"/>
  <c r="BI29" i="9"/>
  <c r="AO21" i="9"/>
  <c r="BI28" i="9"/>
  <c r="BG10" i="9"/>
  <c r="AO1" i="9" l="1"/>
  <c r="AQ21" i="9"/>
  <c r="BK28" i="9"/>
  <c r="BI10" i="9"/>
  <c r="AS20" i="9"/>
  <c r="AQ11" i="9"/>
  <c r="AQ12" i="9" s="1"/>
  <c r="BM28" i="9" l="1"/>
  <c r="BO28" i="9" s="1"/>
  <c r="BQ28" i="9" s="1"/>
  <c r="BS28" i="9" s="1"/>
  <c r="BU28" i="9" s="1"/>
  <c r="BW28" i="9" s="1"/>
  <c r="CC49" i="9" s="1"/>
  <c r="BK10" i="9"/>
  <c r="BK29" i="9"/>
  <c r="BM29" i="9" s="1"/>
  <c r="BO29" i="9" s="1"/>
  <c r="BQ29" i="9" s="1"/>
  <c r="BS29" i="9" s="1"/>
  <c r="BU29" i="9" s="1"/>
  <c r="BW29" i="9" s="1"/>
  <c r="AS11" i="9"/>
  <c r="AS12" i="9" s="1"/>
  <c r="AU20" i="9"/>
  <c r="AS21" i="9"/>
  <c r="AQ1" i="9"/>
  <c r="AU21" i="9" l="1"/>
  <c r="AS1" i="9"/>
  <c r="AW20" i="9"/>
  <c r="AU10" i="9"/>
  <c r="AU12" i="9" s="1"/>
  <c r="CC50" i="9"/>
  <c r="CE48" i="9" s="1"/>
  <c r="CG48" i="9" s="1"/>
  <c r="CI48" i="9" s="1"/>
  <c r="CK48" i="9" s="1"/>
  <c r="CM48" i="9" s="1"/>
  <c r="CO48" i="9" s="1"/>
  <c r="CQ48" i="9" s="1"/>
  <c r="CS48" i="9" s="1"/>
  <c r="CU48" i="9" s="1"/>
  <c r="CW48" i="9" s="1"/>
  <c r="CY48" i="9" s="1"/>
  <c r="DA48" i="9" s="1"/>
  <c r="CE49" i="9"/>
  <c r="CG49" i="9" s="1"/>
  <c r="CI49" i="9" s="1"/>
  <c r="CK49" i="9" s="1"/>
  <c r="CM49" i="9" s="1"/>
  <c r="CO49" i="9" s="1"/>
  <c r="CQ49" i="9" s="1"/>
  <c r="CS49" i="9" s="1"/>
  <c r="CU49" i="9" s="1"/>
  <c r="CW49" i="9" s="1"/>
  <c r="CY49" i="9" s="1"/>
  <c r="DA49" i="9" s="1"/>
  <c r="AY20" i="9" l="1"/>
  <c r="AW10" i="9"/>
  <c r="AW12" i="9" s="1"/>
  <c r="AW21" i="9"/>
  <c r="AU1" i="9"/>
  <c r="AY21" i="9" l="1"/>
  <c r="AW1" i="9"/>
  <c r="BA20" i="9"/>
  <c r="AY10" i="9"/>
  <c r="AY12" i="9" s="1"/>
  <c r="BC20" i="9" l="1"/>
  <c r="BA9" i="9"/>
  <c r="BA12" i="9" s="1"/>
  <c r="BA21" i="9"/>
  <c r="AY1" i="9"/>
  <c r="BA1" i="9" l="1"/>
  <c r="BC21" i="9"/>
  <c r="BE20" i="9"/>
  <c r="BC9" i="9"/>
  <c r="BC12" i="9" s="1"/>
  <c r="BE21" i="9" l="1"/>
  <c r="BC1" i="9"/>
  <c r="BG20" i="9"/>
  <c r="BE9" i="9"/>
  <c r="BE12" i="9" s="1"/>
  <c r="BG8" i="9" l="1"/>
  <c r="BG12" i="9" s="1"/>
  <c r="BI20" i="9"/>
  <c r="BE1" i="9"/>
  <c r="BG21" i="9"/>
  <c r="BI21" i="9" l="1"/>
  <c r="BG1" i="9"/>
  <c r="BK20" i="9"/>
  <c r="BI8" i="9"/>
  <c r="BI12" i="9" s="1"/>
  <c r="BK8" i="9" l="1"/>
  <c r="BK12" i="9" s="1"/>
  <c r="BQ41" i="9"/>
  <c r="BK21" i="9"/>
  <c r="BK1" i="9" s="1"/>
  <c r="BI1" i="9"/>
  <c r="BQ42" i="9" l="1"/>
  <c r="BS40" i="9" s="1"/>
  <c r="BU40" i="9" s="1"/>
  <c r="BW40" i="9" s="1"/>
  <c r="BY40" i="9" s="1"/>
  <c r="CA40" i="9" s="1"/>
  <c r="CC40" i="9" s="1"/>
  <c r="CE40" i="9" s="1"/>
  <c r="CG40" i="9" s="1"/>
  <c r="CI40" i="9" s="1"/>
  <c r="CK40" i="9" s="1"/>
  <c r="CM40" i="9" s="1"/>
  <c r="CO40" i="9" s="1"/>
  <c r="BS41" i="9" l="1"/>
  <c r="BU41" i="9" s="1"/>
  <c r="BW41" i="9" s="1"/>
  <c r="BY41" i="9" s="1"/>
  <c r="CA41" i="9" s="1"/>
  <c r="CC41" i="9" s="1"/>
  <c r="CE41" i="9" s="1"/>
  <c r="CG41" i="9" s="1"/>
  <c r="CI41" i="9" s="1"/>
  <c r="CK41" i="9" s="1"/>
  <c r="CM41" i="9" s="1"/>
  <c r="CO41" i="9" s="1"/>
  <c r="R9" i="1" l="1"/>
  <c r="P9" i="1"/>
  <c r="L43" i="1" l="1"/>
  <c r="H43" i="1"/>
  <c r="F43" i="1"/>
  <c r="N31" i="1"/>
  <c r="AD31" i="1" s="1"/>
  <c r="AD30" i="1"/>
  <c r="AD29" i="1"/>
  <c r="AD28" i="1"/>
  <c r="AD27" i="1"/>
  <c r="AD26" i="1"/>
  <c r="AD23" i="1"/>
  <c r="AD20" i="1"/>
  <c r="N20" i="1"/>
  <c r="AD19" i="1"/>
  <c r="AD18" i="1"/>
  <c r="AD17" i="1"/>
  <c r="AD16" i="1"/>
  <c r="AD15" i="1"/>
  <c r="N9" i="1"/>
  <c r="L9" i="1"/>
  <c r="J9" i="1"/>
  <c r="J43" i="1" s="1"/>
  <c r="H9" i="1"/>
  <c r="F9" i="1"/>
  <c r="AB8" i="1"/>
  <c r="AB42" i="1" s="1"/>
  <c r="Z8" i="1"/>
  <c r="Z42" i="1" s="1"/>
  <c r="X8" i="1"/>
  <c r="X42" i="1" s="1"/>
  <c r="V8" i="1"/>
  <c r="V42" i="1" s="1"/>
  <c r="T8" i="1"/>
  <c r="T42" i="1" s="1"/>
  <c r="R8" i="1"/>
  <c r="R42" i="1" s="1"/>
  <c r="P8" i="1"/>
  <c r="P42" i="1" s="1"/>
  <c r="N8" i="1"/>
  <c r="L8" i="1"/>
  <c r="J8" i="1"/>
  <c r="H8" i="1"/>
  <c r="F8" i="1"/>
  <c r="AD7" i="1"/>
  <c r="AB7" i="1"/>
  <c r="Z7" i="1"/>
  <c r="AD6" i="1"/>
  <c r="AD5" i="1"/>
  <c r="AD4" i="1"/>
  <c r="Z36" i="1" l="1"/>
  <c r="Z37" i="1" s="1"/>
  <c r="H36" i="1"/>
  <c r="H39" i="1" s="1"/>
  <c r="H37" i="1"/>
  <c r="J36" i="1"/>
  <c r="J38" i="1" s="1"/>
  <c r="F37" i="1"/>
  <c r="L36" i="1"/>
  <c r="L39" i="1" s="1"/>
  <c r="H38" i="1"/>
  <c r="AD8" i="1"/>
  <c r="AD34" i="1"/>
  <c r="N43" i="1"/>
  <c r="J37" i="1" l="1"/>
  <c r="R36" i="1"/>
  <c r="V36" i="1"/>
  <c r="T36" i="1"/>
  <c r="T37" i="1" s="1"/>
  <c r="F39" i="1"/>
  <c r="J39" i="1"/>
  <c r="P36" i="1"/>
  <c r="L38" i="1"/>
  <c r="Z38" i="1"/>
  <c r="N36" i="1"/>
  <c r="N37" i="1" s="1"/>
  <c r="Z39" i="1"/>
  <c r="L37" i="1"/>
  <c r="AD12" i="1"/>
  <c r="AB36" i="1"/>
  <c r="F38" i="1"/>
  <c r="AD36" i="1" l="1"/>
  <c r="AD38" i="1" s="1"/>
  <c r="P38" i="1"/>
  <c r="P39" i="1"/>
  <c r="X39" i="1"/>
  <c r="X38" i="1"/>
  <c r="V38" i="1"/>
  <c r="V39" i="1"/>
  <c r="AB38" i="1"/>
  <c r="AB39" i="1"/>
  <c r="V37" i="1"/>
  <c r="R39" i="1"/>
  <c r="R38" i="1"/>
  <c r="AB37" i="1"/>
  <c r="N38" i="1"/>
  <c r="N39" i="1"/>
  <c r="P37" i="1"/>
  <c r="T39" i="1"/>
  <c r="T38" i="1"/>
  <c r="X37" i="1"/>
  <c r="R37" i="1"/>
  <c r="AD39" i="1" l="1"/>
  <c r="AD37" i="1"/>
</calcChain>
</file>

<file path=xl/comments1.xml><?xml version="1.0" encoding="utf-8"?>
<comments xmlns="http://schemas.openxmlformats.org/spreadsheetml/2006/main">
  <authors>
    <author>Thomas Hartline</author>
  </authors>
  <commentList>
    <comment ref="K27" authorId="0" shapeId="0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From Byrds/Fentress Bill Edit List</t>
        </r>
      </text>
    </comment>
    <comment ref="K46" authorId="0" shapeId="0">
      <text>
        <r>
          <rPr>
            <b/>
            <sz val="9"/>
            <color indexed="81"/>
            <rFont val="Tahoma"/>
            <charset val="1"/>
          </rPr>
          <t>Thomas Hartline:</t>
        </r>
        <r>
          <rPr>
            <sz val="9"/>
            <color indexed="81"/>
            <rFont val="Tahoma"/>
            <charset val="1"/>
          </rPr>
          <t xml:space="preserve">
Estimate - no invoice from Enbridge yet</t>
        </r>
      </text>
    </comment>
  </commentList>
</comments>
</file>

<file path=xl/comments2.xml><?xml version="1.0" encoding="utf-8"?>
<comments xmlns="http://schemas.openxmlformats.org/spreadsheetml/2006/main">
  <authors>
    <author>Thomas Hartline</author>
  </authors>
  <commentList>
    <comment ref="K27" authorId="0" shapeId="0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Q27" authorId="0" shapeId="0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W27" authorId="0" shapeId="0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C27" authorId="0" shapeId="0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I27" authorId="0" shapeId="0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From Byrds/Fentress Bill Edit List</t>
        </r>
      </text>
    </comment>
  </commentList>
</comments>
</file>

<file path=xl/comments3.xml><?xml version="1.0" encoding="utf-8"?>
<comments xmlns="http://schemas.openxmlformats.org/spreadsheetml/2006/main">
  <authors>
    <author>Thomas Hartline</author>
  </authors>
  <commentList>
    <comment ref="K20" authorId="0" shapeId="0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M21" authorId="0" shapeId="0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Q24" authorId="0" shapeId="0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O25" authorId="0" shapeId="0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S25" authorId="0" shapeId="0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W28" authorId="0" shapeId="0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U29" authorId="0" shapeId="0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Y29" authorId="0" shapeId="0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C32" authorId="0" shapeId="0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A33" authorId="0" shapeId="0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E33" authorId="0" shapeId="0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I36" authorId="0" shapeId="0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G37" authorId="0" shapeId="0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K37" authorId="0" shapeId="0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O40" authorId="0" shapeId="0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M41" authorId="0" shapeId="0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Q41" authorId="0" shapeId="0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U44" authorId="0" shapeId="0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S45" authorId="0" shapeId="0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W45" authorId="0" shapeId="0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BA48" authorId="0" shapeId="0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Y49" authorId="0" shapeId="0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C49" authorId="0" shapeId="0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BG52" authorId="0" shapeId="0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BE53" authorId="0" shapeId="0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I53" authorId="0" shapeId="0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</commentList>
</comments>
</file>

<file path=xl/sharedStrings.xml><?xml version="1.0" encoding="utf-8"?>
<sst xmlns="http://schemas.openxmlformats.org/spreadsheetml/2006/main" count="415" uniqueCount="199">
  <si>
    <t>Sales in MCF</t>
  </si>
  <si>
    <t>Total</t>
  </si>
  <si>
    <t>Clinton County</t>
  </si>
  <si>
    <t>LTM</t>
  </si>
  <si>
    <t>Last 5-yr Ave</t>
  </si>
  <si>
    <t>Floyd County</t>
  </si>
  <si>
    <t>Johnson County</t>
  </si>
  <si>
    <t>Total L5YA</t>
  </si>
  <si>
    <t>Clinton</t>
  </si>
  <si>
    <t>Floyd</t>
  </si>
  <si>
    <t>Johnson</t>
  </si>
  <si>
    <t>Actual (usage month, billed on 7th of following)</t>
  </si>
  <si>
    <t>Usage beginning</t>
  </si>
  <si>
    <t>Supply</t>
  </si>
  <si>
    <t>Transportation</t>
  </si>
  <si>
    <t>Total cost</t>
  </si>
  <si>
    <t>Cost per MCF</t>
  </si>
  <si>
    <t>less EGC in effect</t>
  </si>
  <si>
    <t>Delta</t>
  </si>
  <si>
    <t>Monthly cost difference</t>
  </si>
  <si>
    <t>Total cost difference</t>
  </si>
  <si>
    <t>Allocation</t>
  </si>
  <si>
    <t>Byrds/Fentress sales CCF</t>
  </si>
  <si>
    <t>KY%</t>
  </si>
  <si>
    <t>Supply Cost Invoices</t>
  </si>
  <si>
    <t>Sub total</t>
  </si>
  <si>
    <t>Diversified Gas &amp; Oil</t>
  </si>
  <si>
    <t>Hall-Stephens-Hall</t>
  </si>
  <si>
    <t>EGC</t>
  </si>
  <si>
    <t>Sales</t>
  </si>
  <si>
    <t>B&amp;S Oil</t>
  </si>
  <si>
    <t>Period</t>
  </si>
  <si>
    <t>Filing date (on or about)</t>
  </si>
  <si>
    <t>Reporting Months</t>
  </si>
  <si>
    <t>Effective date (&amp; 1st forecast month)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</si>
  <si>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</si>
  <si>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</si>
  <si>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</si>
  <si>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</si>
  <si>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</si>
  <si>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</si>
  <si>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</si>
  <si>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</si>
  <si>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</si>
  <si>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X</t>
  </si>
  <si>
    <t>August</t>
  </si>
  <si>
    <t>September</t>
  </si>
  <si>
    <t>October</t>
  </si>
  <si>
    <t>Notes</t>
  </si>
  <si>
    <t>Updated</t>
  </si>
  <si>
    <t>BA</t>
  </si>
  <si>
    <t>Actual Adjustment</t>
  </si>
  <si>
    <t>RA</t>
  </si>
  <si>
    <t>Summary</t>
  </si>
  <si>
    <t>Cover page</t>
  </si>
  <si>
    <t>Modified notes</t>
  </si>
  <si>
    <t>Location</t>
  </si>
  <si>
    <t>LTM MCF</t>
  </si>
  <si>
    <t>Supplier</t>
  </si>
  <si>
    <t>MMBtu</t>
  </si>
  <si>
    <t>Heat Rate</t>
  </si>
  <si>
    <t>MCF</t>
  </si>
  <si>
    <t>Rate</t>
  </si>
  <si>
    <t>Petrol</t>
  </si>
  <si>
    <t>Sparta</t>
  </si>
  <si>
    <t>transport</t>
  </si>
  <si>
    <t>Enbridge pipeline</t>
  </si>
  <si>
    <t>Contract is substantially fixed</t>
  </si>
  <si>
    <t>B&amp;W pipeline</t>
  </si>
  <si>
    <t>FERC tariff per MCF</t>
  </si>
  <si>
    <t>B&amp;S Oil Company</t>
  </si>
  <si>
    <t>Schedule III calculation</t>
  </si>
  <si>
    <t>Estimated based on Sparta</t>
  </si>
  <si>
    <t>Purchases</t>
  </si>
  <si>
    <t>Line loss</t>
  </si>
  <si>
    <t>Total MCF</t>
  </si>
  <si>
    <t>$/MCF</t>
  </si>
  <si>
    <t>Total EGC</t>
  </si>
  <si>
    <t>+</t>
  </si>
  <si>
    <t xml:space="preserve">under charged </t>
  </si>
  <si>
    <t>-</t>
  </si>
  <si>
    <t xml:space="preserve">over charged </t>
  </si>
  <si>
    <t>-&gt;Actual</t>
  </si>
  <si>
    <t>Average-&gt;</t>
  </si>
  <si>
    <t>3rd Previous Qrtr BA</t>
  </si>
  <si>
    <t>2rd Previous Qrtr BA</t>
  </si>
  <si>
    <t>Previous Qrtr BA</t>
  </si>
  <si>
    <t>Current Qrt BA</t>
  </si>
  <si>
    <t>3rd Previous Qrtr AA</t>
  </si>
  <si>
    <t>2rd Previous Qrtr AA</t>
  </si>
  <si>
    <t>Previous Qrtr AA</t>
  </si>
  <si>
    <t>Current Qrt AA</t>
  </si>
  <si>
    <t>Third previous qrtr BA AA</t>
  </si>
  <si>
    <t>Second previous qrtr BA AA</t>
  </si>
  <si>
    <t>Previous qrtr BA AA</t>
  </si>
  <si>
    <t>Balance adjustment BA</t>
  </si>
  <si>
    <t>Third previous quarter AA</t>
  </si>
  <si>
    <t>Second previous quarter AA</t>
  </si>
  <si>
    <t>Previous quarter AA</t>
  </si>
  <si>
    <t>Actual adjustment AA</t>
  </si>
  <si>
    <t>Component</t>
  </si>
  <si>
    <t>Expected Gas Cost (EGC)</t>
  </si>
  <si>
    <t>Refund Adjustment (RA)</t>
  </si>
  <si>
    <t>Actual Adjustment (AA)</t>
  </si>
  <si>
    <t>Balance Adjustment(BA)</t>
  </si>
  <si>
    <t>=</t>
  </si>
  <si>
    <t>Gas Cost Recovery Rate</t>
  </si>
  <si>
    <t>A. Expected Gas Cost Calculation</t>
  </si>
  <si>
    <t>/</t>
  </si>
  <si>
    <t>Twelve months sales</t>
  </si>
  <si>
    <t>B. Refund Adjustment Calculation</t>
  </si>
  <si>
    <t>Refund Adjustment for reporting period</t>
  </si>
  <si>
    <t>Previous quarter RA</t>
  </si>
  <si>
    <t>Second previous quarter RA</t>
  </si>
  <si>
    <t>Third previous quarter RA</t>
  </si>
  <si>
    <t>Other cost adjustments</t>
  </si>
  <si>
    <t>Refund Adjustment</t>
  </si>
  <si>
    <t>NOT USED</t>
  </si>
  <si>
    <t>C. Actual Adjustment Calculation</t>
  </si>
  <si>
    <t>Actual Adjustment for reporting period</t>
  </si>
  <si>
    <t>D. Balance Adjustment Calculation</t>
  </si>
  <si>
    <t>Balance Adjustment for reporting period</t>
  </si>
  <si>
    <t>Previous quarter BA</t>
  </si>
  <si>
    <t>Second previous quarter BA</t>
  </si>
  <si>
    <t>Third previous quarter BA</t>
  </si>
  <si>
    <t>Balance Adjustment</t>
  </si>
  <si>
    <t>%KY</t>
  </si>
  <si>
    <t>DEM</t>
  </si>
  <si>
    <t>Floyd LTM</t>
  </si>
  <si>
    <t>H-S-H</t>
  </si>
  <si>
    <t>Johnson LTM</t>
  </si>
  <si>
    <t>Schedule III</t>
  </si>
  <si>
    <t>B&amp;H Rate Calculation as Required in Case No. 2015-00367</t>
  </si>
  <si>
    <t>Average of twice Peoples rate and Columbia rate</t>
  </si>
  <si>
    <t>a)</t>
  </si>
  <si>
    <t>B&amp;S Heat Rate</t>
  </si>
  <si>
    <t>Columbia's Most Recent GCA Case</t>
  </si>
  <si>
    <t>2021-00184</t>
  </si>
  <si>
    <t>b)</t>
  </si>
  <si>
    <t>Columbia IUS Rate</t>
  </si>
  <si>
    <t>c)</t>
  </si>
  <si>
    <t>Columbia Heat Rate</t>
  </si>
  <si>
    <t>d)</t>
  </si>
  <si>
    <t>Columbia Heat Rate Differential</t>
  </si>
  <si>
    <t>a / c</t>
  </si>
  <si>
    <t>e)</t>
  </si>
  <si>
    <t>Columbia Heat Adjusted Price</t>
  </si>
  <si>
    <t>b x d</t>
  </si>
  <si>
    <t>Peoples' Most Recent GCA Case</t>
  </si>
  <si>
    <t>2021-00134</t>
  </si>
  <si>
    <t>f)</t>
  </si>
  <si>
    <t>Peoples Expected Gas Cost</t>
  </si>
  <si>
    <t>Schedule I</t>
  </si>
  <si>
    <t>g)</t>
  </si>
  <si>
    <t>Peoples Purchase Volume Dth</t>
  </si>
  <si>
    <t>Schedule II</t>
  </si>
  <si>
    <t>h)</t>
  </si>
  <si>
    <t>Peoples Purchase Volume MCF</t>
  </si>
  <si>
    <t>i)</t>
  </si>
  <si>
    <t>Peoples Heat Rate</t>
  </si>
  <si>
    <t>g / h</t>
  </si>
  <si>
    <t>j)</t>
  </si>
  <si>
    <t>Peoples Heat Rate Differential</t>
  </si>
  <si>
    <t>a / i</t>
  </si>
  <si>
    <t>k)</t>
  </si>
  <si>
    <t>Peoples Heat Adjusted Price</t>
  </si>
  <si>
    <t>f x j</t>
  </si>
  <si>
    <t>Price Average</t>
  </si>
  <si>
    <t>Third previous quarter</t>
  </si>
  <si>
    <t>Second previous quarter</t>
  </si>
  <si>
    <t>Previous quarter</t>
  </si>
  <si>
    <t>Current quarter</t>
  </si>
  <si>
    <r>
      <rPr>
        <b/>
        <sz val="10"/>
        <rFont val="Arial"/>
        <family val="2"/>
      </rPr>
      <t xml:space="preserve">Future quarter </t>
    </r>
    <r>
      <rPr>
        <sz val="10"/>
        <rFont val="Arial"/>
        <family val="2"/>
      </rPr>
      <t>[not a part]</t>
    </r>
  </si>
  <si>
    <t>EGC submitted</t>
  </si>
  <si>
    <t>Supply sub total</t>
  </si>
  <si>
    <t>Transportation sub total</t>
  </si>
  <si>
    <t>Total sales in MCF</t>
  </si>
  <si>
    <t>/ specificed 12 mo sales</t>
  </si>
  <si>
    <t>Rolling 5-yr Average</t>
  </si>
  <si>
    <t>Albany sales in MCF</t>
  </si>
  <si>
    <t>Total Albany &amp; TN sales MCF</t>
  </si>
  <si>
    <t>Transportation Cost Invoices</t>
  </si>
  <si>
    <t>Enbridge</t>
  </si>
  <si>
    <t>B&amp;W Pipeline FERC tariff</t>
  </si>
  <si>
    <t>BradCo</t>
  </si>
  <si>
    <t>Combined</t>
  </si>
  <si>
    <t>Diversified Energy Mrktg</t>
  </si>
  <si>
    <t>n</t>
  </si>
  <si>
    <t xml:space="preserve">n </t>
  </si>
  <si>
    <t>The Expected Gas Cost was not unified until September.</t>
  </si>
  <si>
    <t>Below is the data used to calculate blended EGC.</t>
  </si>
  <si>
    <t>Price quote per MCF for JAN 22</t>
  </si>
  <si>
    <t>Last per MMBtu $8.51 DEC 21</t>
  </si>
  <si>
    <t>JAN NYMEX Settlement $4.024/MMBtu</t>
  </si>
  <si>
    <t>2021-00308</t>
  </si>
  <si>
    <t>Not in use at this time</t>
  </si>
  <si>
    <t>First unified AA</t>
  </si>
  <si>
    <t>Not Used</t>
  </si>
  <si>
    <t>for March 7, 2022 billing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</si>
</sst>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mmmmm;@"/>
    <numFmt numFmtId="166" formatCode="0.0%"/>
    <numFmt numFmtId="167" formatCode="_(* #,##0_);_(* \(#,##0\);_(* &quot;-&quot;??_);_(@_)"/>
    <numFmt numFmtId="168" formatCode="[$-409]mmm\-yy;@"/>
    <numFmt numFmtId="169" formatCode="[$-409]d\-mmm;@"/>
    <numFmt numFmtId="170" formatCode="_(* #,##0.0000_);_(* \(#,##0.0000\);_(* &quot;-&quot;??_);_(@_)"/>
    <numFmt numFmtId="171" formatCode="_(* #,##0.0000_);_(* \(#,##0.0000\);_(* &quot;-&quot;????_);_(@_)"/>
    <numFmt numFmtId="172" formatCode="0.0000"/>
    <numFmt numFmtId="173" formatCode="_(&quot;$&quot;* #,##0_);_(&quot;$&quot;* \(#,##0\);_(&quot;$&quot;* &quot;-&quot;??_);_(@_)"/>
    <numFmt numFmtId="174" formatCode="_(&quot;$&quot;* #,##0.0000_);_(&quot;$&quot;* \(#,##0.0000\);_(&quot;$&quot;* &quot;-&quot;??_);_(@_)"/>
    <numFmt numFmtId="175" formatCode="_(&quot;$&quot;* #,##0.0000_);_(&quot;$&quot;* \(#,##0.0000\);_(&quot;$&quot;* &quot;-&quot;????_);_(@_)"/>
    <numFmt numFmtId="176" formatCode="_(* #,##0.00_);_(* \(#,##0.00\);_(* &quot;-&quot;_);_(@_)"/>
    <numFmt numFmtId="177" formatCode="_(* #,##0_);_(* \(#,##0\);_(* &quot;-&quot;????_);_(@_)"/>
  </numFmts>
  <fonts count="11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164" fontId="1" fillId="0" borderId="0" xfId="0" applyNumberFormat="1" applyFont="1" applyAlignment="1">
      <alignment horizontal="center"/>
    </xf>
    <xf numFmtId="41" fontId="1" fillId="0" borderId="0" xfId="0" applyNumberFormat="1" applyFont="1"/>
    <xf numFmtId="41" fontId="0" fillId="0" borderId="0" xfId="0" applyNumberFormat="1"/>
    <xf numFmtId="166" fontId="0" fillId="0" borderId="0" xfId="2" applyNumberFormat="1" applyFont="1" applyBorder="1"/>
    <xf numFmtId="166" fontId="0" fillId="0" borderId="0" xfId="2" applyNumberFormat="1" applyFont="1" applyFill="1" applyBorder="1"/>
    <xf numFmtId="167" fontId="0" fillId="0" borderId="0" xfId="1" applyNumberFormat="1" applyFont="1" applyBorder="1"/>
    <xf numFmtId="0" fontId="0" fillId="0" borderId="1" xfId="0" applyBorder="1"/>
    <xf numFmtId="43" fontId="0" fillId="3" borderId="0" xfId="0" applyNumberFormat="1" applyFill="1"/>
    <xf numFmtId="0" fontId="1" fillId="0" borderId="0" xfId="0" applyFont="1" applyAlignment="1">
      <alignment horizontal="right"/>
    </xf>
    <xf numFmtId="43" fontId="0" fillId="0" borderId="0" xfId="0" applyNumberFormat="1"/>
    <xf numFmtId="170" fontId="0" fillId="3" borderId="0" xfId="0" applyNumberFormat="1" applyFill="1"/>
    <xf numFmtId="170" fontId="0" fillId="0" borderId="0" xfId="0" applyNumberFormat="1"/>
    <xf numFmtId="0" fontId="3" fillId="0" borderId="0" xfId="0" applyFont="1" applyAlignment="1">
      <alignment horizontal="right"/>
    </xf>
    <xf numFmtId="43" fontId="1" fillId="0" borderId="0" xfId="0" applyNumberFormat="1" applyFont="1"/>
    <xf numFmtId="0" fontId="1" fillId="0" borderId="0" xfId="3"/>
    <xf numFmtId="0" fontId="4" fillId="0" borderId="0" xfId="0" applyFont="1"/>
    <xf numFmtId="9" fontId="0" fillId="3" borderId="0" xfId="2" applyFont="1" applyFill="1"/>
    <xf numFmtId="0" fontId="4" fillId="0" borderId="0" xfId="3" applyFont="1"/>
    <xf numFmtId="43" fontId="5" fillId="0" borderId="0" xfId="0" applyNumberFormat="1" applyFont="1"/>
    <xf numFmtId="0" fontId="4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2" xfId="0" applyBorder="1"/>
    <xf numFmtId="16" fontId="0" fillId="0" borderId="2" xfId="0" applyNumberFormat="1" applyBorder="1" applyAlignment="1">
      <alignment horizontal="center"/>
    </xf>
    <xf numFmtId="0" fontId="1" fillId="0" borderId="2" xfId="0" applyFont="1" applyBorder="1"/>
    <xf numFmtId="16" fontId="0" fillId="0" borderId="4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6" xfId="0" applyNumberForma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0" xfId="0" applyNumberFormat="1" applyFont="1"/>
    <xf numFmtId="172" fontId="1" fillId="0" borderId="0" xfId="0" applyNumberFormat="1" applyFont="1"/>
    <xf numFmtId="3" fontId="1" fillId="0" borderId="0" xfId="0" applyNumberFormat="1" applyFont="1"/>
    <xf numFmtId="2" fontId="1" fillId="0" borderId="0" xfId="0" applyNumberFormat="1" applyFont="1"/>
    <xf numFmtId="1" fontId="3" fillId="0" borderId="0" xfId="0" applyNumberFormat="1" applyFont="1"/>
    <xf numFmtId="41" fontId="3" fillId="0" borderId="0" xfId="0" applyNumberFormat="1" applyFont="1"/>
    <xf numFmtId="3" fontId="3" fillId="0" borderId="0" xfId="0" applyNumberFormat="1" applyFont="1"/>
    <xf numFmtId="2" fontId="3" fillId="0" borderId="0" xfId="0" applyNumberFormat="1" applyFont="1"/>
    <xf numFmtId="43" fontId="3" fillId="0" borderId="0" xfId="0" applyNumberFormat="1" applyFont="1"/>
    <xf numFmtId="172" fontId="3" fillId="0" borderId="0" xfId="0" applyNumberFormat="1" applyFont="1"/>
    <xf numFmtId="171" fontId="1" fillId="0" borderId="0" xfId="0" applyNumberFormat="1" applyFont="1"/>
    <xf numFmtId="17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1" fontId="3" fillId="0" borderId="0" xfId="0" applyNumberFormat="1" applyFont="1"/>
    <xf numFmtId="166" fontId="1" fillId="0" borderId="0" xfId="2" applyNumberFormat="1" applyFont="1" applyFill="1" applyBorder="1"/>
    <xf numFmtId="43" fontId="1" fillId="0" borderId="9" xfId="0" applyNumberFormat="1" applyFont="1" applyBorder="1"/>
    <xf numFmtId="167" fontId="1" fillId="0" borderId="0" xfId="0" applyNumberFormat="1" applyFont="1"/>
    <xf numFmtId="170" fontId="1" fillId="0" borderId="0" xfId="0" applyNumberFormat="1" applyFont="1"/>
    <xf numFmtId="173" fontId="1" fillId="0" borderId="0" xfId="0" applyNumberFormat="1" applyFont="1"/>
    <xf numFmtId="174" fontId="1" fillId="0" borderId="0" xfId="5" applyNumberFormat="1" applyFont="1" applyFill="1" applyBorder="1"/>
    <xf numFmtId="44" fontId="3" fillId="0" borderId="0" xfId="0" applyNumberFormat="1" applyFont="1"/>
    <xf numFmtId="0" fontId="1" fillId="0" borderId="0" xfId="0" quotePrefix="1" applyFont="1"/>
    <xf numFmtId="0" fontId="1" fillId="0" borderId="6" xfId="0" quotePrefix="1" applyFont="1" applyBorder="1" applyAlignment="1">
      <alignment horizontal="right"/>
    </xf>
    <xf numFmtId="0" fontId="0" fillId="0" borderId="10" xfId="0" applyBorder="1"/>
    <xf numFmtId="0" fontId="1" fillId="0" borderId="10" xfId="0" applyFont="1" applyBorder="1"/>
    <xf numFmtId="0" fontId="1" fillId="0" borderId="0" xfId="0" quotePrefix="1" applyFont="1" applyAlignment="1">
      <alignment horizontal="right"/>
    </xf>
    <xf numFmtId="168" fontId="0" fillId="0" borderId="0" xfId="0" applyNumberFormat="1"/>
    <xf numFmtId="168" fontId="0" fillId="0" borderId="6" xfId="0" applyNumberFormat="1" applyBorder="1"/>
    <xf numFmtId="168" fontId="1" fillId="0" borderId="6" xfId="0" applyNumberFormat="1" applyFont="1" applyBorder="1"/>
    <xf numFmtId="168" fontId="0" fillId="0" borderId="10" xfId="0" applyNumberFormat="1" applyBorder="1"/>
    <xf numFmtId="168" fontId="1" fillId="0" borderId="0" xfId="0" applyNumberFormat="1" applyFont="1"/>
    <xf numFmtId="41" fontId="3" fillId="5" borderId="6" xfId="0" applyNumberFormat="1" applyFont="1" applyFill="1" applyBorder="1"/>
    <xf numFmtId="41" fontId="3" fillId="5" borderId="0" xfId="0" applyNumberFormat="1" applyFont="1" applyFill="1"/>
    <xf numFmtId="0" fontId="0" fillId="0" borderId="6" xfId="0" applyBorder="1"/>
    <xf numFmtId="170" fontId="0" fillId="0" borderId="6" xfId="0" applyNumberFormat="1" applyBorder="1"/>
    <xf numFmtId="170" fontId="0" fillId="0" borderId="4" xfId="0" applyNumberFormat="1" applyBorder="1"/>
    <xf numFmtId="170" fontId="0" fillId="0" borderId="2" xfId="0" applyNumberFormat="1" applyBorder="1"/>
    <xf numFmtId="170" fontId="0" fillId="0" borderId="8" xfId="0" applyNumberFormat="1" applyBorder="1"/>
    <xf numFmtId="170" fontId="0" fillId="5" borderId="0" xfId="0" applyNumberFormat="1" applyFill="1"/>
    <xf numFmtId="170" fontId="0" fillId="3" borderId="6" xfId="0" applyNumberFormat="1" applyFill="1" applyBorder="1"/>
    <xf numFmtId="170" fontId="0" fillId="0" borderId="10" xfId="0" applyNumberFormat="1" applyBorder="1"/>
    <xf numFmtId="43" fontId="0" fillId="5" borderId="6" xfId="0" applyNumberFormat="1" applyFill="1" applyBorder="1"/>
    <xf numFmtId="43" fontId="0" fillId="3" borderId="6" xfId="0" applyNumberFormat="1" applyFill="1" applyBorder="1"/>
    <xf numFmtId="43" fontId="0" fillId="0" borderId="10" xfId="0" applyNumberFormat="1" applyBorder="1"/>
    <xf numFmtId="43" fontId="0" fillId="6" borderId="6" xfId="0" applyNumberFormat="1" applyFill="1" applyBorder="1"/>
    <xf numFmtId="43" fontId="0" fillId="7" borderId="6" xfId="0" applyNumberFormat="1" applyFill="1" applyBorder="1"/>
    <xf numFmtId="43" fontId="0" fillId="0" borderId="6" xfId="0" applyNumberFormat="1" applyBorder="1"/>
    <xf numFmtId="170" fontId="1" fillId="0" borderId="6" xfId="0" applyNumberFormat="1" applyFont="1" applyBorder="1"/>
    <xf numFmtId="170" fontId="1" fillId="8" borderId="3" xfId="0" applyNumberFormat="1" applyFont="1" applyFill="1" applyBorder="1"/>
    <xf numFmtId="172" fontId="0" fillId="0" borderId="0" xfId="0" applyNumberFormat="1"/>
    <xf numFmtId="170" fontId="0" fillId="0" borderId="1" xfId="0" applyNumberFormat="1" applyBorder="1"/>
    <xf numFmtId="175" fontId="0" fillId="3" borderId="0" xfId="0" applyNumberFormat="1" applyFill="1"/>
    <xf numFmtId="0" fontId="0" fillId="0" borderId="11" xfId="0" applyBorder="1"/>
    <xf numFmtId="173" fontId="0" fillId="5" borderId="0" xfId="0" applyNumberFormat="1" applyFill="1"/>
    <xf numFmtId="3" fontId="0" fillId="5" borderId="1" xfId="0" applyNumberFormat="1" applyFill="1" applyBorder="1"/>
    <xf numFmtId="174" fontId="0" fillId="3" borderId="0" xfId="0" applyNumberFormat="1" applyFill="1"/>
    <xf numFmtId="171" fontId="0" fillId="5" borderId="0" xfId="0" applyNumberFormat="1" applyFill="1"/>
    <xf numFmtId="174" fontId="0" fillId="3" borderId="2" xfId="0" applyNumberFormat="1" applyFill="1" applyBorder="1"/>
    <xf numFmtId="41" fontId="2" fillId="0" borderId="0" xfId="0" applyNumberFormat="1" applyFont="1" applyFill="1"/>
    <xf numFmtId="43" fontId="1" fillId="10" borderId="0" xfId="0" applyNumberFormat="1" applyFont="1" applyFill="1"/>
    <xf numFmtId="43" fontId="1" fillId="10" borderId="2" xfId="0" applyNumberFormat="1" applyFont="1" applyFill="1" applyBorder="1"/>
    <xf numFmtId="171" fontId="1" fillId="11" borderId="0" xfId="0" applyNumberFormat="1" applyFont="1" applyFill="1"/>
    <xf numFmtId="171" fontId="1" fillId="10" borderId="0" xfId="0" applyNumberFormat="1" applyFont="1" applyFill="1"/>
    <xf numFmtId="41" fontId="1" fillId="10" borderId="0" xfId="0" applyNumberFormat="1" applyFont="1" applyFill="1"/>
    <xf numFmtId="167" fontId="1" fillId="10" borderId="2" xfId="0" applyNumberFormat="1" applyFont="1" applyFill="1" applyBorder="1"/>
    <xf numFmtId="41" fontId="1" fillId="10" borderId="1" xfId="0" applyNumberFormat="1" applyFont="1" applyFill="1" applyBorder="1"/>
    <xf numFmtId="164" fontId="1" fillId="0" borderId="0" xfId="3" applyNumberFormat="1"/>
    <xf numFmtId="165" fontId="1" fillId="0" borderId="0" xfId="3" applyNumberFormat="1"/>
    <xf numFmtId="164" fontId="1" fillId="0" borderId="0" xfId="3" applyNumberFormat="1" applyAlignment="1">
      <alignment horizontal="center"/>
    </xf>
    <xf numFmtId="41" fontId="1" fillId="0" borderId="0" xfId="3" applyNumberFormat="1"/>
    <xf numFmtId="176" fontId="1" fillId="0" borderId="0" xfId="3" applyNumberFormat="1"/>
    <xf numFmtId="166" fontId="0" fillId="0" borderId="0" xfId="2" applyNumberFormat="1" applyFont="1" applyFill="1"/>
    <xf numFmtId="166" fontId="0" fillId="0" borderId="0" xfId="2" applyNumberFormat="1" applyFont="1"/>
    <xf numFmtId="166" fontId="1" fillId="0" borderId="0" xfId="2" applyNumberFormat="1" applyFont="1" applyFill="1"/>
    <xf numFmtId="0" fontId="1" fillId="0" borderId="0" xfId="3" applyAlignment="1">
      <alignment horizontal="right"/>
    </xf>
    <xf numFmtId="0" fontId="1" fillId="0" borderId="0" xfId="3" applyAlignment="1">
      <alignment horizontal="center"/>
    </xf>
    <xf numFmtId="171" fontId="1" fillId="0" borderId="0" xfId="3" applyNumberFormat="1"/>
    <xf numFmtId="0" fontId="1" fillId="0" borderId="1" xfId="3" applyBorder="1"/>
    <xf numFmtId="0" fontId="1" fillId="0" borderId="1" xfId="3" applyBorder="1" applyAlignment="1">
      <alignment horizontal="center"/>
    </xf>
    <xf numFmtId="171" fontId="1" fillId="0" borderId="1" xfId="3" applyNumberFormat="1" applyBorder="1"/>
    <xf numFmtId="175" fontId="1" fillId="0" borderId="0" xfId="3" applyNumberFormat="1"/>
    <xf numFmtId="0" fontId="1" fillId="0" borderId="0" xfId="3" quotePrefix="1" applyAlignment="1">
      <alignment horizontal="center"/>
    </xf>
    <xf numFmtId="177" fontId="1" fillId="0" borderId="0" xfId="3" applyNumberFormat="1"/>
    <xf numFmtId="175" fontId="1" fillId="0" borderId="2" xfId="3" applyNumberFormat="1" applyBorder="1"/>
    <xf numFmtId="0" fontId="1" fillId="2" borderId="0" xfId="3" applyFill="1"/>
    <xf numFmtId="0" fontId="1" fillId="0" borderId="2" xfId="3" applyBorder="1" applyAlignment="1">
      <alignment horizontal="center"/>
    </xf>
    <xf numFmtId="168" fontId="1" fillId="0" borderId="0" xfId="3" applyNumberFormat="1" applyAlignment="1">
      <alignment horizontal="center"/>
    </xf>
    <xf numFmtId="168" fontId="1" fillId="0" borderId="0" xfId="3" applyNumberFormat="1" applyAlignment="1">
      <alignment horizontal="right"/>
    </xf>
    <xf numFmtId="168" fontId="1" fillId="2" borderId="0" xfId="3" applyNumberFormat="1" applyFill="1" applyAlignment="1">
      <alignment horizontal="center"/>
    </xf>
    <xf numFmtId="169" fontId="1" fillId="0" borderId="0" xfId="3" applyNumberFormat="1" applyAlignment="1">
      <alignment horizontal="center"/>
    </xf>
    <xf numFmtId="43" fontId="1" fillId="3" borderId="0" xfId="3" applyNumberFormat="1" applyFill="1"/>
    <xf numFmtId="43" fontId="1" fillId="3" borderId="2" xfId="3" applyNumberFormat="1" applyFill="1" applyBorder="1"/>
    <xf numFmtId="43" fontId="1" fillId="0" borderId="0" xfId="3" applyNumberFormat="1"/>
    <xf numFmtId="169" fontId="1" fillId="0" borderId="11" xfId="3" applyNumberFormat="1" applyBorder="1" applyAlignment="1">
      <alignment horizontal="center"/>
    </xf>
    <xf numFmtId="167" fontId="1" fillId="4" borderId="0" xfId="3" applyNumberFormat="1" applyFill="1"/>
    <xf numFmtId="170" fontId="1" fillId="3" borderId="0" xfId="3" applyNumberFormat="1" applyFill="1"/>
    <xf numFmtId="170" fontId="1" fillId="0" borderId="0" xfId="3" applyNumberFormat="1"/>
    <xf numFmtId="170" fontId="1" fillId="9" borderId="1" xfId="3" applyNumberFormat="1" applyFill="1" applyBorder="1"/>
    <xf numFmtId="3" fontId="1" fillId="5" borderId="0" xfId="3" applyNumberFormat="1" applyFill="1"/>
    <xf numFmtId="0" fontId="3" fillId="0" borderId="0" xfId="3" applyFont="1" applyAlignment="1">
      <alignment horizontal="right"/>
    </xf>
    <xf numFmtId="170" fontId="3" fillId="8" borderId="0" xfId="3" applyNumberFormat="1" applyFont="1" applyFill="1"/>
    <xf numFmtId="170" fontId="3" fillId="0" borderId="0" xfId="3" applyNumberFormat="1" applyFont="1"/>
    <xf numFmtId="0" fontId="3" fillId="0" borderId="0" xfId="3" applyFont="1"/>
    <xf numFmtId="167" fontId="4" fillId="9" borderId="0" xfId="3" applyNumberFormat="1" applyFont="1" applyFill="1"/>
    <xf numFmtId="3" fontId="1" fillId="0" borderId="0" xfId="3" applyNumberFormat="1"/>
    <xf numFmtId="167" fontId="4" fillId="5" borderId="0" xfId="3" applyNumberFormat="1" applyFont="1" applyFill="1"/>
    <xf numFmtId="167" fontId="1" fillId="3" borderId="2" xfId="3" applyNumberFormat="1" applyFill="1" applyBorder="1"/>
    <xf numFmtId="167" fontId="4" fillId="0" borderId="0" xfId="3" applyNumberFormat="1" applyFont="1"/>
    <xf numFmtId="44" fontId="1" fillId="9" borderId="0" xfId="3" applyNumberFormat="1" applyFill="1"/>
    <xf numFmtId="43" fontId="5" fillId="0" borderId="0" xfId="3" applyNumberFormat="1" applyFont="1"/>
    <xf numFmtId="43" fontId="1" fillId="3" borderId="12" xfId="3" applyNumberFormat="1" applyFill="1" applyBorder="1"/>
    <xf numFmtId="0" fontId="1" fillId="0" borderId="0" xfId="3" applyAlignment="1">
      <alignment horizontal="left"/>
    </xf>
    <xf numFmtId="0" fontId="4" fillId="0" borderId="1" xfId="0" applyFont="1" applyBorder="1"/>
    <xf numFmtId="170" fontId="4" fillId="5" borderId="0" xfId="0" applyNumberFormat="1" applyFont="1" applyFill="1"/>
    <xf numFmtId="0" fontId="4" fillId="0" borderId="0" xfId="0" quotePrefix="1" applyFont="1"/>
    <xf numFmtId="170" fontId="4" fillId="0" borderId="1" xfId="0" applyNumberFormat="1" applyFont="1" applyBorder="1"/>
    <xf numFmtId="175" fontId="4" fillId="3" borderId="0" xfId="0" applyNumberFormat="1" applyFont="1" applyFill="1"/>
    <xf numFmtId="170" fontId="0" fillId="5" borderId="1" xfId="0" applyNumberFormat="1" applyFill="1" applyBorder="1"/>
    <xf numFmtId="44" fontId="1" fillId="11" borderId="0" xfId="3" applyNumberFormat="1" applyFill="1"/>
    <xf numFmtId="43" fontId="5" fillId="11" borderId="0" xfId="0" applyNumberFormat="1" applyFont="1" applyFill="1"/>
    <xf numFmtId="43" fontId="8" fillId="11" borderId="0" xfId="4" applyFont="1" applyFill="1"/>
    <xf numFmtId="170" fontId="1" fillId="11" borderId="1" xfId="3" applyNumberFormat="1" applyFill="1" applyBorder="1"/>
    <xf numFmtId="41" fontId="1" fillId="11" borderId="0" xfId="3" applyNumberFormat="1" applyFill="1"/>
    <xf numFmtId="166" fontId="1" fillId="0" borderId="0" xfId="2" applyNumberFormat="1"/>
    <xf numFmtId="43" fontId="1" fillId="0" borderId="0" xfId="3" applyNumberFormat="1" applyFill="1"/>
    <xf numFmtId="0" fontId="1" fillId="0" borderId="0" xfId="3" applyFill="1"/>
    <xf numFmtId="41" fontId="1" fillId="0" borderId="0" xfId="3" applyNumberFormat="1" applyFill="1"/>
    <xf numFmtId="170" fontId="1" fillId="12" borderId="1" xfId="3" applyNumberFormat="1" applyFill="1" applyBorder="1"/>
    <xf numFmtId="0" fontId="1" fillId="12" borderId="0" xfId="3" applyFill="1"/>
    <xf numFmtId="41" fontId="1" fillId="12" borderId="0" xfId="3" applyNumberFormat="1" applyFill="1"/>
    <xf numFmtId="41" fontId="1" fillId="12" borderId="2" xfId="3" applyNumberFormat="1" applyFill="1" applyBorder="1"/>
    <xf numFmtId="9" fontId="1" fillId="0" borderId="0" xfId="2"/>
    <xf numFmtId="41" fontId="1" fillId="5" borderId="0" xfId="0" applyNumberFormat="1" applyFont="1" applyFill="1"/>
    <xf numFmtId="171" fontId="1" fillId="10" borderId="0" xfId="3" applyNumberFormat="1" applyFill="1"/>
    <xf numFmtId="175" fontId="1" fillId="10" borderId="0" xfId="3" applyNumberFormat="1" applyFill="1"/>
    <xf numFmtId="175" fontId="1" fillId="11" borderId="0" xfId="3" applyNumberFormat="1" applyFill="1"/>
    <xf numFmtId="177" fontId="1" fillId="11" borderId="0" xfId="3" applyNumberFormat="1" applyFill="1"/>
    <xf numFmtId="175" fontId="1" fillId="10" borderId="2" xfId="3" applyNumberFormat="1" applyFill="1" applyBorder="1"/>
    <xf numFmtId="171" fontId="1" fillId="5" borderId="0" xfId="0" applyNumberFormat="1" applyFont="1" applyFill="1"/>
  </cellXfs>
  <cellStyles count="6">
    <cellStyle name="Comma" xfId="1" builtinId="3"/>
    <cellStyle name="Comma 2" xfId="4"/>
    <cellStyle name="Currency 2" xfId="5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tabSelected="1" zoomScaleNormal="100" workbookViewId="0">
      <selection activeCell="J12" sqref="J12"/>
    </sheetView>
  </sheetViews>
  <sheetFormatPr defaultRowHeight="12.75" x14ac:dyDescent="0.2"/>
  <cols>
    <col min="1" max="1" width="1.7109375" customWidth="1"/>
    <col min="2" max="2" width="11.7109375" customWidth="1"/>
    <col min="3" max="3" width="1.7109375" customWidth="1"/>
    <col min="4" max="4" width="11.7109375" customWidth="1"/>
    <col min="5" max="5" width="1.7109375" customWidth="1"/>
    <col min="6" max="6" width="11.7109375" customWidth="1"/>
    <col min="7" max="7" width="1.7109375" customWidth="1"/>
    <col min="8" max="8" width="11.7109375" customWidth="1"/>
    <col min="9" max="9" width="1.7109375" customWidth="1"/>
    <col min="10" max="10" width="11.7109375" customWidth="1"/>
    <col min="11" max="11" width="1.7109375" customWidth="1"/>
    <col min="12" max="12" width="11.7109375" customWidth="1"/>
    <col min="13" max="13" width="1.7109375" customWidth="1"/>
    <col min="14" max="14" width="11.7109375" customWidth="1"/>
    <col min="15" max="15" width="1.7109375" customWidth="1"/>
    <col min="16" max="16" width="11.7109375" customWidth="1"/>
    <col min="17" max="17" width="1.7109375" customWidth="1"/>
    <col min="18" max="18" width="11.7109375" customWidth="1"/>
    <col min="19" max="19" width="1.7109375" customWidth="1"/>
    <col min="20" max="20" width="11.7109375" customWidth="1"/>
    <col min="21" max="21" width="1.7109375" customWidth="1"/>
    <col min="22" max="22" width="11.7109375" customWidth="1"/>
    <col min="23" max="23" width="1.7109375" customWidth="1"/>
    <col min="24" max="24" width="11.7109375" customWidth="1"/>
    <col min="25" max="25" width="1.7109375" customWidth="1"/>
    <col min="26" max="26" width="11.7109375" customWidth="1"/>
    <col min="27" max="27" width="1.7109375" customWidth="1"/>
  </cols>
  <sheetData>
    <row r="2" spans="1:10" s="27" customFormat="1" ht="51" x14ac:dyDescent="0.2">
      <c r="B2" s="28" t="s">
        <v>31</v>
      </c>
      <c r="C2" s="29"/>
      <c r="D2" s="28" t="s">
        <v>32</v>
      </c>
      <c r="E2" s="29"/>
      <c r="F2" s="28" t="s">
        <v>33</v>
      </c>
      <c r="G2" s="29"/>
      <c r="H2" s="28" t="s">
        <v>34</v>
      </c>
    </row>
    <row r="3" spans="1:10" x14ac:dyDescent="0.2">
      <c r="B3" s="30"/>
      <c r="C3" s="31"/>
      <c r="D3" s="32">
        <v>40633</v>
      </c>
      <c r="E3" s="31"/>
      <c r="F3" s="33" t="s">
        <v>35</v>
      </c>
      <c r="G3" s="31"/>
      <c r="H3" s="34">
        <v>40664</v>
      </c>
    </row>
    <row r="4" spans="1:10" x14ac:dyDescent="0.2">
      <c r="B4" s="35"/>
      <c r="D4" s="36"/>
      <c r="F4" s="1" t="s">
        <v>36</v>
      </c>
      <c r="H4" s="37"/>
    </row>
    <row r="5" spans="1:10" x14ac:dyDescent="0.2">
      <c r="B5" s="38"/>
      <c r="C5" s="11"/>
      <c r="D5" s="39"/>
      <c r="E5" s="11"/>
      <c r="F5" s="25" t="s">
        <v>37</v>
      </c>
      <c r="G5" s="11"/>
      <c r="H5" s="40"/>
    </row>
    <row r="6" spans="1:10" x14ac:dyDescent="0.2">
      <c r="B6" s="30"/>
      <c r="C6" s="31"/>
      <c r="D6" s="32">
        <v>40724</v>
      </c>
      <c r="E6" s="31"/>
      <c r="F6" s="33" t="s">
        <v>38</v>
      </c>
      <c r="G6" s="31"/>
      <c r="H6" s="34">
        <v>40756</v>
      </c>
    </row>
    <row r="7" spans="1:10" x14ac:dyDescent="0.2">
      <c r="B7" s="35"/>
      <c r="D7" s="36"/>
      <c r="F7" s="1" t="s">
        <v>39</v>
      </c>
      <c r="H7" s="37"/>
    </row>
    <row r="8" spans="1:10" x14ac:dyDescent="0.2">
      <c r="B8" s="38"/>
      <c r="C8" s="11"/>
      <c r="D8" s="39"/>
      <c r="E8" s="11"/>
      <c r="F8" s="25" t="s">
        <v>40</v>
      </c>
      <c r="G8" s="11"/>
      <c r="H8" s="40"/>
    </row>
    <row r="9" spans="1:10" x14ac:dyDescent="0.2">
      <c r="B9" s="30"/>
      <c r="C9" s="31"/>
      <c r="D9" s="32">
        <v>40816</v>
      </c>
      <c r="E9" s="31"/>
      <c r="F9" s="33" t="s">
        <v>41</v>
      </c>
      <c r="G9" s="31"/>
      <c r="H9" s="34">
        <v>40848</v>
      </c>
    </row>
    <row r="10" spans="1:10" x14ac:dyDescent="0.2">
      <c r="B10" s="35"/>
      <c r="D10" s="36"/>
      <c r="F10" s="1" t="s">
        <v>42</v>
      </c>
      <c r="H10" s="37"/>
    </row>
    <row r="11" spans="1:10" x14ac:dyDescent="0.2">
      <c r="B11" s="38"/>
      <c r="C11" s="11"/>
      <c r="D11" s="39"/>
      <c r="E11" s="11"/>
      <c r="F11" s="25" t="s">
        <v>43</v>
      </c>
      <c r="G11" s="11"/>
      <c r="H11" s="40"/>
    </row>
    <row r="12" spans="1:10" x14ac:dyDescent="0.2">
      <c r="B12" s="30" t="s">
        <v>44</v>
      </c>
      <c r="C12" s="31"/>
      <c r="D12" s="32">
        <v>40908</v>
      </c>
      <c r="E12" s="31"/>
      <c r="F12" s="33" t="s">
        <v>45</v>
      </c>
      <c r="G12" s="31"/>
      <c r="H12" s="34">
        <v>40575</v>
      </c>
      <c r="J12" s="1" t="s">
        <v>198</v>
      </c>
    </row>
    <row r="13" spans="1:10" x14ac:dyDescent="0.2">
      <c r="B13" s="41"/>
      <c r="D13" s="42"/>
      <c r="F13" s="1" t="s">
        <v>46</v>
      </c>
      <c r="H13" s="43"/>
    </row>
    <row r="14" spans="1:10" x14ac:dyDescent="0.2">
      <c r="B14" s="38"/>
      <c r="C14" s="11"/>
      <c r="D14" s="39"/>
      <c r="E14" s="11"/>
      <c r="F14" s="25" t="s">
        <v>47</v>
      </c>
      <c r="G14" s="11"/>
      <c r="H14" s="40"/>
    </row>
    <row r="16" spans="1:10" x14ac:dyDescent="0.2">
      <c r="A16" s="1" t="s">
        <v>48</v>
      </c>
    </row>
    <row r="17" spans="2:3" x14ac:dyDescent="0.2">
      <c r="B17" s="1" t="s">
        <v>29</v>
      </c>
    </row>
    <row r="18" spans="2:3" x14ac:dyDescent="0.2">
      <c r="C18" s="1" t="s">
        <v>49</v>
      </c>
    </row>
    <row r="19" spans="2:3" x14ac:dyDescent="0.2">
      <c r="C19" s="1"/>
    </row>
    <row r="20" spans="2:3" x14ac:dyDescent="0.2">
      <c r="B20" t="s">
        <v>73</v>
      </c>
      <c r="C20" s="1"/>
    </row>
    <row r="21" spans="2:3" x14ac:dyDescent="0.2">
      <c r="C21" s="1" t="s">
        <v>49</v>
      </c>
    </row>
    <row r="22" spans="2:3" x14ac:dyDescent="0.2">
      <c r="C22" s="1"/>
    </row>
    <row r="23" spans="2:3" x14ac:dyDescent="0.2">
      <c r="B23" s="1" t="s">
        <v>50</v>
      </c>
      <c r="C23" s="1"/>
    </row>
    <row r="24" spans="2:3" x14ac:dyDescent="0.2">
      <c r="C24" s="1" t="s">
        <v>195</v>
      </c>
    </row>
    <row r="25" spans="2:3" x14ac:dyDescent="0.2">
      <c r="C25" s="1"/>
    </row>
    <row r="26" spans="2:3" x14ac:dyDescent="0.2">
      <c r="B26" s="1" t="s">
        <v>51</v>
      </c>
    </row>
    <row r="27" spans="2:3" x14ac:dyDescent="0.2">
      <c r="C27" s="1" t="s">
        <v>196</v>
      </c>
    </row>
    <row r="28" spans="2:3" x14ac:dyDescent="0.2">
      <c r="C28" s="1"/>
    </row>
    <row r="29" spans="2:3" x14ac:dyDescent="0.2">
      <c r="B29" s="1" t="s">
        <v>52</v>
      </c>
    </row>
    <row r="30" spans="2:3" x14ac:dyDescent="0.2">
      <c r="B30" s="1"/>
      <c r="C30" t="s">
        <v>197</v>
      </c>
    </row>
    <row r="32" spans="2:3" x14ac:dyDescent="0.2">
      <c r="B32" s="1" t="s">
        <v>28</v>
      </c>
    </row>
    <row r="33" spans="2:3" x14ac:dyDescent="0.2">
      <c r="C33" s="1" t="s">
        <v>49</v>
      </c>
    </row>
    <row r="35" spans="2:3" x14ac:dyDescent="0.2">
      <c r="B35" s="1" t="s">
        <v>53</v>
      </c>
    </row>
    <row r="36" spans="2:3" x14ac:dyDescent="0.2">
      <c r="C36" s="1" t="s">
        <v>49</v>
      </c>
    </row>
    <row r="38" spans="2:3" x14ac:dyDescent="0.2">
      <c r="B38" s="1" t="s">
        <v>54</v>
      </c>
    </row>
    <row r="39" spans="2:3" x14ac:dyDescent="0.2">
      <c r="C39" s="1" t="s">
        <v>55</v>
      </c>
    </row>
    <row r="41" spans="2:3" x14ac:dyDescent="0.2">
      <c r="C41" s="1"/>
    </row>
  </sheetData>
  <pageMargins left="1" right="1" top="1.5" bottom="1.5" header="0.75" footer="0.5"/>
  <pageSetup orientation="portrait" r:id="rId1"/>
  <headerFooter>
    <oddHeader>&amp;L&amp;"Arial,Bold"Quarterly Report&amp;"Arial,Regular"
Gas cost recovery rate calculation&amp;R&amp;"Arial,Bold"Navitas KY NG, LLC</oddHeader>
    <oddFooter>&amp;CPage 1&amp;R&amp;D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T9" sqref="T9"/>
    </sheetView>
  </sheetViews>
  <sheetFormatPr defaultColWidth="9.140625" defaultRowHeight="12.75" x14ac:dyDescent="0.2"/>
  <cols>
    <col min="1" max="2" width="1.28515625" customWidth="1"/>
    <col min="3" max="3" width="10.7109375" customWidth="1"/>
    <col min="4" max="5" width="1.28515625" customWidth="1"/>
    <col min="6" max="6" width="9.7109375" customWidth="1"/>
    <col min="7" max="7" width="1.28515625" customWidth="1"/>
    <col min="8" max="8" width="9.7109375" customWidth="1"/>
    <col min="9" max="9" width="1.28515625" customWidth="1"/>
    <col min="10" max="10" width="9.7109375" customWidth="1"/>
    <col min="11" max="11" width="1.28515625" customWidth="1"/>
    <col min="12" max="12" width="9.7109375" customWidth="1"/>
    <col min="13" max="13" width="1.28515625" customWidth="1"/>
    <col min="14" max="14" width="9.7109375" customWidth="1"/>
    <col min="15" max="15" width="1.28515625" customWidth="1"/>
    <col min="16" max="16" width="9.7109375" customWidth="1"/>
    <col min="17" max="17" width="1.28515625" customWidth="1"/>
    <col min="18" max="18" width="9.7109375" customWidth="1"/>
    <col min="19" max="19" width="1.28515625" customWidth="1"/>
    <col min="20" max="20" width="9.7109375" customWidth="1"/>
    <col min="21" max="21" width="1.28515625" customWidth="1"/>
    <col min="22" max="22" width="9.7109375" customWidth="1"/>
    <col min="23" max="23" width="1.28515625" customWidth="1"/>
    <col min="24" max="24" width="9.7109375" customWidth="1"/>
    <col min="25" max="25" width="1.28515625" customWidth="1"/>
    <col min="26" max="26" width="9.7109375" customWidth="1"/>
    <col min="27" max="27" width="1.28515625" customWidth="1"/>
    <col min="28" max="28" width="9.7109375" customWidth="1"/>
    <col min="29" max="29" width="1.28515625" customWidth="1"/>
    <col min="30" max="30" width="10.7109375" customWidth="1"/>
    <col min="32" max="32" width="15.85546875" customWidth="1"/>
    <col min="33" max="33" width="9.7109375" customWidth="1"/>
  </cols>
  <sheetData>
    <row r="1" spans="1:30" x14ac:dyDescent="0.2">
      <c r="A1" s="1" t="s">
        <v>0</v>
      </c>
    </row>
    <row r="2" spans="1:30" s="3" customFormat="1" x14ac:dyDescent="0.2">
      <c r="A2" s="2"/>
      <c r="F2" s="4">
        <v>39478</v>
      </c>
      <c r="G2" s="4"/>
      <c r="H2" s="4">
        <v>39506</v>
      </c>
      <c r="I2" s="4"/>
      <c r="J2" s="4">
        <v>39538</v>
      </c>
      <c r="K2" s="4"/>
      <c r="L2" s="4">
        <v>39568</v>
      </c>
      <c r="M2" s="4"/>
      <c r="N2" s="4">
        <v>39599</v>
      </c>
      <c r="O2" s="4"/>
      <c r="P2" s="4">
        <v>39629</v>
      </c>
      <c r="Q2" s="4"/>
      <c r="R2" s="4">
        <v>39660</v>
      </c>
      <c r="S2" s="4"/>
      <c r="T2" s="4">
        <v>39691</v>
      </c>
      <c r="U2" s="4"/>
      <c r="V2" s="4">
        <v>39721</v>
      </c>
      <c r="W2" s="4"/>
      <c r="X2" s="4">
        <v>39752</v>
      </c>
      <c r="Y2" s="4"/>
      <c r="Z2" s="4">
        <v>39782</v>
      </c>
      <c r="AA2" s="4"/>
      <c r="AB2" s="4">
        <v>39813</v>
      </c>
      <c r="AC2" s="4"/>
      <c r="AD2" s="5" t="s">
        <v>1</v>
      </c>
    </row>
    <row r="3" spans="1:30" x14ac:dyDescent="0.2">
      <c r="B3" t="s">
        <v>2</v>
      </c>
    </row>
    <row r="4" spans="1:30" x14ac:dyDescent="0.2">
      <c r="C4">
        <v>2016</v>
      </c>
      <c r="F4" s="6">
        <v>11015</v>
      </c>
      <c r="G4" s="6"/>
      <c r="H4" s="6">
        <v>10109</v>
      </c>
      <c r="I4" s="6"/>
      <c r="J4" s="6">
        <v>9340</v>
      </c>
      <c r="K4" s="6"/>
      <c r="L4" s="6">
        <v>7794</v>
      </c>
      <c r="M4" s="6"/>
      <c r="N4" s="6">
        <v>5474</v>
      </c>
      <c r="O4" s="6"/>
      <c r="P4" s="6">
        <v>4778</v>
      </c>
      <c r="Q4" s="6"/>
      <c r="R4" s="6">
        <v>4594</v>
      </c>
      <c r="S4" s="6"/>
      <c r="T4" s="6">
        <v>4462</v>
      </c>
      <c r="U4" s="6"/>
      <c r="V4" s="6">
        <v>5505</v>
      </c>
      <c r="W4" s="6"/>
      <c r="X4" s="6">
        <v>5465</v>
      </c>
      <c r="Y4" s="6"/>
      <c r="Z4" s="6">
        <v>7363</v>
      </c>
      <c r="AA4" s="6"/>
      <c r="AB4" s="6">
        <v>8826</v>
      </c>
      <c r="AD4" s="7">
        <f t="shared" ref="AD4:AD9" si="0">SUM(F4:AB4)</f>
        <v>84725</v>
      </c>
    </row>
    <row r="5" spans="1:30" x14ac:dyDescent="0.2">
      <c r="C5">
        <v>2017</v>
      </c>
      <c r="F5" s="6">
        <v>7634</v>
      </c>
      <c r="G5" s="6"/>
      <c r="H5" s="6">
        <v>6393</v>
      </c>
      <c r="I5" s="6"/>
      <c r="J5" s="6">
        <v>7774</v>
      </c>
      <c r="K5" s="6"/>
      <c r="L5" s="6">
        <v>6650</v>
      </c>
      <c r="M5" s="6"/>
      <c r="N5" s="6">
        <v>3981</v>
      </c>
      <c r="O5" s="6"/>
      <c r="P5" s="6">
        <v>3459</v>
      </c>
      <c r="Q5" s="6"/>
      <c r="R5" s="6">
        <v>2704</v>
      </c>
      <c r="S5" s="6"/>
      <c r="T5" s="6">
        <v>4983</v>
      </c>
      <c r="U5" s="6"/>
      <c r="V5" s="6">
        <v>6437</v>
      </c>
      <c r="W5" s="6"/>
      <c r="X5" s="6">
        <v>6306</v>
      </c>
      <c r="Y5" s="6"/>
      <c r="Z5" s="6">
        <v>10869</v>
      </c>
      <c r="AA5" s="6"/>
      <c r="AB5" s="6">
        <v>12716</v>
      </c>
      <c r="AD5" s="7">
        <f t="shared" si="0"/>
        <v>79906</v>
      </c>
    </row>
    <row r="6" spans="1:30" x14ac:dyDescent="0.2">
      <c r="C6">
        <v>2018</v>
      </c>
      <c r="F6" s="7">
        <v>12306</v>
      </c>
      <c r="G6" s="7"/>
      <c r="H6" s="7">
        <v>12391</v>
      </c>
      <c r="I6" s="7"/>
      <c r="J6" s="6">
        <v>13164</v>
      </c>
      <c r="K6" s="6"/>
      <c r="L6" s="6">
        <v>10761</v>
      </c>
      <c r="M6" s="6"/>
      <c r="N6" s="6">
        <v>6961</v>
      </c>
      <c r="O6" s="7"/>
      <c r="P6" s="6">
        <v>6678</v>
      </c>
      <c r="Q6" s="6"/>
      <c r="R6" s="6">
        <v>5672</v>
      </c>
      <c r="S6" s="7"/>
      <c r="T6" s="7">
        <v>6855</v>
      </c>
      <c r="U6" s="7"/>
      <c r="V6" s="7">
        <v>6082.8</v>
      </c>
      <c r="W6" s="7"/>
      <c r="X6" s="7">
        <v>7301.3</v>
      </c>
      <c r="Y6" s="7"/>
      <c r="Z6" s="7">
        <v>13375.6</v>
      </c>
      <c r="AA6" s="7"/>
      <c r="AB6" s="7">
        <v>13910</v>
      </c>
      <c r="AD6" s="7">
        <f t="shared" si="0"/>
        <v>115457.70000000001</v>
      </c>
    </row>
    <row r="7" spans="1:30" x14ac:dyDescent="0.2">
      <c r="C7">
        <v>2019</v>
      </c>
      <c r="F7" s="7">
        <v>12228</v>
      </c>
      <c r="G7" s="7"/>
      <c r="H7" s="7">
        <v>14660</v>
      </c>
      <c r="I7" s="7"/>
      <c r="J7" s="6">
        <v>12783</v>
      </c>
      <c r="K7" s="6"/>
      <c r="L7" s="6">
        <v>9302</v>
      </c>
      <c r="M7" s="6"/>
      <c r="N7" s="6">
        <v>9488</v>
      </c>
      <c r="O7" s="7"/>
      <c r="P7" s="6">
        <v>6501</v>
      </c>
      <c r="Q7" s="6"/>
      <c r="R7" s="6">
        <v>6289</v>
      </c>
      <c r="S7" s="7"/>
      <c r="T7" s="7">
        <v>6925</v>
      </c>
      <c r="U7" s="7"/>
      <c r="V7" s="7">
        <v>4629</v>
      </c>
      <c r="W7" s="7"/>
      <c r="X7" s="7">
        <v>5670</v>
      </c>
      <c r="Y7" s="7"/>
      <c r="Z7" s="7">
        <f>(8157+25419+79254+1932)/10</f>
        <v>11476.2</v>
      </c>
      <c r="AA7" s="7"/>
      <c r="AB7" s="7">
        <f>110608/10</f>
        <v>11060.8</v>
      </c>
      <c r="AD7" s="7">
        <f t="shared" si="0"/>
        <v>111012</v>
      </c>
    </row>
    <row r="8" spans="1:30" x14ac:dyDescent="0.2">
      <c r="C8">
        <v>2020</v>
      </c>
      <c r="F8" s="7">
        <f>126026/10</f>
        <v>12602.6</v>
      </c>
      <c r="G8" s="7"/>
      <c r="H8" s="7">
        <f>121576/10</f>
        <v>12157.6</v>
      </c>
      <c r="I8" s="7"/>
      <c r="J8" s="7">
        <f>127017/10</f>
        <v>12701.7</v>
      </c>
      <c r="K8" s="6"/>
      <c r="L8" s="7">
        <f>103242/10</f>
        <v>10324.200000000001</v>
      </c>
      <c r="M8" s="6"/>
      <c r="N8" s="7">
        <f>75817/10</f>
        <v>7581.7</v>
      </c>
      <c r="O8" s="7"/>
      <c r="P8" s="6">
        <f>58765/10</f>
        <v>5876.5</v>
      </c>
      <c r="Q8" s="6"/>
      <c r="R8" s="7">
        <f>59521/10</f>
        <v>5952.1</v>
      </c>
      <c r="S8" s="7"/>
      <c r="T8" s="7">
        <f>51603/10</f>
        <v>5160.3</v>
      </c>
      <c r="U8" s="7"/>
      <c r="V8" s="7">
        <f>63345/10</f>
        <v>6334.5</v>
      </c>
      <c r="W8" s="7"/>
      <c r="X8" s="7">
        <f>77349/10</f>
        <v>7734.9</v>
      </c>
      <c r="Y8" s="7"/>
      <c r="Z8" s="7">
        <f>91968/10</f>
        <v>9196.7999999999993</v>
      </c>
      <c r="AA8" s="7"/>
      <c r="AB8" s="7">
        <f>137696/10</f>
        <v>13769.6</v>
      </c>
      <c r="AD8" s="7">
        <f t="shared" si="0"/>
        <v>109392.50000000001</v>
      </c>
    </row>
    <row r="9" spans="1:30" x14ac:dyDescent="0.2">
      <c r="C9">
        <v>2021</v>
      </c>
      <c r="F9" s="7">
        <f>90889/10</f>
        <v>9088.9</v>
      </c>
      <c r="G9" s="7"/>
      <c r="H9" s="7">
        <f>96265/10</f>
        <v>9626.5</v>
      </c>
      <c r="I9" s="7"/>
      <c r="J9" s="7">
        <f>120724/10</f>
        <v>12072.4</v>
      </c>
      <c r="K9" s="6"/>
      <c r="L9" s="7">
        <f>103411/10</f>
        <v>10341.1</v>
      </c>
      <c r="M9" s="6"/>
      <c r="N9" s="7">
        <f>(780+7910+57187+3491)/10</f>
        <v>6936.8</v>
      </c>
      <c r="O9" s="7"/>
      <c r="P9" s="6">
        <f>(338+9258+56577+278)/10</f>
        <v>6645.1</v>
      </c>
      <c r="Q9" s="6"/>
      <c r="R9" s="7">
        <f>(179+6383+26737+702)/10</f>
        <v>3400.1</v>
      </c>
      <c r="S9" s="7"/>
      <c r="T9" s="105">
        <f>(228+8044+11759+127)/10</f>
        <v>2015.8</v>
      </c>
      <c r="U9" s="6"/>
      <c r="V9" s="105">
        <f>(221+7391+9874+454)/10</f>
        <v>1794</v>
      </c>
      <c r="W9" s="7"/>
      <c r="X9" s="7">
        <f>(1955+13716+13125+6268)/10</f>
        <v>3506.4</v>
      </c>
      <c r="Y9" s="7"/>
      <c r="Z9" s="7">
        <f>(3844+21408+16336+2574)/10</f>
        <v>4416.2</v>
      </c>
      <c r="AA9" s="7"/>
      <c r="AB9" s="7"/>
      <c r="AD9" s="7">
        <f t="shared" si="0"/>
        <v>69843.3</v>
      </c>
    </row>
    <row r="10" spans="1:30" x14ac:dyDescent="0.2">
      <c r="F10" s="7"/>
      <c r="G10" s="7"/>
      <c r="H10" s="7"/>
      <c r="I10" s="7"/>
      <c r="J10" s="6"/>
      <c r="K10" s="6"/>
      <c r="L10" s="6"/>
      <c r="M10" s="6"/>
      <c r="N10" s="6"/>
      <c r="O10" s="7"/>
      <c r="P10" s="6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D10" s="7"/>
    </row>
    <row r="11" spans="1:30" x14ac:dyDescent="0.2">
      <c r="C11" s="1" t="s">
        <v>3</v>
      </c>
      <c r="F11" s="7"/>
      <c r="G11" s="7"/>
      <c r="H11" s="7"/>
      <c r="I11" s="7"/>
      <c r="J11" s="6"/>
      <c r="K11" s="6"/>
      <c r="L11" s="6"/>
      <c r="M11" s="6"/>
      <c r="N11" s="6"/>
      <c r="O11" s="7"/>
      <c r="P11" s="6"/>
      <c r="Q11" s="6"/>
      <c r="R11" s="6"/>
      <c r="S11" s="7"/>
      <c r="T11" s="7"/>
      <c r="U11" s="7"/>
      <c r="V11" s="7"/>
      <c r="W11" s="7"/>
      <c r="X11" s="6">
        <f>SUM(Z8:$AB8)+SUM($F9:X9)</f>
        <v>88393.5</v>
      </c>
      <c r="Y11" s="7"/>
      <c r="Z11" s="7"/>
      <c r="AA11" s="7"/>
      <c r="AB11" s="7"/>
      <c r="AD11" s="7"/>
    </row>
    <row r="12" spans="1:30" x14ac:dyDescent="0.2">
      <c r="C12" t="s">
        <v>4</v>
      </c>
      <c r="F12" s="7">
        <f>AVERAGE(F5:F9)</f>
        <v>10771.9</v>
      </c>
      <c r="G12" s="7"/>
      <c r="H12" s="7">
        <f>AVERAGE(H5:H9)</f>
        <v>11045.619999999999</v>
      </c>
      <c r="I12" s="7"/>
      <c r="J12" s="7">
        <f>AVERAGE(J5:J9)</f>
        <v>11699.02</v>
      </c>
      <c r="K12" s="6"/>
      <c r="L12" s="7">
        <f>AVERAGE(L5:L9)</f>
        <v>9475.66</v>
      </c>
      <c r="M12" s="6"/>
      <c r="N12" s="7">
        <f>AVERAGE(N5:N9)</f>
        <v>6989.7</v>
      </c>
      <c r="O12" s="7"/>
      <c r="P12" s="7">
        <f>AVERAGE(P5:P9)</f>
        <v>5831.92</v>
      </c>
      <c r="Q12" s="6"/>
      <c r="R12" s="7">
        <f>AVERAGE(R5:R9)</f>
        <v>4803.4399999999996</v>
      </c>
      <c r="S12" s="7"/>
      <c r="T12" s="7">
        <f>AVERAGE(T5:T9)</f>
        <v>5187.82</v>
      </c>
      <c r="U12" s="7"/>
      <c r="V12" s="7">
        <f>AVERAGE(V5:V9)</f>
        <v>5055.46</v>
      </c>
      <c r="W12" s="7"/>
      <c r="X12" s="7">
        <f>AVERAGE(X5:X9)</f>
        <v>6103.7199999999993</v>
      </c>
      <c r="Y12" s="7"/>
      <c r="Z12" s="7">
        <f>AVERAGE(Z4:Z8)</f>
        <v>10456.120000000001</v>
      </c>
      <c r="AA12" s="7"/>
      <c r="AB12" s="7">
        <f>AVERAGE(AB4:AB8)</f>
        <v>12056.48</v>
      </c>
      <c r="AD12" s="7">
        <f t="shared" ref="AD12" si="1">SUM(F12:AB12)</f>
        <v>99476.859999999986</v>
      </c>
    </row>
    <row r="13" spans="1:30" x14ac:dyDescent="0.2">
      <c r="F13" s="7"/>
      <c r="G13" s="7"/>
      <c r="H13" s="7"/>
      <c r="I13" s="7"/>
      <c r="J13" s="6"/>
      <c r="K13" s="6"/>
      <c r="L13" s="6"/>
      <c r="M13" s="6"/>
      <c r="N13" s="6"/>
      <c r="O13" s="7"/>
      <c r="P13" s="6"/>
      <c r="Q13" s="6"/>
      <c r="R13" s="6"/>
      <c r="S13" s="7"/>
      <c r="T13" s="7"/>
      <c r="U13" s="7"/>
      <c r="V13" s="7"/>
      <c r="W13" s="7"/>
      <c r="X13" s="7"/>
      <c r="Y13" s="7"/>
      <c r="Z13" s="7"/>
      <c r="AA13" s="7"/>
      <c r="AB13" s="7"/>
      <c r="AD13" s="7"/>
    </row>
    <row r="14" spans="1:30" x14ac:dyDescent="0.2">
      <c r="B14" t="s">
        <v>5</v>
      </c>
    </row>
    <row r="15" spans="1:30" x14ac:dyDescent="0.2">
      <c r="C15">
        <v>2016</v>
      </c>
      <c r="F15" s="6">
        <v>3400</v>
      </c>
      <c r="G15" s="6"/>
      <c r="H15" s="6">
        <v>2723</v>
      </c>
      <c r="I15" s="6"/>
      <c r="J15" s="6">
        <v>1376</v>
      </c>
      <c r="K15" s="6"/>
      <c r="L15" s="6">
        <v>913</v>
      </c>
      <c r="M15" s="6"/>
      <c r="N15" s="6">
        <v>406</v>
      </c>
      <c r="O15" s="6"/>
      <c r="P15" s="6">
        <v>247</v>
      </c>
      <c r="Q15" s="6"/>
      <c r="R15" s="6">
        <v>223</v>
      </c>
      <c r="S15" s="6"/>
      <c r="T15" s="6">
        <v>221</v>
      </c>
      <c r="U15" s="6"/>
      <c r="V15" s="6">
        <v>235</v>
      </c>
      <c r="W15" s="6"/>
      <c r="X15" s="6">
        <v>443</v>
      </c>
      <c r="Y15" s="6"/>
      <c r="Z15" s="6">
        <v>1501</v>
      </c>
      <c r="AA15" s="6"/>
      <c r="AB15" s="6">
        <v>2532</v>
      </c>
      <c r="AD15" s="7">
        <f t="shared" ref="AD15:AD20" si="2">SUM(F15:AB15)</f>
        <v>14220</v>
      </c>
    </row>
    <row r="16" spans="1:30" x14ac:dyDescent="0.2">
      <c r="C16">
        <v>2017</v>
      </c>
      <c r="F16" s="6">
        <v>2547</v>
      </c>
      <c r="G16" s="6"/>
      <c r="H16" s="6">
        <v>1912</v>
      </c>
      <c r="I16" s="6"/>
      <c r="J16" s="6">
        <v>1990</v>
      </c>
      <c r="K16" s="6"/>
      <c r="L16" s="6">
        <v>659</v>
      </c>
      <c r="M16" s="6"/>
      <c r="N16" s="6">
        <v>481</v>
      </c>
      <c r="O16" s="6"/>
      <c r="P16" s="6">
        <v>285</v>
      </c>
      <c r="Q16" s="6"/>
      <c r="R16" s="6">
        <v>284</v>
      </c>
      <c r="S16" s="6"/>
      <c r="T16" s="6">
        <v>298</v>
      </c>
      <c r="U16" s="6"/>
      <c r="V16" s="6">
        <v>289</v>
      </c>
      <c r="W16" s="6"/>
      <c r="X16" s="6">
        <v>754</v>
      </c>
      <c r="Y16" s="6"/>
      <c r="Z16" s="6">
        <v>1828</v>
      </c>
      <c r="AA16" s="6"/>
      <c r="AB16" s="6">
        <v>2501</v>
      </c>
      <c r="AD16" s="7">
        <f t="shared" si="2"/>
        <v>13828</v>
      </c>
    </row>
    <row r="17" spans="2:30" x14ac:dyDescent="0.2">
      <c r="C17">
        <v>2018</v>
      </c>
      <c r="F17" s="7">
        <v>4102</v>
      </c>
      <c r="G17" s="7"/>
      <c r="H17" s="7">
        <v>2020</v>
      </c>
      <c r="I17" s="7"/>
      <c r="J17" s="6">
        <v>2241</v>
      </c>
      <c r="K17" s="6"/>
      <c r="L17" s="6">
        <v>1481</v>
      </c>
      <c r="M17" s="6"/>
      <c r="N17" s="6">
        <v>392</v>
      </c>
      <c r="O17" s="7"/>
      <c r="P17" s="6">
        <v>303</v>
      </c>
      <c r="Q17" s="6"/>
      <c r="R17" s="6">
        <v>298</v>
      </c>
      <c r="S17" s="7"/>
      <c r="T17" s="7">
        <v>316</v>
      </c>
      <c r="U17" s="7"/>
      <c r="V17" s="7">
        <v>260</v>
      </c>
      <c r="W17" s="7"/>
      <c r="X17" s="7">
        <v>812</v>
      </c>
      <c r="Y17" s="7"/>
      <c r="Z17" s="7">
        <v>2151</v>
      </c>
      <c r="AA17" s="7"/>
      <c r="AB17" s="7">
        <v>2602</v>
      </c>
      <c r="AD17" s="7">
        <f t="shared" si="2"/>
        <v>16978</v>
      </c>
    </row>
    <row r="18" spans="2:30" x14ac:dyDescent="0.2">
      <c r="C18">
        <v>2019</v>
      </c>
      <c r="F18" s="7">
        <v>2898</v>
      </c>
      <c r="G18" s="7"/>
      <c r="H18" s="7">
        <v>2333</v>
      </c>
      <c r="I18" s="7"/>
      <c r="J18" s="6">
        <v>2073</v>
      </c>
      <c r="K18" s="6"/>
      <c r="L18" s="6">
        <v>912</v>
      </c>
      <c r="M18" s="6"/>
      <c r="N18" s="6">
        <v>369</v>
      </c>
      <c r="O18" s="7"/>
      <c r="P18" s="6">
        <v>320</v>
      </c>
      <c r="Q18" s="6"/>
      <c r="R18" s="6">
        <v>335</v>
      </c>
      <c r="S18" s="7"/>
      <c r="T18" s="7">
        <v>289</v>
      </c>
      <c r="U18" s="7"/>
      <c r="V18" s="7">
        <v>365</v>
      </c>
      <c r="W18" s="7"/>
      <c r="X18" s="7">
        <v>628</v>
      </c>
      <c r="Y18" s="7"/>
      <c r="Z18" s="7">
        <v>2233</v>
      </c>
      <c r="AA18" s="7"/>
      <c r="AB18" s="7">
        <v>2655</v>
      </c>
      <c r="AD18" s="7">
        <f t="shared" si="2"/>
        <v>15410</v>
      </c>
    </row>
    <row r="19" spans="2:30" x14ac:dyDescent="0.2">
      <c r="C19">
        <v>2020</v>
      </c>
      <c r="F19" s="7">
        <v>2719</v>
      </c>
      <c r="G19" s="7"/>
      <c r="H19" s="7">
        <v>2400</v>
      </c>
      <c r="I19" s="7"/>
      <c r="J19" s="7">
        <v>1653</v>
      </c>
      <c r="K19" s="6"/>
      <c r="L19" s="7">
        <v>1142</v>
      </c>
      <c r="M19" s="6"/>
      <c r="N19" s="7">
        <v>847</v>
      </c>
      <c r="O19" s="7"/>
      <c r="P19" s="6">
        <v>448</v>
      </c>
      <c r="Q19" s="6"/>
      <c r="R19" s="7">
        <v>413</v>
      </c>
      <c r="S19" s="7"/>
      <c r="T19" s="7">
        <v>312</v>
      </c>
      <c r="U19" s="7"/>
      <c r="V19" s="7">
        <v>441</v>
      </c>
      <c r="W19" s="7"/>
      <c r="X19" s="7">
        <v>639</v>
      </c>
      <c r="Y19" s="7"/>
      <c r="Z19" s="7">
        <v>1890</v>
      </c>
      <c r="AA19" s="7"/>
      <c r="AB19" s="7">
        <v>2795</v>
      </c>
      <c r="AD19" s="7">
        <f t="shared" si="2"/>
        <v>15699</v>
      </c>
    </row>
    <row r="20" spans="2:30" x14ac:dyDescent="0.2">
      <c r="C20">
        <v>2021</v>
      </c>
      <c r="F20" s="7">
        <v>3070</v>
      </c>
      <c r="G20" s="7"/>
      <c r="H20" s="7">
        <v>3329</v>
      </c>
      <c r="I20" s="7"/>
      <c r="J20" s="7">
        <v>1992</v>
      </c>
      <c r="K20" s="6"/>
      <c r="L20" s="7">
        <v>1247</v>
      </c>
      <c r="M20" s="6"/>
      <c r="N20" s="7">
        <f>(9615+3840)/10</f>
        <v>1345.5</v>
      </c>
      <c r="O20" s="7"/>
      <c r="P20" s="6">
        <v>413.7</v>
      </c>
      <c r="Q20" s="6"/>
      <c r="R20" s="7">
        <v>364.5</v>
      </c>
      <c r="S20" s="7"/>
      <c r="T20" s="116">
        <f>(1322+3378)/10</f>
        <v>470</v>
      </c>
      <c r="U20" s="116"/>
      <c r="V20" s="116">
        <f>(1334+2548)/10</f>
        <v>388.2</v>
      </c>
      <c r="W20" s="7"/>
      <c r="X20" s="7">
        <f>(4102+2983)/10</f>
        <v>708.5</v>
      </c>
      <c r="Y20" s="7"/>
      <c r="Z20" s="7">
        <f>(16113+6018)/10</f>
        <v>2213.1</v>
      </c>
      <c r="AA20" s="7"/>
      <c r="AB20" s="7"/>
      <c r="AD20" s="7">
        <f t="shared" si="2"/>
        <v>15541.500000000002</v>
      </c>
    </row>
    <row r="21" spans="2:30" x14ac:dyDescent="0.2">
      <c r="L21" s="7"/>
    </row>
    <row r="22" spans="2:30" x14ac:dyDescent="0.2">
      <c r="C22" s="1" t="s">
        <v>3</v>
      </c>
      <c r="L22" s="6"/>
      <c r="N22" s="6"/>
      <c r="X22" s="6">
        <f>SUM(T19:$AB19)+SUM($F20:R20)</f>
        <v>17838.7</v>
      </c>
    </row>
    <row r="23" spans="2:30" x14ac:dyDescent="0.2">
      <c r="C23" t="s">
        <v>4</v>
      </c>
      <c r="F23" s="7">
        <f>AVERAGE(F16:F20)</f>
        <v>3067.2</v>
      </c>
      <c r="G23" s="7"/>
      <c r="H23" s="7">
        <f>AVERAGE(H16:H20)</f>
        <v>2398.8000000000002</v>
      </c>
      <c r="I23" s="7"/>
      <c r="J23" s="7">
        <f>AVERAGE(J16:J20)</f>
        <v>1989.8</v>
      </c>
      <c r="K23" s="6"/>
      <c r="L23" s="7">
        <f>AVERAGE(L16:L20)</f>
        <v>1088.2</v>
      </c>
      <c r="M23" s="6"/>
      <c r="N23" s="7">
        <f>AVERAGE(N16:N20)</f>
        <v>686.9</v>
      </c>
      <c r="O23" s="7"/>
      <c r="P23" s="7">
        <f>AVERAGE(P16:P20)</f>
        <v>353.94</v>
      </c>
      <c r="Q23" s="6"/>
      <c r="R23" s="7">
        <f>AVERAGE(R16:R20)</f>
        <v>338.9</v>
      </c>
      <c r="S23" s="7"/>
      <c r="T23" s="7">
        <f>AVERAGE(T16:T20)</f>
        <v>337</v>
      </c>
      <c r="U23" s="7"/>
      <c r="V23" s="7">
        <f>AVERAGE(V16:V20)</f>
        <v>348.64</v>
      </c>
      <c r="W23" s="7"/>
      <c r="X23" s="7">
        <f>AVERAGE(X16:X20)</f>
        <v>708.3</v>
      </c>
      <c r="Y23" s="7"/>
      <c r="Z23" s="7">
        <f>AVERAGE(Z15:Z19)</f>
        <v>1920.6</v>
      </c>
      <c r="AA23" s="7"/>
      <c r="AB23" s="7">
        <f>AVERAGE(AB15:AB19)</f>
        <v>2617</v>
      </c>
      <c r="AD23" s="7">
        <f t="shared" ref="AD23" si="3">SUM(F23:AB23)</f>
        <v>15855.279999999999</v>
      </c>
    </row>
    <row r="24" spans="2:30" x14ac:dyDescent="0.2">
      <c r="L24" s="7"/>
    </row>
    <row r="25" spans="2:30" x14ac:dyDescent="0.2">
      <c r="B25" t="s">
        <v>6</v>
      </c>
    </row>
    <row r="26" spans="2:30" x14ac:dyDescent="0.2">
      <c r="C26">
        <v>2016</v>
      </c>
      <c r="F26" s="6">
        <v>2914</v>
      </c>
      <c r="G26" s="6"/>
      <c r="H26" s="6">
        <v>2325</v>
      </c>
      <c r="I26" s="6"/>
      <c r="J26" s="6">
        <v>1385</v>
      </c>
      <c r="K26" s="6"/>
      <c r="L26" s="6">
        <v>663</v>
      </c>
      <c r="M26" s="6"/>
      <c r="N26" s="6">
        <v>362</v>
      </c>
      <c r="O26" s="6"/>
      <c r="P26" s="6">
        <v>103</v>
      </c>
      <c r="Q26" s="6"/>
      <c r="R26" s="6">
        <v>105</v>
      </c>
      <c r="S26" s="6"/>
      <c r="T26" s="6">
        <v>74</v>
      </c>
      <c r="U26" s="6"/>
      <c r="V26" s="6">
        <v>175</v>
      </c>
      <c r="W26" s="6"/>
      <c r="X26" s="6">
        <v>313</v>
      </c>
      <c r="Y26" s="6"/>
      <c r="Z26" s="6">
        <v>1361</v>
      </c>
      <c r="AA26" s="6"/>
      <c r="AB26" s="6">
        <v>1998</v>
      </c>
      <c r="AD26" s="7">
        <f t="shared" ref="AD26:AD31" si="4">SUM(F26:AB26)</f>
        <v>11778</v>
      </c>
    </row>
    <row r="27" spans="2:30" x14ac:dyDescent="0.2">
      <c r="C27">
        <v>2017</v>
      </c>
      <c r="F27" s="6">
        <v>2132</v>
      </c>
      <c r="G27" s="6"/>
      <c r="H27" s="6">
        <v>1591</v>
      </c>
      <c r="I27" s="6"/>
      <c r="J27" s="6">
        <v>1662</v>
      </c>
      <c r="K27" s="6"/>
      <c r="L27" s="6">
        <v>498</v>
      </c>
      <c r="M27" s="6"/>
      <c r="N27" s="6">
        <v>272</v>
      </c>
      <c r="O27" s="6"/>
      <c r="P27" s="6">
        <v>137</v>
      </c>
      <c r="Q27" s="6"/>
      <c r="R27" s="6">
        <v>125</v>
      </c>
      <c r="S27" s="6"/>
      <c r="T27" s="6">
        <v>112</v>
      </c>
      <c r="U27" s="6"/>
      <c r="V27" s="6">
        <v>146</v>
      </c>
      <c r="W27" s="6"/>
      <c r="X27" s="6">
        <v>503</v>
      </c>
      <c r="Y27" s="6"/>
      <c r="Z27" s="6">
        <v>1424</v>
      </c>
      <c r="AA27" s="6"/>
      <c r="AB27" s="6">
        <v>2076</v>
      </c>
      <c r="AD27" s="7">
        <f t="shared" si="4"/>
        <v>10678</v>
      </c>
    </row>
    <row r="28" spans="2:30" x14ac:dyDescent="0.2">
      <c r="C28">
        <v>2018</v>
      </c>
      <c r="F28" s="7">
        <v>3491</v>
      </c>
      <c r="G28" s="7"/>
      <c r="H28" s="7">
        <v>1682</v>
      </c>
      <c r="I28" s="7"/>
      <c r="J28" s="6">
        <v>1932</v>
      </c>
      <c r="K28" s="6"/>
      <c r="L28" s="6">
        <v>1238</v>
      </c>
      <c r="M28" s="6"/>
      <c r="N28" s="6">
        <v>169</v>
      </c>
      <c r="O28" s="7"/>
      <c r="P28" s="6">
        <v>108</v>
      </c>
      <c r="Q28" s="6"/>
      <c r="R28" s="6">
        <v>114</v>
      </c>
      <c r="S28" s="7"/>
      <c r="T28" s="7">
        <v>120</v>
      </c>
      <c r="U28" s="7"/>
      <c r="V28" s="7">
        <v>76</v>
      </c>
      <c r="W28" s="7"/>
      <c r="X28" s="7">
        <v>670</v>
      </c>
      <c r="Y28" s="7"/>
      <c r="Z28" s="7">
        <v>1713</v>
      </c>
      <c r="AA28" s="7"/>
      <c r="AB28" s="7">
        <v>2044</v>
      </c>
      <c r="AD28" s="7">
        <f t="shared" si="4"/>
        <v>13357</v>
      </c>
    </row>
    <row r="29" spans="2:30" x14ac:dyDescent="0.2">
      <c r="C29">
        <v>2019</v>
      </c>
      <c r="F29" s="7">
        <v>2854</v>
      </c>
      <c r="G29" s="7"/>
      <c r="H29" s="7">
        <v>1720</v>
      </c>
      <c r="I29" s="7"/>
      <c r="J29" s="6">
        <v>1809</v>
      </c>
      <c r="K29" s="6"/>
      <c r="L29" s="6">
        <v>703</v>
      </c>
      <c r="M29" s="6"/>
      <c r="N29" s="6">
        <v>191</v>
      </c>
      <c r="O29" s="7"/>
      <c r="P29" s="6">
        <v>138</v>
      </c>
      <c r="Q29" s="6"/>
      <c r="R29" s="6">
        <v>123</v>
      </c>
      <c r="S29" s="7"/>
      <c r="T29" s="7">
        <v>128</v>
      </c>
      <c r="U29" s="7"/>
      <c r="V29" s="7">
        <v>151</v>
      </c>
      <c r="W29" s="7"/>
      <c r="X29" s="7">
        <v>439</v>
      </c>
      <c r="Y29" s="7"/>
      <c r="Z29" s="7">
        <v>1651</v>
      </c>
      <c r="AA29" s="7"/>
      <c r="AB29" s="7">
        <v>2141</v>
      </c>
      <c r="AD29" s="7">
        <f t="shared" si="4"/>
        <v>12048</v>
      </c>
    </row>
    <row r="30" spans="2:30" x14ac:dyDescent="0.2">
      <c r="C30">
        <v>2020</v>
      </c>
      <c r="F30" s="7">
        <v>2131</v>
      </c>
      <c r="G30" s="7"/>
      <c r="H30" s="7">
        <v>1951</v>
      </c>
      <c r="I30" s="7"/>
      <c r="J30" s="7">
        <v>1327</v>
      </c>
      <c r="K30" s="6"/>
      <c r="L30" s="7">
        <v>957</v>
      </c>
      <c r="M30" s="6"/>
      <c r="N30" s="7">
        <v>530</v>
      </c>
      <c r="O30" s="7"/>
      <c r="P30" s="6">
        <v>170</v>
      </c>
      <c r="Q30" s="6"/>
      <c r="R30" s="7">
        <v>118</v>
      </c>
      <c r="S30" s="7"/>
      <c r="T30" s="7">
        <v>132</v>
      </c>
      <c r="U30" s="7"/>
      <c r="V30" s="7">
        <v>280</v>
      </c>
      <c r="W30" s="7"/>
      <c r="X30" s="7">
        <v>453</v>
      </c>
      <c r="Y30" s="7"/>
      <c r="Z30" s="7">
        <v>1296</v>
      </c>
      <c r="AA30" s="7"/>
      <c r="AB30" s="7">
        <v>2369</v>
      </c>
      <c r="AD30" s="7">
        <f t="shared" si="4"/>
        <v>11714</v>
      </c>
    </row>
    <row r="31" spans="2:30" x14ac:dyDescent="0.2">
      <c r="C31">
        <v>2021</v>
      </c>
      <c r="F31" s="7">
        <v>2462</v>
      </c>
      <c r="G31" s="7"/>
      <c r="H31" s="7">
        <v>2794</v>
      </c>
      <c r="I31" s="7"/>
      <c r="J31" s="7">
        <v>1632</v>
      </c>
      <c r="K31" s="6"/>
      <c r="L31" s="7">
        <v>817</v>
      </c>
      <c r="M31" s="6"/>
      <c r="N31" s="7">
        <f>(6568+419)/10</f>
        <v>698.7</v>
      </c>
      <c r="O31" s="7"/>
      <c r="P31" s="7">
        <v>144.30000000000001</v>
      </c>
      <c r="Q31" s="7"/>
      <c r="R31" s="7">
        <v>178.9</v>
      </c>
      <c r="S31" s="7"/>
      <c r="T31" s="116">
        <f>(1517+303)/10</f>
        <v>182</v>
      </c>
      <c r="U31" s="116"/>
      <c r="V31" s="116">
        <f>(2749+145)/10</f>
        <v>289.39999999999998</v>
      </c>
      <c r="W31" s="7"/>
      <c r="X31" s="7">
        <f>(5109+323)/10</f>
        <v>543.20000000000005</v>
      </c>
      <c r="Y31" s="7"/>
      <c r="Z31" s="7">
        <f>(16330+750)/10</f>
        <v>1708</v>
      </c>
      <c r="AA31" s="7"/>
      <c r="AB31" s="7"/>
      <c r="AD31" s="7">
        <f t="shared" si="4"/>
        <v>11449.5</v>
      </c>
    </row>
    <row r="32" spans="2:30" x14ac:dyDescent="0.2">
      <c r="L32" s="6"/>
    </row>
    <row r="33" spans="1:30" x14ac:dyDescent="0.2">
      <c r="C33" s="1" t="s">
        <v>3</v>
      </c>
      <c r="L33" s="6"/>
      <c r="N33" s="6"/>
      <c r="X33" s="6">
        <f>SUM(T30:$AB30)+SUM($F31:R31)</f>
        <v>13256.9</v>
      </c>
    </row>
    <row r="34" spans="1:30" x14ac:dyDescent="0.2">
      <c r="C34" t="s">
        <v>4</v>
      </c>
      <c r="F34" s="7">
        <f>AVERAGE(F27:F31)</f>
        <v>2614</v>
      </c>
      <c r="G34" s="7"/>
      <c r="H34" s="7">
        <f>AVERAGE(H27:H31)</f>
        <v>1947.6</v>
      </c>
      <c r="I34" s="7"/>
      <c r="J34" s="7">
        <f>AVERAGE(J27:J31)</f>
        <v>1672.4</v>
      </c>
      <c r="K34" s="6"/>
      <c r="L34" s="7">
        <f>AVERAGE(L27:L31)</f>
        <v>842.6</v>
      </c>
      <c r="M34" s="6"/>
      <c r="N34" s="7">
        <f>AVERAGE(N27:N31)</f>
        <v>372.14</v>
      </c>
      <c r="O34" s="7"/>
      <c r="P34" s="7">
        <f>AVERAGE(P27:P31)</f>
        <v>139.45999999999998</v>
      </c>
      <c r="Q34" s="6"/>
      <c r="R34" s="7">
        <f>AVERAGE(R27:R31)</f>
        <v>131.78</v>
      </c>
      <c r="S34" s="7"/>
      <c r="T34" s="7">
        <f>AVERAGE(T27:T31)</f>
        <v>134.80000000000001</v>
      </c>
      <c r="U34" s="7"/>
      <c r="V34" s="7">
        <f>AVERAGE(V27:V31)</f>
        <v>188.48</v>
      </c>
      <c r="W34" s="7"/>
      <c r="X34" s="7">
        <f>AVERAGE(X27:X31)</f>
        <v>521.64</v>
      </c>
      <c r="Y34" s="7"/>
      <c r="Z34" s="7">
        <f>AVERAGE(Z26:Z30)</f>
        <v>1489</v>
      </c>
      <c r="AA34" s="7"/>
      <c r="AB34" s="7">
        <f>AVERAGE(AB26:AB30)</f>
        <v>2125.6</v>
      </c>
      <c r="AD34" s="7">
        <f t="shared" ref="AD34:AD36" si="5">SUM(F34:AB34)</f>
        <v>12179.5</v>
      </c>
    </row>
    <row r="36" spans="1:30" x14ac:dyDescent="0.2">
      <c r="A36" t="s">
        <v>7</v>
      </c>
      <c r="F36" s="7">
        <f>F12+F23+F34</f>
        <v>16453.099999999999</v>
      </c>
      <c r="H36" s="7">
        <f>H12+H23+H34</f>
        <v>15392.019999999999</v>
      </c>
      <c r="J36" s="7">
        <f>J12+J23+J34</f>
        <v>15361.22</v>
      </c>
      <c r="L36" s="7">
        <f>L12+L23+L34</f>
        <v>11406.460000000001</v>
      </c>
      <c r="N36" s="7">
        <f>N12+N23+N34</f>
        <v>8048.74</v>
      </c>
      <c r="P36" s="7">
        <f>P12+P23+P34</f>
        <v>6325.32</v>
      </c>
      <c r="R36" s="7">
        <f>R12+R23+R34</f>
        <v>5274.119999999999</v>
      </c>
      <c r="T36" s="7">
        <f>T12+T23+T34</f>
        <v>5659.62</v>
      </c>
      <c r="V36" s="7">
        <f>V12+V23+V34</f>
        <v>5592.58</v>
      </c>
      <c r="X36" s="7">
        <f>X12+X23+X34</f>
        <v>7333.66</v>
      </c>
      <c r="Z36" s="7">
        <f>Z12+Z23+Z34</f>
        <v>13865.720000000001</v>
      </c>
      <c r="AB36" s="7">
        <f>AB12+AB23+AB34</f>
        <v>16799.079999999998</v>
      </c>
      <c r="AD36" s="7">
        <f t="shared" si="5"/>
        <v>127511.63999999998</v>
      </c>
    </row>
    <row r="37" spans="1:30" x14ac:dyDescent="0.2">
      <c r="B37" t="s">
        <v>8</v>
      </c>
      <c r="F37" s="8">
        <f>F12/F$36</f>
        <v>0.65470336896998138</v>
      </c>
      <c r="H37" s="8">
        <f>H12/H$36</f>
        <v>0.71761990953753962</v>
      </c>
      <c r="J37" s="8">
        <f>J12/J$36</f>
        <v>0.76159445669028902</v>
      </c>
      <c r="L37" s="8">
        <f>L12/L$36</f>
        <v>0.8307275000306843</v>
      </c>
      <c r="N37" s="8">
        <f>N12/N$36</f>
        <v>0.86842164115128584</v>
      </c>
      <c r="P37" s="8">
        <f>P12/P$36</f>
        <v>0.92199604130700108</v>
      </c>
      <c r="R37" s="8">
        <f>R12/R$36</f>
        <v>0.91075667599523724</v>
      </c>
      <c r="T37" s="8">
        <f>T12/T$36</f>
        <v>0.91663751276587468</v>
      </c>
      <c r="V37" s="8">
        <f>V12/V$36</f>
        <v>0.90395845924421292</v>
      </c>
      <c r="X37" s="8">
        <f>X12/X$36</f>
        <v>0.83228837988125981</v>
      </c>
      <c r="Z37" s="8">
        <f>Z12/Z$36</f>
        <v>0.75409859711576466</v>
      </c>
      <c r="AB37" s="8">
        <f>AB12/AB$36</f>
        <v>0.71768692095043307</v>
      </c>
      <c r="AD37" s="9">
        <f>AD12/AD$36</f>
        <v>0.78013944452443718</v>
      </c>
    </row>
    <row r="38" spans="1:30" x14ac:dyDescent="0.2">
      <c r="B38" t="s">
        <v>9</v>
      </c>
      <c r="F38" s="8">
        <f>F23/F$36</f>
        <v>0.18642079608098169</v>
      </c>
      <c r="H38" s="8">
        <f>H23/H$36</f>
        <v>0.15584699084330714</v>
      </c>
      <c r="J38" s="8">
        <f>J23/J$36</f>
        <v>0.12953398232692456</v>
      </c>
      <c r="L38" s="8">
        <f>L23/L$36</f>
        <v>9.5402079172679344E-2</v>
      </c>
      <c r="N38" s="8">
        <f>N23/N$36</f>
        <v>8.5342550511011667E-2</v>
      </c>
      <c r="P38" s="8">
        <f>P23/P$36</f>
        <v>5.5956062301986305E-2</v>
      </c>
      <c r="R38" s="8">
        <f>R23/R$36</f>
        <v>6.4257165176370659E-2</v>
      </c>
      <c r="T38" s="8">
        <f>T23/T$36</f>
        <v>5.9544633738660903E-2</v>
      </c>
      <c r="V38" s="8">
        <f>V23/V$36</f>
        <v>6.2339743016639901E-2</v>
      </c>
      <c r="X38" s="8">
        <f>X23/X$36</f>
        <v>9.6582061344540102E-2</v>
      </c>
      <c r="Z38" s="8">
        <f>Z23/Z$36</f>
        <v>0.13851426395455843</v>
      </c>
      <c r="AB38" s="8">
        <f>AB23/AB$36</f>
        <v>0.15578234046150147</v>
      </c>
      <c r="AD38" s="9">
        <f>AD23/AD$36</f>
        <v>0.12434378539872909</v>
      </c>
    </row>
    <row r="39" spans="1:30" x14ac:dyDescent="0.2">
      <c r="B39" t="s">
        <v>10</v>
      </c>
      <c r="F39" s="8">
        <f>F34/F$36</f>
        <v>0.15887583494903698</v>
      </c>
      <c r="H39" s="8">
        <f>H34/H$36</f>
        <v>0.12653309961915329</v>
      </c>
      <c r="J39" s="8">
        <f>J34/J$36</f>
        <v>0.10887156098278654</v>
      </c>
      <c r="L39" s="8">
        <f>L34/L$36</f>
        <v>7.3870420796636291E-2</v>
      </c>
      <c r="N39" s="8">
        <f>N34/N$36</f>
        <v>4.623580833770255E-2</v>
      </c>
      <c r="P39" s="8">
        <f>P34/P$36</f>
        <v>2.2047896391012626E-2</v>
      </c>
      <c r="R39" s="8">
        <f>R34/R$36</f>
        <v>2.4986158828392231E-2</v>
      </c>
      <c r="T39" s="8">
        <f>T34/T$36</f>
        <v>2.3817853495464364E-2</v>
      </c>
      <c r="V39" s="8">
        <f>V34/V$36</f>
        <v>3.3701797739147228E-2</v>
      </c>
      <c r="X39" s="8">
        <f>X34/X$36</f>
        <v>7.1129558774200061E-2</v>
      </c>
      <c r="Z39" s="8">
        <f>Z34/Z$36</f>
        <v>0.10738713892967693</v>
      </c>
      <c r="AB39" s="8">
        <f>AB34/AB$36</f>
        <v>0.12653073858806554</v>
      </c>
      <c r="AD39" s="9">
        <f>AD34/AD$36</f>
        <v>9.5516770076833776E-2</v>
      </c>
    </row>
    <row r="41" spans="1:30" x14ac:dyDescent="0.2">
      <c r="B41" s="1" t="s">
        <v>185</v>
      </c>
    </row>
    <row r="42" spans="1:30" x14ac:dyDescent="0.2">
      <c r="C42">
        <v>2020</v>
      </c>
      <c r="P42" s="7">
        <f>P30+P19+P8</f>
        <v>6494.5</v>
      </c>
      <c r="R42" s="7">
        <f>R30+R19+R8</f>
        <v>6483.1</v>
      </c>
      <c r="T42" s="7">
        <f>T30+T19+T8</f>
        <v>5604.3</v>
      </c>
      <c r="V42" s="7">
        <f>V30+V19+V8</f>
        <v>7055.5</v>
      </c>
      <c r="X42" s="7">
        <f>X30+X19+X8</f>
        <v>8826.9</v>
      </c>
      <c r="Z42" s="7">
        <f>Z30+Z19+Z8</f>
        <v>12382.8</v>
      </c>
      <c r="AB42" s="7">
        <f>AB30+AB19+AB8</f>
        <v>18933.599999999999</v>
      </c>
    </row>
    <row r="43" spans="1:30" x14ac:dyDescent="0.2">
      <c r="C43">
        <v>2021</v>
      </c>
      <c r="F43" s="7">
        <f>F31+F20+F9</f>
        <v>14620.9</v>
      </c>
      <c r="H43" s="7">
        <f>H31+H20+H9</f>
        <v>15749.5</v>
      </c>
      <c r="J43" s="7">
        <f>J31+J20+J9</f>
        <v>15696.4</v>
      </c>
      <c r="L43" s="7">
        <f>L31+L20+L9</f>
        <v>12405.1</v>
      </c>
      <c r="N43" s="7">
        <f>N31+N20+N9</f>
        <v>8981</v>
      </c>
      <c r="P43" s="7">
        <f>P31+P20+P9</f>
        <v>7203.1</v>
      </c>
      <c r="R43" s="7">
        <f>R31+R20+R9</f>
        <v>3943.5</v>
      </c>
      <c r="T43" s="7">
        <f>T31+T20+T9</f>
        <v>2667.8</v>
      </c>
      <c r="V43" s="7">
        <f>V31+V20+V9</f>
        <v>2471.6</v>
      </c>
      <c r="X43" s="7">
        <f>X31+X20+X9</f>
        <v>4758.1000000000004</v>
      </c>
      <c r="Z43" s="7">
        <f>Z31+Z20+Z9</f>
        <v>8337.2999999999993</v>
      </c>
      <c r="AD43" s="10"/>
    </row>
    <row r="45" spans="1:30" x14ac:dyDescent="0.2">
      <c r="A45" t="s">
        <v>3</v>
      </c>
      <c r="R45" s="6"/>
      <c r="X45" s="6">
        <f>SUM(Z42:$AB42)+SUM($F43:X43)</f>
        <v>119813.40000000001</v>
      </c>
    </row>
  </sheetData>
  <pageMargins left="0.5" right="0.5" top="1" bottom="1" header="0.5" footer="0.5"/>
  <pageSetup scale="82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90" zoomScaleNormal="90" workbookViewId="0">
      <selection activeCell="J24" sqref="J24"/>
    </sheetView>
  </sheetViews>
  <sheetFormatPr defaultRowHeight="12.75" x14ac:dyDescent="0.2"/>
  <cols>
    <col min="1" max="2" width="1.7109375" customWidth="1"/>
    <col min="3" max="3" width="20.7109375" customWidth="1"/>
    <col min="4" max="5" width="1.7109375" customWidth="1"/>
    <col min="6" max="6" width="12.7109375" customWidth="1"/>
    <col min="7" max="7" width="1.7109375" customWidth="1"/>
    <col min="8" max="8" width="12.7109375" customWidth="1"/>
    <col min="9" max="9" width="1.7109375" customWidth="1"/>
    <col min="10" max="10" width="12.7109375" customWidth="1"/>
    <col min="11" max="11" width="1.7109375" customWidth="1"/>
    <col min="12" max="12" width="17.140625" customWidth="1"/>
    <col min="13" max="13" width="1.7109375" customWidth="1"/>
    <col min="14" max="14" width="12.7109375" customWidth="1"/>
    <col min="15" max="15" width="1.7109375" customWidth="1"/>
    <col min="16" max="16" width="12.7109375" customWidth="1"/>
    <col min="17" max="17" width="1.7109375" customWidth="1"/>
    <col min="18" max="18" width="12.7109375" customWidth="1"/>
    <col min="19" max="19" width="1.7109375" customWidth="1"/>
    <col min="20" max="20" width="12.7109375" customWidth="1"/>
    <col min="21" max="21" width="1.7109375" customWidth="1"/>
    <col min="22" max="22" width="12.7109375" customWidth="1"/>
    <col min="23" max="23" width="1.7109375" customWidth="1"/>
    <col min="24" max="24" width="12.7109375" customWidth="1"/>
    <col min="25" max="25" width="1.7109375" customWidth="1"/>
  </cols>
  <sheetData>
    <row r="1" spans="1:13" x14ac:dyDescent="0.2">
      <c r="A1" s="25" t="s">
        <v>100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B2" s="1" t="s">
        <v>101</v>
      </c>
      <c r="H2" s="13" t="s">
        <v>76</v>
      </c>
      <c r="J2" s="85">
        <f>J12</f>
        <v>8.769496382224542</v>
      </c>
      <c r="L2" s="1"/>
    </row>
    <row r="3" spans="1:13" x14ac:dyDescent="0.2">
      <c r="A3" s="68" t="s">
        <v>78</v>
      </c>
      <c r="B3" s="1" t="s">
        <v>102</v>
      </c>
      <c r="H3" s="13" t="s">
        <v>76</v>
      </c>
      <c r="J3" s="85">
        <f>J20</f>
        <v>0</v>
      </c>
    </row>
    <row r="4" spans="1:13" ht="13.15" customHeight="1" x14ac:dyDescent="0.2">
      <c r="A4" s="68" t="s">
        <v>78</v>
      </c>
      <c r="B4" s="1" t="s">
        <v>103</v>
      </c>
      <c r="H4" s="13" t="s">
        <v>76</v>
      </c>
      <c r="J4" s="85">
        <f>J28</f>
        <v>0.16861992560584504</v>
      </c>
    </row>
    <row r="5" spans="1:13" x14ac:dyDescent="0.2">
      <c r="A5" s="68" t="s">
        <v>78</v>
      </c>
      <c r="B5" s="1" t="s">
        <v>104</v>
      </c>
      <c r="H5" s="13" t="s">
        <v>76</v>
      </c>
      <c r="J5" s="164">
        <f>J35</f>
        <v>0</v>
      </c>
    </row>
    <row r="6" spans="1:13" x14ac:dyDescent="0.2">
      <c r="A6" s="68" t="s">
        <v>105</v>
      </c>
      <c r="B6" s="1" t="s">
        <v>106</v>
      </c>
      <c r="H6" s="13" t="s">
        <v>76</v>
      </c>
      <c r="J6" s="98">
        <f>SUM(J2:J5)</f>
        <v>8.9381163078303878</v>
      </c>
      <c r="K6" s="1"/>
      <c r="L6" s="1"/>
    </row>
    <row r="7" spans="1:13" ht="6.6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3" ht="6.6" customHeight="1" thickTop="1" x14ac:dyDescent="0.2"/>
    <row r="9" spans="1:13" x14ac:dyDescent="0.2">
      <c r="A9" s="25" t="s">
        <v>107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">
      <c r="B10" s="1" t="s">
        <v>77</v>
      </c>
      <c r="J10" s="100">
        <f>'EGC (SII)'!L36</f>
        <v>1050703.1778420219</v>
      </c>
    </row>
    <row r="11" spans="1:13" x14ac:dyDescent="0.2">
      <c r="A11" s="68" t="s">
        <v>108</v>
      </c>
      <c r="B11" s="1" t="s">
        <v>109</v>
      </c>
      <c r="H11" s="13" t="s">
        <v>61</v>
      </c>
      <c r="J11" s="101">
        <f>'EGC (SII)'!H28</f>
        <v>119813.40000000001</v>
      </c>
      <c r="L11" s="1"/>
    </row>
    <row r="12" spans="1:13" x14ac:dyDescent="0.2">
      <c r="C12" s="1" t="s">
        <v>28</v>
      </c>
      <c r="H12" s="13" t="s">
        <v>76</v>
      </c>
      <c r="J12" s="102">
        <f>J10/J11</f>
        <v>8.769496382224542</v>
      </c>
      <c r="K12" s="1"/>
      <c r="L12" s="1"/>
    </row>
    <row r="13" spans="1:13" ht="13.15" customHeight="1" x14ac:dyDescent="0.2"/>
    <row r="14" spans="1:13" s="20" customFormat="1" ht="10.15" customHeight="1" x14ac:dyDescent="0.2">
      <c r="A14" s="159" t="s">
        <v>110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</row>
    <row r="15" spans="1:13" s="20" customFormat="1" ht="11.25" x14ac:dyDescent="0.2">
      <c r="B15" s="20" t="s">
        <v>111</v>
      </c>
      <c r="H15" s="24"/>
      <c r="J15" s="160"/>
    </row>
    <row r="16" spans="1:13" s="20" customFormat="1" ht="11.25" x14ac:dyDescent="0.2">
      <c r="A16" s="161" t="s">
        <v>78</v>
      </c>
      <c r="B16" s="20" t="s">
        <v>112</v>
      </c>
      <c r="H16" s="24"/>
      <c r="J16" s="160"/>
    </row>
    <row r="17" spans="1:13" s="20" customFormat="1" ht="11.25" x14ac:dyDescent="0.2">
      <c r="A17" s="161" t="s">
        <v>78</v>
      </c>
      <c r="B17" s="20" t="s">
        <v>113</v>
      </c>
      <c r="H17" s="24"/>
      <c r="J17" s="160"/>
    </row>
    <row r="18" spans="1:13" s="20" customFormat="1" ht="11.25" x14ac:dyDescent="0.2">
      <c r="A18" s="161" t="s">
        <v>78</v>
      </c>
      <c r="B18" s="20" t="s">
        <v>114</v>
      </c>
      <c r="H18" s="24"/>
      <c r="J18" s="160"/>
    </row>
    <row r="19" spans="1:13" s="20" customFormat="1" ht="11.25" x14ac:dyDescent="0.2">
      <c r="A19" s="161" t="s">
        <v>78</v>
      </c>
      <c r="B19" s="20" t="s">
        <v>115</v>
      </c>
      <c r="H19" s="24"/>
      <c r="J19" s="162"/>
    </row>
    <row r="20" spans="1:13" s="20" customFormat="1" ht="11.25" x14ac:dyDescent="0.2">
      <c r="A20" s="161" t="s">
        <v>105</v>
      </c>
      <c r="B20" s="20" t="s">
        <v>116</v>
      </c>
      <c r="H20" s="24"/>
      <c r="J20" s="163">
        <f>SUM(J15:J19)</f>
        <v>0</v>
      </c>
      <c r="L20" s="20" t="s">
        <v>117</v>
      </c>
    </row>
    <row r="21" spans="1:13" ht="13.15" customHeight="1" x14ac:dyDescent="0.2"/>
    <row r="22" spans="1:13" x14ac:dyDescent="0.2">
      <c r="A22" s="25" t="s">
        <v>118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">
      <c r="B23" s="1" t="s">
        <v>119</v>
      </c>
      <c r="H23" s="13" t="s">
        <v>76</v>
      </c>
      <c r="J23" s="85">
        <f>'Actual Adjustment (IV)'!K29</f>
        <v>0.16861992560584504</v>
      </c>
      <c r="K23" s="1"/>
      <c r="L23" s="1"/>
    </row>
    <row r="24" spans="1:13" x14ac:dyDescent="0.2">
      <c r="A24" s="68" t="s">
        <v>78</v>
      </c>
      <c r="B24" s="1" t="s">
        <v>98</v>
      </c>
      <c r="H24" s="13"/>
      <c r="J24" s="85"/>
    </row>
    <row r="25" spans="1:13" x14ac:dyDescent="0.2">
      <c r="A25" s="68" t="s">
        <v>78</v>
      </c>
      <c r="B25" s="1" t="s">
        <v>97</v>
      </c>
      <c r="H25" s="13"/>
      <c r="J25" s="85"/>
    </row>
    <row r="26" spans="1:13" x14ac:dyDescent="0.2">
      <c r="A26" s="68" t="s">
        <v>78</v>
      </c>
      <c r="B26" s="1" t="s">
        <v>96</v>
      </c>
      <c r="H26" s="13"/>
      <c r="J26" s="85"/>
    </row>
    <row r="27" spans="1:13" x14ac:dyDescent="0.2">
      <c r="A27" s="68" t="s">
        <v>78</v>
      </c>
      <c r="B27" s="1" t="s">
        <v>115</v>
      </c>
      <c r="H27" s="13"/>
      <c r="J27" s="97"/>
    </row>
    <row r="28" spans="1:13" x14ac:dyDescent="0.2">
      <c r="A28" s="68" t="s">
        <v>105</v>
      </c>
      <c r="B28" s="1" t="s">
        <v>51</v>
      </c>
      <c r="H28" s="13" t="s">
        <v>76</v>
      </c>
      <c r="J28" s="98">
        <f>SUM(J23:J27)</f>
        <v>0.16861992560584504</v>
      </c>
      <c r="K28" s="1"/>
      <c r="L28" s="1"/>
    </row>
    <row r="29" spans="1:13" ht="13.15" customHeight="1" x14ac:dyDescent="0.2"/>
    <row r="30" spans="1:13" x14ac:dyDescent="0.2">
      <c r="A30" s="25" t="s">
        <v>120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2">
      <c r="B31" t="s">
        <v>121</v>
      </c>
      <c r="H31" s="13"/>
      <c r="J31" s="103"/>
      <c r="K31" s="1"/>
      <c r="L31" s="1"/>
    </row>
    <row r="32" spans="1:13" x14ac:dyDescent="0.2">
      <c r="A32" s="68" t="s">
        <v>78</v>
      </c>
      <c r="B32" s="1" t="s">
        <v>122</v>
      </c>
      <c r="H32" s="13"/>
      <c r="J32" s="103"/>
    </row>
    <row r="33" spans="1:12" x14ac:dyDescent="0.2">
      <c r="A33" s="68" t="s">
        <v>78</v>
      </c>
      <c r="B33" s="1" t="s">
        <v>123</v>
      </c>
      <c r="H33" s="13"/>
      <c r="J33" s="103"/>
    </row>
    <row r="34" spans="1:12" x14ac:dyDescent="0.2">
      <c r="A34" s="68" t="s">
        <v>78</v>
      </c>
      <c r="B34" s="1" t="s">
        <v>124</v>
      </c>
      <c r="H34" s="13"/>
      <c r="J34" s="103"/>
    </row>
    <row r="35" spans="1:12" x14ac:dyDescent="0.2">
      <c r="A35" s="68" t="s">
        <v>105</v>
      </c>
      <c r="B35" s="1" t="s">
        <v>125</v>
      </c>
      <c r="H35" s="13"/>
      <c r="J35" s="104">
        <f>SUM(J31:J34)</f>
        <v>0</v>
      </c>
      <c r="K35" s="1"/>
      <c r="L35" s="1"/>
    </row>
  </sheetData>
  <pageMargins left="0.5" right="0.5" top="1" bottom="1" header="0.5" footer="0.5"/>
  <pageSetup orientation="portrait" r:id="rId1"/>
  <headerFooter>
    <oddHeader>&amp;C&amp;"Arial,Bold"Schedule I&amp;"Arial,Regular"
Gas Cost Recovery Rate Summary&amp;R&amp;"Arial,Bold"Navitas KY NG, LLC</oddHeader>
    <oddFooter>&amp;CPage 2&amp;R&amp;D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7" zoomScaleNormal="100" workbookViewId="0">
      <selection activeCell="J16" sqref="J16"/>
    </sheetView>
  </sheetViews>
  <sheetFormatPr defaultColWidth="9.140625" defaultRowHeight="12.75" x14ac:dyDescent="0.2"/>
  <cols>
    <col min="1" max="1" width="1.28515625" style="1" customWidth="1"/>
    <col min="2" max="2" width="18" style="1" bestFit="1" customWidth="1"/>
    <col min="3" max="3" width="1.28515625" style="1" customWidth="1"/>
    <col min="4" max="4" width="12.7109375" style="1" customWidth="1"/>
    <col min="5" max="5" width="1.28515625" style="1" customWidth="1"/>
    <col min="6" max="6" width="12.7109375" style="1" customWidth="1"/>
    <col min="7" max="7" width="1.28515625" style="1" customWidth="1"/>
    <col min="8" max="8" width="12.7109375" style="1" customWidth="1"/>
    <col min="9" max="9" width="1.28515625" style="1" customWidth="1"/>
    <col min="10" max="10" width="12.7109375" style="1" customWidth="1"/>
    <col min="11" max="11" width="1.28515625" style="1" customWidth="1"/>
    <col min="12" max="12" width="12.7109375" style="1" customWidth="1"/>
    <col min="13" max="13" width="1.28515625" style="1" customWidth="1"/>
    <col min="14" max="14" width="32.85546875" style="1" bestFit="1" customWidth="1"/>
    <col min="15" max="15" width="1.28515625" style="1" customWidth="1"/>
    <col min="16" max="16" width="12.7109375" style="1" customWidth="1"/>
    <col min="17" max="17" width="1.28515625" style="1" customWidth="1"/>
    <col min="18" max="18" width="13.28515625" style="1" bestFit="1" customWidth="1"/>
    <col min="19" max="19" width="1.28515625" style="1" customWidth="1"/>
    <col min="20" max="20" width="12.7109375" style="1" customWidth="1"/>
    <col min="21" max="21" width="1.7109375" style="1" customWidth="1"/>
    <col min="22" max="22" width="12.7109375" style="1" customWidth="1"/>
    <col min="23" max="23" width="1.7109375" style="1" customWidth="1"/>
    <col min="24" max="24" width="12.7109375" style="1" customWidth="1"/>
    <col min="25" max="25" width="1.7109375" style="1" customWidth="1"/>
    <col min="26" max="16384" width="9.140625" style="1"/>
  </cols>
  <sheetData>
    <row r="1" spans="1:17" s="44" customFormat="1" x14ac:dyDescent="0.2">
      <c r="A1" s="44" t="s">
        <v>56</v>
      </c>
      <c r="D1" s="45" t="s">
        <v>57</v>
      </c>
    </row>
    <row r="2" spans="1:17" x14ac:dyDescent="0.2">
      <c r="B2" s="26" t="s">
        <v>58</v>
      </c>
      <c r="C2" s="13"/>
      <c r="D2" s="26" t="s">
        <v>59</v>
      </c>
      <c r="E2" s="13"/>
      <c r="F2" s="26" t="s">
        <v>60</v>
      </c>
      <c r="G2" s="13"/>
      <c r="H2" s="26" t="s">
        <v>61</v>
      </c>
      <c r="I2" s="13"/>
      <c r="J2" s="26" t="s">
        <v>62</v>
      </c>
      <c r="K2" s="13"/>
      <c r="L2" s="26" t="s">
        <v>25</v>
      </c>
      <c r="N2" s="46" t="s">
        <v>48</v>
      </c>
    </row>
    <row r="3" spans="1:17" ht="7.15" customHeight="1" x14ac:dyDescent="0.2">
      <c r="F3" s="47"/>
      <c r="H3" s="48"/>
      <c r="J3" s="49"/>
      <c r="L3" s="50"/>
      <c r="N3" s="50"/>
      <c r="P3" s="18"/>
      <c r="Q3" s="18"/>
    </row>
    <row r="4" spans="1:17" s="44" customFormat="1" x14ac:dyDescent="0.2">
      <c r="A4" s="44" t="s">
        <v>2</v>
      </c>
      <c r="F4" s="51"/>
      <c r="H4" s="52"/>
      <c r="J4" s="53"/>
      <c r="L4" s="54"/>
      <c r="N4" s="54"/>
      <c r="P4" s="55"/>
      <c r="Q4" s="55"/>
    </row>
    <row r="5" spans="1:17" s="44" customFormat="1" ht="7.15" customHeight="1" x14ac:dyDescent="0.2">
      <c r="D5" s="52"/>
      <c r="F5" s="51"/>
      <c r="H5" s="56"/>
      <c r="J5" s="53"/>
      <c r="L5" s="55"/>
      <c r="N5" s="54"/>
      <c r="P5" s="55"/>
      <c r="Q5" s="55"/>
    </row>
    <row r="6" spans="1:17" x14ac:dyDescent="0.2">
      <c r="B6" s="1" t="s">
        <v>63</v>
      </c>
      <c r="D6" s="106">
        <f>F6*H6</f>
        <v>63242.61094230954</v>
      </c>
      <c r="F6" s="57">
        <v>1.2</v>
      </c>
      <c r="H6" s="179">
        <f>Purchases!X11*Purchases!X20</f>
        <v>52702.175785257954</v>
      </c>
      <c r="J6" s="57">
        <f>8.51/F6</f>
        <v>7.0916666666666668</v>
      </c>
      <c r="L6" s="106">
        <f>J6*H6</f>
        <v>373746.263277121</v>
      </c>
      <c r="N6" s="50" t="s">
        <v>192</v>
      </c>
      <c r="P6" s="18"/>
      <c r="Q6" s="18"/>
    </row>
    <row r="7" spans="1:17" x14ac:dyDescent="0.2">
      <c r="B7" s="1" t="s">
        <v>64</v>
      </c>
      <c r="D7" s="106">
        <f>F7*H7</f>
        <v>45635.018462897016</v>
      </c>
      <c r="F7" s="57">
        <f>F6</f>
        <v>1.2</v>
      </c>
      <c r="H7" s="179">
        <f>Purchases!X16*Purchases!X20</f>
        <v>38029.18205241418</v>
      </c>
      <c r="J7" s="57">
        <v>5.28</v>
      </c>
      <c r="L7" s="106">
        <f>J7*H7</f>
        <v>200794.08123674689</v>
      </c>
      <c r="N7" s="50" t="s">
        <v>191</v>
      </c>
      <c r="P7" s="18"/>
      <c r="Q7" s="18"/>
    </row>
    <row r="8" spans="1:17" x14ac:dyDescent="0.2">
      <c r="B8" s="1" t="s">
        <v>65</v>
      </c>
      <c r="D8" s="18"/>
      <c r="F8" s="57"/>
      <c r="H8" s="6"/>
      <c r="J8" s="57"/>
      <c r="L8" s="18"/>
      <c r="N8" s="50"/>
      <c r="P8" s="18"/>
      <c r="Q8" s="18"/>
    </row>
    <row r="9" spans="1:17" x14ac:dyDescent="0.2">
      <c r="B9" s="1" t="s">
        <v>66</v>
      </c>
      <c r="D9" s="58"/>
      <c r="F9" s="58">
        <v>1</v>
      </c>
      <c r="H9" s="6">
        <v>12</v>
      </c>
      <c r="J9" s="108">
        <v>2100</v>
      </c>
      <c r="L9" s="106">
        <f>J9*H9</f>
        <v>25200</v>
      </c>
      <c r="N9" s="50" t="s">
        <v>67</v>
      </c>
      <c r="P9" s="18"/>
      <c r="Q9" s="18"/>
    </row>
    <row r="10" spans="1:17" x14ac:dyDescent="0.2">
      <c r="B10" s="1" t="s">
        <v>68</v>
      </c>
      <c r="D10" s="59"/>
      <c r="F10" s="58">
        <v>1</v>
      </c>
      <c r="H10" s="110">
        <f>H6+H7</f>
        <v>90731.357837672142</v>
      </c>
      <c r="J10" s="108">
        <v>2.7172000000000001</v>
      </c>
      <c r="L10" s="106">
        <f>J10*H10</f>
        <v>246535.24551652276</v>
      </c>
      <c r="N10" s="50" t="s">
        <v>69</v>
      </c>
      <c r="P10" s="18"/>
      <c r="Q10" s="18"/>
    </row>
    <row r="11" spans="1:17" ht="7.15" customHeight="1" x14ac:dyDescent="0.2">
      <c r="F11" s="57"/>
      <c r="H11" s="6"/>
      <c r="J11" s="57"/>
      <c r="L11" s="18"/>
      <c r="N11" s="50"/>
      <c r="P11" s="18"/>
      <c r="Q11" s="18"/>
    </row>
    <row r="12" spans="1:17" x14ac:dyDescent="0.2">
      <c r="B12" s="13" t="s">
        <v>25</v>
      </c>
      <c r="D12" s="106">
        <f>D6+D7</f>
        <v>108877.62940520656</v>
      </c>
      <c r="F12" s="57"/>
      <c r="H12" s="6"/>
      <c r="J12" s="57"/>
      <c r="L12" s="107">
        <f>SUM(L6:L11)</f>
        <v>846275.59003039065</v>
      </c>
      <c r="N12" s="50"/>
      <c r="P12" s="18"/>
      <c r="Q12" s="18"/>
    </row>
    <row r="13" spans="1:17" x14ac:dyDescent="0.2">
      <c r="F13" s="57"/>
      <c r="H13" s="6"/>
      <c r="J13" s="57"/>
      <c r="L13" s="18"/>
      <c r="N13" s="50"/>
      <c r="P13" s="18"/>
      <c r="Q13" s="18"/>
    </row>
    <row r="14" spans="1:17" s="44" customFormat="1" x14ac:dyDescent="0.2">
      <c r="A14" s="44" t="s">
        <v>5</v>
      </c>
      <c r="F14" s="60"/>
      <c r="H14" s="52"/>
      <c r="J14" s="60"/>
      <c r="L14" s="55"/>
      <c r="P14" s="55"/>
      <c r="Q14" s="55"/>
    </row>
    <row r="15" spans="1:17" x14ac:dyDescent="0.2">
      <c r="B15" s="1" t="s">
        <v>70</v>
      </c>
      <c r="D15" s="106">
        <f>F15*H15</f>
        <v>13960.816000000001</v>
      </c>
      <c r="F15" s="57">
        <v>1.357</v>
      </c>
      <c r="H15" s="179">
        <f>Purchases!X32</f>
        <v>10288</v>
      </c>
      <c r="J15" s="185">
        <f>'SCH III B&amp;S Oil FloydCo N-D-J'!J35</f>
        <v>5.8285736830901271</v>
      </c>
      <c r="L15" s="106">
        <f>J15*H15</f>
        <v>59964.36605163123</v>
      </c>
      <c r="N15" s="1" t="s">
        <v>71</v>
      </c>
      <c r="P15" s="18"/>
      <c r="Q15" s="18"/>
    </row>
    <row r="16" spans="1:17" x14ac:dyDescent="0.2">
      <c r="B16" s="1" t="s">
        <v>26</v>
      </c>
      <c r="D16" s="106">
        <f>F16*H16</f>
        <v>14056.0504</v>
      </c>
      <c r="F16" s="57">
        <v>1.6312</v>
      </c>
      <c r="H16" s="179">
        <f>Purchases!X37</f>
        <v>8617</v>
      </c>
      <c r="J16" s="109">
        <f>(J$7/F$7)*F16</f>
        <v>7.1772800000000005</v>
      </c>
      <c r="L16" s="106">
        <f>J16*H16</f>
        <v>61846.621760000002</v>
      </c>
      <c r="N16" s="1" t="s">
        <v>72</v>
      </c>
      <c r="P16" s="18"/>
      <c r="Q16" s="18"/>
    </row>
    <row r="17" spans="1:18" ht="7.15" customHeight="1" x14ac:dyDescent="0.2">
      <c r="F17" s="57"/>
      <c r="H17" s="6"/>
      <c r="J17" s="57"/>
      <c r="L17" s="18"/>
    </row>
    <row r="18" spans="1:18" x14ac:dyDescent="0.2">
      <c r="B18" s="13" t="s">
        <v>25</v>
      </c>
      <c r="D18" s="106">
        <f>SUM(D15:D16)</f>
        <v>28016.866399999999</v>
      </c>
      <c r="F18" s="57"/>
      <c r="H18" s="111">
        <f>SUM(H15:H17)</f>
        <v>18905</v>
      </c>
      <c r="J18" s="57"/>
      <c r="L18" s="107">
        <f>SUM(L15:L17)</f>
        <v>121810.98781163123</v>
      </c>
      <c r="N18" s="50"/>
      <c r="P18" s="18"/>
      <c r="Q18" s="18"/>
    </row>
    <row r="19" spans="1:18" x14ac:dyDescent="0.2">
      <c r="F19" s="57"/>
      <c r="H19" s="6"/>
      <c r="I19" s="18"/>
      <c r="J19" s="57"/>
      <c r="L19" s="18"/>
      <c r="N19" s="18"/>
      <c r="O19" s="18"/>
      <c r="P19" s="18"/>
      <c r="Q19" s="18"/>
      <c r="R19" s="18"/>
    </row>
    <row r="20" spans="1:18" s="44" customFormat="1" x14ac:dyDescent="0.2">
      <c r="A20" s="44" t="s">
        <v>6</v>
      </c>
      <c r="F20" s="60"/>
      <c r="H20" s="52"/>
      <c r="I20" s="55"/>
      <c r="J20" s="60"/>
      <c r="L20" s="55"/>
      <c r="N20" s="55"/>
      <c r="O20" s="55"/>
      <c r="P20" s="55"/>
      <c r="Q20" s="55"/>
      <c r="R20" s="55"/>
    </row>
    <row r="21" spans="1:18" x14ac:dyDescent="0.2">
      <c r="B21" s="1" t="s">
        <v>27</v>
      </c>
      <c r="D21" s="106">
        <f>F21*H21</f>
        <v>12950.868919999999</v>
      </c>
      <c r="F21" s="57">
        <f>F22</f>
        <v>1.2724</v>
      </c>
      <c r="H21" s="179">
        <f>Purchases!X45</f>
        <v>10178.299999999999</v>
      </c>
      <c r="I21" s="18"/>
      <c r="J21" s="57">
        <f>4.024+2</f>
        <v>6.024</v>
      </c>
      <c r="L21" s="106">
        <f t="shared" ref="L21:L22" si="0">J21*H21</f>
        <v>61314.079199999993</v>
      </c>
      <c r="N21" s="50" t="s">
        <v>193</v>
      </c>
      <c r="O21" s="18"/>
      <c r="P21" s="18"/>
      <c r="Q21" s="18"/>
      <c r="R21" s="18"/>
    </row>
    <row r="22" spans="1:18" x14ac:dyDescent="0.2">
      <c r="B22" s="1" t="s">
        <v>26</v>
      </c>
      <c r="D22" s="106">
        <f>F22*H22</f>
        <v>4841.482</v>
      </c>
      <c r="F22" s="57">
        <v>1.2724</v>
      </c>
      <c r="H22" s="179">
        <f>Purchases!X50</f>
        <v>3805</v>
      </c>
      <c r="I22" s="18"/>
      <c r="J22" s="109">
        <f>(J$7/F$7)*F22</f>
        <v>5.59856</v>
      </c>
      <c r="L22" s="106">
        <f t="shared" si="0"/>
        <v>21302.520799999998</v>
      </c>
      <c r="N22" s="1" t="s">
        <v>72</v>
      </c>
      <c r="O22" s="18"/>
      <c r="P22" s="18"/>
      <c r="Q22" s="18"/>
      <c r="R22" s="18"/>
    </row>
    <row r="23" spans="1:18" x14ac:dyDescent="0.2">
      <c r="D23" s="18"/>
      <c r="F23" s="57"/>
      <c r="H23" s="6"/>
      <c r="I23" s="18"/>
      <c r="J23" s="57"/>
      <c r="L23" s="18"/>
      <c r="O23" s="18"/>
      <c r="P23" s="18"/>
      <c r="Q23" s="18"/>
      <c r="R23" s="18"/>
    </row>
    <row r="24" spans="1:18" ht="7.15" customHeight="1" x14ac:dyDescent="0.2">
      <c r="H24" s="6"/>
      <c r="I24" s="18"/>
      <c r="J24" s="57"/>
      <c r="L24" s="18"/>
      <c r="N24" s="18"/>
      <c r="O24" s="18"/>
      <c r="P24" s="18"/>
      <c r="Q24" s="18"/>
      <c r="R24" s="18"/>
    </row>
    <row r="25" spans="1:18" x14ac:dyDescent="0.2">
      <c r="B25" s="13" t="s">
        <v>25</v>
      </c>
      <c r="D25" s="106">
        <f>SUM(D21:D23)</f>
        <v>17792.350919999997</v>
      </c>
      <c r="F25" s="57"/>
      <c r="H25" s="111">
        <f>SUM(H21:H24)</f>
        <v>13983.3</v>
      </c>
      <c r="J25" s="57"/>
      <c r="L25" s="107">
        <f>SUM(L21:L24)</f>
        <v>82616.599999999991</v>
      </c>
      <c r="N25" s="50"/>
      <c r="P25" s="18"/>
      <c r="Q25" s="18"/>
    </row>
    <row r="26" spans="1:18" ht="7.15" customHeight="1" x14ac:dyDescent="0.2">
      <c r="H26" s="6"/>
      <c r="I26" s="18"/>
      <c r="J26" s="57"/>
      <c r="N26" s="18"/>
      <c r="O26" s="18"/>
      <c r="P26" s="18"/>
      <c r="Q26" s="18"/>
      <c r="R26" s="18"/>
    </row>
    <row r="27" spans="1:18" x14ac:dyDescent="0.2">
      <c r="F27" s="1" t="s">
        <v>73</v>
      </c>
      <c r="H27" s="110">
        <f>H10+H18+H25</f>
        <v>123619.65783767214</v>
      </c>
      <c r="P27" s="13"/>
      <c r="R27" s="49"/>
    </row>
    <row r="28" spans="1:18" x14ac:dyDescent="0.2">
      <c r="F28" s="1" t="s">
        <v>29</v>
      </c>
      <c r="H28" s="112">
        <f>Sales!X45</f>
        <v>119813.40000000001</v>
      </c>
      <c r="P28" s="13"/>
      <c r="R28" s="49"/>
    </row>
    <row r="29" spans="1:18" x14ac:dyDescent="0.2">
      <c r="F29" s="1" t="s">
        <v>74</v>
      </c>
      <c r="H29" s="110">
        <f>H27-H28</f>
        <v>3806.2578376721358</v>
      </c>
      <c r="P29" s="13"/>
      <c r="R29" s="49"/>
    </row>
    <row r="30" spans="1:18" x14ac:dyDescent="0.2">
      <c r="H30" s="61">
        <f>H29/H28</f>
        <v>3.1768214888085435E-2</v>
      </c>
      <c r="P30" s="13"/>
      <c r="R30" s="49"/>
    </row>
    <row r="31" spans="1:18" ht="7.15" customHeight="1" thickBot="1" x14ac:dyDescent="0.25">
      <c r="H31" s="6"/>
      <c r="I31" s="18"/>
      <c r="J31" s="57"/>
      <c r="L31" s="62"/>
      <c r="N31" s="18"/>
      <c r="O31" s="18"/>
      <c r="P31" s="18"/>
      <c r="Q31" s="18"/>
      <c r="R31" s="18"/>
    </row>
    <row r="32" spans="1:18" x14ac:dyDescent="0.2">
      <c r="H32" s="6"/>
      <c r="I32" s="18"/>
      <c r="J32" s="13" t="s">
        <v>15</v>
      </c>
      <c r="L32" s="18">
        <f>L12+L18+L25</f>
        <v>1050703.1778420219</v>
      </c>
      <c r="N32" s="18"/>
      <c r="O32" s="18"/>
      <c r="P32" s="18"/>
      <c r="Q32" s="18"/>
      <c r="R32" s="18"/>
    </row>
    <row r="33" spans="4:22" x14ac:dyDescent="0.2">
      <c r="D33" s="18">
        <f>D12+D18+D25</f>
        <v>154686.84672520656</v>
      </c>
      <c r="F33" s="1" t="s">
        <v>59</v>
      </c>
      <c r="J33" s="13" t="s">
        <v>75</v>
      </c>
      <c r="L33" s="63">
        <f>H27</f>
        <v>123619.65783767214</v>
      </c>
      <c r="M33" s="18"/>
      <c r="N33" s="18"/>
      <c r="O33" s="18"/>
      <c r="P33" s="18"/>
      <c r="Q33" s="18"/>
      <c r="R33" s="18"/>
      <c r="V33" s="18"/>
    </row>
    <row r="34" spans="4:22" x14ac:dyDescent="0.2">
      <c r="J34" s="13" t="s">
        <v>76</v>
      </c>
      <c r="L34" s="64">
        <f>L32/L33</f>
        <v>8.4994829804635508</v>
      </c>
      <c r="M34" s="18"/>
      <c r="N34" s="18"/>
      <c r="O34" s="18"/>
      <c r="P34" s="18"/>
      <c r="Q34" s="18"/>
      <c r="R34" s="18"/>
    </row>
    <row r="35" spans="4:22" x14ac:dyDescent="0.2">
      <c r="J35" s="13" t="s">
        <v>73</v>
      </c>
      <c r="L35" s="63">
        <f>L33</f>
        <v>123619.65783767214</v>
      </c>
      <c r="P35" s="13"/>
      <c r="R35" s="49"/>
    </row>
    <row r="36" spans="4:22" x14ac:dyDescent="0.2">
      <c r="J36" s="13" t="s">
        <v>77</v>
      </c>
      <c r="L36" s="65">
        <f>L34*L35</f>
        <v>1050703.1778420219</v>
      </c>
      <c r="N36" s="13"/>
      <c r="P36" s="13"/>
      <c r="R36" s="66"/>
    </row>
    <row r="37" spans="4:22" x14ac:dyDescent="0.2">
      <c r="P37" s="13"/>
      <c r="R37" s="49"/>
    </row>
    <row r="38" spans="4:22" x14ac:dyDescent="0.2">
      <c r="P38" s="17"/>
      <c r="R38" s="67"/>
    </row>
  </sheetData>
  <pageMargins left="0.5" right="0.5" top="1" bottom="1" header="0.5" footer="0.5"/>
  <pageSetup scale="94" orientation="landscape" r:id="rId1"/>
  <headerFooter>
    <oddHeader>&amp;C&amp;"Arial,Bold"Schedule II&amp;"Arial,Regular"
Expected Gas Cost&amp;R&amp;"Arial,Bold"Navitas KY NG, LLC</oddHeader>
    <oddFooter>&amp;CPage 3&amp;R&amp;D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S46" sqref="S46"/>
    </sheetView>
  </sheetViews>
  <sheetFormatPr defaultColWidth="8.85546875" defaultRowHeight="12.75" x14ac:dyDescent="0.2"/>
  <cols>
    <col min="1" max="2" width="1.7109375" style="19" customWidth="1"/>
    <col min="3" max="3" width="20.7109375" style="19" customWidth="1"/>
    <col min="4" max="5" width="1.7109375" style="19" customWidth="1"/>
    <col min="6" max="6" width="0.85546875" style="19" customWidth="1"/>
    <col min="7" max="7" width="12.7109375" style="19" customWidth="1"/>
    <col min="8" max="8" width="1.7109375" style="19" customWidth="1"/>
    <col min="9" max="9" width="12.7109375" style="19" customWidth="1"/>
    <col min="10" max="10" width="1.7109375" style="19" customWidth="1"/>
    <col min="11" max="11" width="12.7109375" style="19" customWidth="1"/>
    <col min="12" max="12" width="0.85546875" style="19" customWidth="1"/>
    <col min="13" max="13" width="12.7109375" style="19" hidden="1" customWidth="1"/>
    <col min="14" max="14" width="1.7109375" style="19" hidden="1" customWidth="1"/>
    <col min="15" max="15" width="12.7109375" style="19" hidden="1" customWidth="1"/>
    <col min="16" max="16" width="1.7109375" style="19" hidden="1" customWidth="1"/>
    <col min="17" max="17" width="12.7109375" style="19" hidden="1" customWidth="1"/>
    <col min="18" max="18" width="0.85546875" style="19" customWidth="1"/>
    <col min="19" max="16384" width="8.85546875" style="19"/>
  </cols>
  <sheetData>
    <row r="1" spans="2:18" x14ac:dyDescent="0.2">
      <c r="F1" s="131"/>
      <c r="G1" s="124"/>
      <c r="H1" s="124"/>
      <c r="I1" s="125" t="s">
        <v>171</v>
      </c>
      <c r="J1" s="124"/>
      <c r="K1" s="124"/>
      <c r="L1" s="131"/>
      <c r="M1" s="124"/>
      <c r="N1" s="124"/>
      <c r="O1" s="125" t="s">
        <v>172</v>
      </c>
      <c r="P1" s="124"/>
      <c r="Q1" s="124"/>
      <c r="R1" s="131"/>
    </row>
    <row r="2" spans="2:18" x14ac:dyDescent="0.2">
      <c r="F2" s="131"/>
      <c r="G2" s="124"/>
      <c r="I2" s="125" t="s">
        <v>11</v>
      </c>
      <c r="J2" s="132"/>
      <c r="K2" s="124"/>
      <c r="L2" s="131"/>
      <c r="M2" s="124"/>
      <c r="O2" s="125" t="s">
        <v>11</v>
      </c>
      <c r="P2" s="132"/>
      <c r="Q2" s="124"/>
      <c r="R2" s="131"/>
    </row>
    <row r="3" spans="2:18" s="133" customFormat="1" x14ac:dyDescent="0.2">
      <c r="C3" s="134" t="s">
        <v>12</v>
      </c>
      <c r="F3" s="135"/>
      <c r="G3" s="133">
        <v>44409</v>
      </c>
      <c r="I3" s="133">
        <v>44440</v>
      </c>
      <c r="K3" s="133">
        <v>44470</v>
      </c>
      <c r="L3" s="135"/>
      <c r="M3" s="133">
        <v>44501</v>
      </c>
      <c r="O3" s="133">
        <v>44531</v>
      </c>
      <c r="Q3" s="133">
        <v>44562</v>
      </c>
      <c r="R3" s="135"/>
    </row>
    <row r="4" spans="2:18" s="133" customFormat="1" x14ac:dyDescent="0.2">
      <c r="C4" s="134" t="s">
        <v>173</v>
      </c>
      <c r="F4" s="135"/>
      <c r="G4" s="136">
        <v>44377</v>
      </c>
      <c r="I4" s="136">
        <v>44377</v>
      </c>
      <c r="K4" s="136">
        <v>44377</v>
      </c>
      <c r="L4" s="135"/>
      <c r="M4" s="136"/>
      <c r="O4" s="136"/>
      <c r="Q4" s="136"/>
      <c r="R4" s="135"/>
    </row>
    <row r="5" spans="2:18" s="133" customFormat="1" ht="7.15" customHeight="1" x14ac:dyDescent="0.2">
      <c r="C5" s="134"/>
      <c r="F5" s="135"/>
      <c r="G5" s="136"/>
      <c r="I5" s="136"/>
      <c r="K5" s="136"/>
      <c r="L5" s="135"/>
      <c r="M5" s="136"/>
      <c r="O5" s="136"/>
      <c r="Q5" s="136"/>
      <c r="R5" s="135"/>
    </row>
    <row r="6" spans="2:18" x14ac:dyDescent="0.2">
      <c r="B6" s="19" t="s">
        <v>13</v>
      </c>
      <c r="F6" s="131"/>
      <c r="L6" s="131"/>
      <c r="R6" s="131"/>
    </row>
    <row r="7" spans="2:18" x14ac:dyDescent="0.2">
      <c r="C7" s="19" t="s">
        <v>2</v>
      </c>
      <c r="F7" s="131"/>
      <c r="G7" s="137">
        <f>G43</f>
        <v>11604.135910784218</v>
      </c>
      <c r="I7" s="137">
        <f>I43</f>
        <v>10335.52729805014</v>
      </c>
      <c r="J7" s="116"/>
      <c r="K7" s="137">
        <f>K43</f>
        <v>22621.183955376917</v>
      </c>
      <c r="L7" s="131"/>
      <c r="M7" s="137" t="e">
        <f>M43</f>
        <v>#DIV/0!</v>
      </c>
      <c r="O7" s="137" t="e">
        <f>O43</f>
        <v>#DIV/0!</v>
      </c>
      <c r="P7" s="116"/>
      <c r="Q7" s="137" t="e">
        <f>Q43</f>
        <v>#DIV/0!</v>
      </c>
      <c r="R7" s="131"/>
    </row>
    <row r="8" spans="2:18" x14ac:dyDescent="0.2">
      <c r="C8" s="19" t="s">
        <v>5</v>
      </c>
      <c r="F8" s="131"/>
      <c r="G8" s="137">
        <f>(G52+G53)</f>
        <v>2565.3199999999997</v>
      </c>
      <c r="I8" s="137">
        <f>(I52+I53)</f>
        <v>2081.37</v>
      </c>
      <c r="J8" s="116"/>
      <c r="K8" s="137">
        <f>(K52+K53)</f>
        <v>3758.48</v>
      </c>
      <c r="L8" s="131"/>
      <c r="M8" s="137">
        <f>(M52+M53)</f>
        <v>0</v>
      </c>
      <c r="O8" s="137">
        <f>(O52+O53)</f>
        <v>0</v>
      </c>
      <c r="P8" s="116"/>
      <c r="Q8" s="137">
        <f>(Q52+Q53)</f>
        <v>0</v>
      </c>
      <c r="R8" s="131"/>
    </row>
    <row r="9" spans="2:18" x14ac:dyDescent="0.2">
      <c r="C9" s="19" t="s">
        <v>6</v>
      </c>
      <c r="F9" s="131"/>
      <c r="G9" s="137">
        <f>(G57+G58)</f>
        <v>1559.7600000000002</v>
      </c>
      <c r="I9" s="137">
        <f>(I57+I58)</f>
        <v>1499.7</v>
      </c>
      <c r="J9" s="116"/>
      <c r="K9" s="137">
        <f>(K57+K58)</f>
        <v>4763.63</v>
      </c>
      <c r="L9" s="131"/>
      <c r="M9" s="137">
        <f>(M57+M58)</f>
        <v>0</v>
      </c>
      <c r="O9" s="137">
        <f>(O57+O58)</f>
        <v>0</v>
      </c>
      <c r="P9" s="116"/>
      <c r="Q9" s="137">
        <f>(Q57+Q58)</f>
        <v>0</v>
      </c>
      <c r="R9" s="131"/>
    </row>
    <row r="10" spans="2:18" x14ac:dyDescent="0.2">
      <c r="C10" s="121" t="s">
        <v>174</v>
      </c>
      <c r="F10" s="131"/>
      <c r="G10" s="138">
        <f>SUM(G7:G9)</f>
        <v>15729.215910784218</v>
      </c>
      <c r="I10" s="138">
        <f>SUM(I7:I9)</f>
        <v>13916.597298050139</v>
      </c>
      <c r="J10" s="116"/>
      <c r="K10" s="138">
        <f>SUM(K7:K9)</f>
        <v>31143.293955376917</v>
      </c>
      <c r="L10" s="131"/>
      <c r="M10" s="138" t="e">
        <f>SUM(M7:M9)</f>
        <v>#DIV/0!</v>
      </c>
      <c r="O10" s="138" t="e">
        <f>SUM(O7:O9)</f>
        <v>#DIV/0!</v>
      </c>
      <c r="P10" s="116"/>
      <c r="Q10" s="138" t="e">
        <f>SUM(Q7:Q9)</f>
        <v>#DIV/0!</v>
      </c>
      <c r="R10" s="131"/>
    </row>
    <row r="11" spans="2:18" s="133" customFormat="1" ht="7.15" customHeight="1" x14ac:dyDescent="0.2">
      <c r="C11" s="134"/>
      <c r="F11" s="135"/>
      <c r="G11" s="136"/>
      <c r="I11" s="136"/>
      <c r="K11" s="136"/>
      <c r="L11" s="135"/>
      <c r="M11" s="136"/>
      <c r="O11" s="136"/>
      <c r="Q11" s="136"/>
      <c r="R11" s="135"/>
    </row>
    <row r="12" spans="2:18" x14ac:dyDescent="0.2">
      <c r="B12" s="19" t="s">
        <v>14</v>
      </c>
      <c r="F12" s="131"/>
      <c r="G12" s="139"/>
      <c r="I12" s="139"/>
      <c r="K12" s="139"/>
      <c r="L12" s="131"/>
      <c r="M12" s="139"/>
      <c r="O12" s="139"/>
      <c r="Q12" s="139"/>
      <c r="R12" s="131"/>
    </row>
    <row r="13" spans="2:18" x14ac:dyDescent="0.2">
      <c r="C13" s="19" t="s">
        <v>2</v>
      </c>
      <c r="F13" s="131"/>
      <c r="G13" s="137">
        <f>G49</f>
        <v>7501.536542691756</v>
      </c>
      <c r="I13" s="137">
        <f>I49</f>
        <v>6887.131173259053</v>
      </c>
      <c r="J13" s="116"/>
      <c r="K13" s="137">
        <f>K49</f>
        <v>11540.944193690428</v>
      </c>
      <c r="L13" s="131"/>
      <c r="M13" s="137" t="e">
        <f>M49</f>
        <v>#DIV/0!</v>
      </c>
      <c r="O13" s="137" t="e">
        <f>O49</f>
        <v>#DIV/0!</v>
      </c>
      <c r="P13" s="116"/>
      <c r="Q13" s="137" t="e">
        <f>Q49</f>
        <v>#DIV/0!</v>
      </c>
      <c r="R13" s="131"/>
    </row>
    <row r="14" spans="2:18" x14ac:dyDescent="0.2">
      <c r="C14" s="19" t="s">
        <v>5</v>
      </c>
      <c r="F14" s="131"/>
      <c r="G14" s="171"/>
      <c r="H14" s="172"/>
      <c r="I14" s="171"/>
      <c r="J14" s="173"/>
      <c r="K14" s="171"/>
      <c r="L14" s="172"/>
      <c r="M14" s="171"/>
      <c r="N14" s="172"/>
      <c r="O14" s="171"/>
      <c r="P14" s="173"/>
      <c r="Q14" s="171"/>
      <c r="R14" s="131"/>
    </row>
    <row r="15" spans="2:18" x14ac:dyDescent="0.2">
      <c r="C15" s="19" t="s">
        <v>6</v>
      </c>
      <c r="F15" s="131"/>
      <c r="G15" s="137">
        <f>(G57+G58)</f>
        <v>1559.7600000000002</v>
      </c>
      <c r="I15" s="137">
        <f>(I57+I58)</f>
        <v>1499.7</v>
      </c>
      <c r="J15" s="116"/>
      <c r="K15" s="137">
        <f>(K57+K58)</f>
        <v>4763.63</v>
      </c>
      <c r="L15" s="131"/>
      <c r="M15" s="137">
        <f>(M57+M58)</f>
        <v>0</v>
      </c>
      <c r="O15" s="137">
        <f>(O57+O58)</f>
        <v>0</v>
      </c>
      <c r="P15" s="116"/>
      <c r="Q15" s="137">
        <f>(Q57+Q58)</f>
        <v>0</v>
      </c>
      <c r="R15" s="131"/>
    </row>
    <row r="16" spans="2:18" x14ac:dyDescent="0.2">
      <c r="C16" s="121" t="s">
        <v>175</v>
      </c>
      <c r="F16" s="131"/>
      <c r="G16" s="138">
        <f>SUM(G13:G15)</f>
        <v>9061.2965426917563</v>
      </c>
      <c r="I16" s="138">
        <f>SUM(I13:I15)</f>
        <v>8386.8311732590537</v>
      </c>
      <c r="J16" s="116"/>
      <c r="K16" s="138">
        <f>SUM(K13:K15)</f>
        <v>16304.574193690427</v>
      </c>
      <c r="L16" s="131"/>
      <c r="M16" s="138" t="e">
        <f>SUM(M13:M15)</f>
        <v>#DIV/0!</v>
      </c>
      <c r="O16" s="138" t="e">
        <f>SUM(O13:O15)</f>
        <v>#DIV/0!</v>
      </c>
      <c r="P16" s="116"/>
      <c r="Q16" s="138" t="e">
        <f>SUM(Q13:Q15)</f>
        <v>#DIV/0!</v>
      </c>
      <c r="R16" s="131"/>
    </row>
    <row r="17" spans="1:18" s="133" customFormat="1" ht="7.15" customHeight="1" thickBot="1" x14ac:dyDescent="0.25">
      <c r="C17" s="134"/>
      <c r="F17" s="135"/>
      <c r="G17" s="140"/>
      <c r="I17" s="140"/>
      <c r="K17" s="140"/>
      <c r="L17" s="135"/>
      <c r="M17" s="140"/>
      <c r="O17" s="140"/>
      <c r="Q17" s="140"/>
      <c r="R17" s="135"/>
    </row>
    <row r="18" spans="1:18" ht="13.5" thickTop="1" x14ac:dyDescent="0.2">
      <c r="C18" s="121" t="s">
        <v>15</v>
      </c>
      <c r="F18" s="131"/>
      <c r="G18" s="137">
        <f>G16+G10</f>
        <v>24790.512453475974</v>
      </c>
      <c r="I18" s="137">
        <f>I16+I10</f>
        <v>22303.428471309191</v>
      </c>
      <c r="K18" s="137">
        <f>K16+K10</f>
        <v>47447.868149067348</v>
      </c>
      <c r="L18" s="131"/>
      <c r="M18" s="137" t="e">
        <f>M16+M10</f>
        <v>#DIV/0!</v>
      </c>
      <c r="O18" s="137" t="e">
        <f>O16+O10</f>
        <v>#DIV/0!</v>
      </c>
      <c r="Q18" s="137" t="e">
        <f>Q16+Q10</f>
        <v>#DIV/0!</v>
      </c>
      <c r="R18" s="131"/>
    </row>
    <row r="19" spans="1:18" s="133" customFormat="1" ht="7.15" customHeight="1" x14ac:dyDescent="0.2">
      <c r="C19" s="134"/>
      <c r="F19" s="135"/>
      <c r="G19" s="136"/>
      <c r="I19" s="136"/>
      <c r="K19" s="136"/>
      <c r="L19" s="135"/>
      <c r="M19" s="136"/>
      <c r="O19" s="136"/>
      <c r="Q19" s="136"/>
      <c r="R19" s="135"/>
    </row>
    <row r="20" spans="1:18" x14ac:dyDescent="0.2">
      <c r="C20" s="19" t="s">
        <v>176</v>
      </c>
      <c r="F20" s="131"/>
      <c r="G20" s="141">
        <f>Sales!T43</f>
        <v>2667.8</v>
      </c>
      <c r="I20" s="141">
        <f>Sales!V43</f>
        <v>2471.6</v>
      </c>
      <c r="J20" s="116"/>
      <c r="K20" s="141">
        <f>Sales!X43</f>
        <v>4758.1000000000004</v>
      </c>
      <c r="L20" s="131"/>
      <c r="M20" s="141"/>
      <c r="O20" s="141"/>
      <c r="P20" s="116"/>
      <c r="Q20" s="141"/>
      <c r="R20" s="131"/>
    </row>
    <row r="21" spans="1:18" s="133" customFormat="1" ht="7.15" customHeight="1" x14ac:dyDescent="0.2">
      <c r="C21" s="134"/>
      <c r="F21" s="135"/>
      <c r="G21" s="136"/>
      <c r="I21" s="136"/>
      <c r="K21" s="136"/>
      <c r="L21" s="135"/>
      <c r="M21" s="136"/>
      <c r="O21" s="136"/>
      <c r="Q21" s="136"/>
      <c r="R21" s="135"/>
    </row>
    <row r="22" spans="1:18" x14ac:dyDescent="0.2">
      <c r="A22" s="19" t="s">
        <v>16</v>
      </c>
      <c r="F22" s="131"/>
      <c r="G22" s="142">
        <f>G18/G20</f>
        <v>9.2924928605877408</v>
      </c>
      <c r="H22" s="143"/>
      <c r="I22" s="142">
        <f>I18/I20</f>
        <v>9.0238826959496645</v>
      </c>
      <c r="J22" s="143"/>
      <c r="K22" s="142">
        <f>K18/K20</f>
        <v>9.9720199552483866</v>
      </c>
      <c r="L22" s="131"/>
      <c r="M22" s="142" t="e">
        <f>M18/M20</f>
        <v>#DIV/0!</v>
      </c>
      <c r="N22" s="143"/>
      <c r="O22" s="142" t="e">
        <f>O18/O20</f>
        <v>#DIV/0!</v>
      </c>
      <c r="P22" s="143"/>
      <c r="Q22" s="142" t="e">
        <f>Q18/Q20</f>
        <v>#DIV/0!</v>
      </c>
      <c r="R22" s="131"/>
    </row>
    <row r="23" spans="1:18" x14ac:dyDescent="0.2">
      <c r="A23" s="19" t="s">
        <v>17</v>
      </c>
      <c r="F23" s="131"/>
      <c r="G23" s="174">
        <f>((G64*G69)+(G65*G70)+(G66*G71))/G72</f>
        <v>7.625015323487518</v>
      </c>
      <c r="H23" s="19" t="s">
        <v>187</v>
      </c>
      <c r="I23" s="168">
        <v>7.2892000000000001</v>
      </c>
      <c r="K23" s="168">
        <v>7.2892000000000001</v>
      </c>
      <c r="L23" s="131"/>
      <c r="M23" s="168">
        <v>7.2892000000000001</v>
      </c>
      <c r="O23" s="168">
        <v>7.2892000000000001</v>
      </c>
      <c r="Q23" s="168">
        <v>7.2892000000000001</v>
      </c>
      <c r="R23" s="131"/>
    </row>
    <row r="24" spans="1:18" x14ac:dyDescent="0.2">
      <c r="B24" s="19" t="s">
        <v>18</v>
      </c>
      <c r="F24" s="131"/>
      <c r="G24" s="137">
        <f>G22-G23</f>
        <v>1.6674775371002228</v>
      </c>
      <c r="I24" s="137">
        <f>I22-I23</f>
        <v>1.7346826959496644</v>
      </c>
      <c r="K24" s="137">
        <f>K22-K23</f>
        <v>2.6828199552483865</v>
      </c>
      <c r="L24" s="131"/>
      <c r="M24" s="137" t="e">
        <f>M22-M23</f>
        <v>#DIV/0!</v>
      </c>
      <c r="O24" s="137" t="e">
        <f>O22-O23</f>
        <v>#DIV/0!</v>
      </c>
      <c r="Q24" s="137" t="e">
        <f>Q22-Q23</f>
        <v>#DIV/0!</v>
      </c>
      <c r="R24" s="131"/>
    </row>
    <row r="25" spans="1:18" x14ac:dyDescent="0.2">
      <c r="C25" s="121" t="s">
        <v>19</v>
      </c>
      <c r="F25" s="131"/>
      <c r="G25" s="137">
        <f>G24*G20</f>
        <v>4448.4965734759744</v>
      </c>
      <c r="I25" s="137">
        <f>I24*I20</f>
        <v>4287.4417513091903</v>
      </c>
      <c r="K25" s="137">
        <f>K24*K20</f>
        <v>12765.125629067348</v>
      </c>
      <c r="L25" s="131"/>
      <c r="M25" s="137" t="e">
        <f>M24*M20</f>
        <v>#DIV/0!</v>
      </c>
      <c r="O25" s="137" t="e">
        <f>O24*O20</f>
        <v>#DIV/0!</v>
      </c>
      <c r="Q25" s="137" t="e">
        <f>Q24*Q20</f>
        <v>#DIV/0!</v>
      </c>
      <c r="R25" s="131"/>
    </row>
    <row r="26" spans="1:18" x14ac:dyDescent="0.2">
      <c r="F26" s="131"/>
      <c r="G26" s="139">
        <f>SUM(G18:K18)/SUM(G20:K20)</f>
        <v>9.5520898281235187</v>
      </c>
      <c r="L26" s="131"/>
      <c r="M26" s="139" t="e">
        <f>SUM(M18:Q18)/SUM(M20:Q20)</f>
        <v>#DIV/0!</v>
      </c>
      <c r="R26" s="131"/>
    </row>
    <row r="27" spans="1:18" x14ac:dyDescent="0.2">
      <c r="D27" s="121" t="s">
        <v>20</v>
      </c>
      <c r="F27" s="131"/>
      <c r="G27" s="139"/>
      <c r="I27" s="121"/>
      <c r="K27" s="137">
        <f>SUM(G25:K25)</f>
        <v>21501.063953852514</v>
      </c>
      <c r="L27" s="131"/>
      <c r="M27" s="139"/>
      <c r="O27" s="121"/>
      <c r="Q27" s="137" t="e">
        <f>SUM(M25:Q25)</f>
        <v>#DIV/0!</v>
      </c>
      <c r="R27" s="131"/>
    </row>
    <row r="28" spans="1:18" x14ac:dyDescent="0.2">
      <c r="D28" s="121" t="s">
        <v>177</v>
      </c>
      <c r="F28" s="131"/>
      <c r="G28" s="139"/>
      <c r="I28" s="121" t="s">
        <v>178</v>
      </c>
      <c r="K28" s="145">
        <v>127512</v>
      </c>
      <c r="L28" s="131"/>
      <c r="M28" s="139"/>
      <c r="O28" s="121" t="s">
        <v>178</v>
      </c>
      <c r="Q28" s="145">
        <v>125000</v>
      </c>
      <c r="R28" s="131"/>
    </row>
    <row r="29" spans="1:18" x14ac:dyDescent="0.2">
      <c r="D29" s="146" t="s">
        <v>51</v>
      </c>
      <c r="F29" s="131"/>
      <c r="G29" s="139"/>
      <c r="I29" s="146" t="s">
        <v>51</v>
      </c>
      <c r="K29" s="147">
        <f>(K27/K28)</f>
        <v>0.16861992560584504</v>
      </c>
      <c r="L29" s="131"/>
      <c r="M29" s="139"/>
      <c r="O29" s="146" t="s">
        <v>51</v>
      </c>
      <c r="Q29" s="147" t="e">
        <f>(Q27/Q28)</f>
        <v>#DIV/0!</v>
      </c>
      <c r="R29" s="131"/>
    </row>
    <row r="30" spans="1:18" x14ac:dyDescent="0.2">
      <c r="D30" s="146"/>
      <c r="G30" s="139"/>
      <c r="I30" s="146"/>
      <c r="K30" s="148"/>
      <c r="M30" s="139"/>
      <c r="O30" s="146"/>
      <c r="Q30" s="148"/>
    </row>
    <row r="31" spans="1:18" x14ac:dyDescent="0.2">
      <c r="D31" s="146"/>
      <c r="G31" s="139"/>
      <c r="I31" s="146"/>
      <c r="K31" s="148"/>
      <c r="M31" s="139"/>
      <c r="O31" s="146"/>
      <c r="Q31" s="148"/>
    </row>
    <row r="32" spans="1:18" x14ac:dyDescent="0.2">
      <c r="A32" s="149" t="s">
        <v>2</v>
      </c>
      <c r="G32" s="139"/>
      <c r="I32" s="121"/>
      <c r="M32" s="139"/>
      <c r="O32" s="121"/>
    </row>
    <row r="33" spans="1:18" x14ac:dyDescent="0.2">
      <c r="A33" s="19" t="s">
        <v>21</v>
      </c>
      <c r="G33" s="139"/>
      <c r="M33" s="139"/>
    </row>
    <row r="34" spans="1:18" x14ac:dyDescent="0.2">
      <c r="C34" s="19" t="s">
        <v>22</v>
      </c>
      <c r="F34" s="22"/>
      <c r="G34" s="169">
        <v>780</v>
      </c>
      <c r="H34" s="116"/>
      <c r="I34" s="169">
        <v>728</v>
      </c>
      <c r="J34" s="116"/>
      <c r="K34" s="169">
        <v>1509</v>
      </c>
      <c r="L34" s="22"/>
      <c r="M34" s="165"/>
      <c r="O34" s="165"/>
      <c r="Q34" s="165"/>
      <c r="R34" s="22"/>
    </row>
    <row r="35" spans="1:18" x14ac:dyDescent="0.2">
      <c r="C35" s="19" t="s">
        <v>179</v>
      </c>
      <c r="F35" s="22"/>
      <c r="G35" s="152">
        <f>Sales!T9</f>
        <v>2015.8</v>
      </c>
      <c r="H35" s="22"/>
      <c r="I35" s="152">
        <f>Sales!V9</f>
        <v>1794</v>
      </c>
      <c r="J35" s="22"/>
      <c r="K35" s="152">
        <f>Sales!X9</f>
        <v>3506.4</v>
      </c>
      <c r="L35" s="22"/>
      <c r="M35" s="152"/>
      <c r="N35" s="22"/>
      <c r="O35" s="152"/>
      <c r="P35" s="22"/>
      <c r="Q35" s="152"/>
      <c r="R35" s="22"/>
    </row>
    <row r="36" spans="1:18" x14ac:dyDescent="0.2">
      <c r="C36" s="19" t="s">
        <v>180</v>
      </c>
      <c r="G36" s="153">
        <f>G35+((+G34)/10)</f>
        <v>2093.8000000000002</v>
      </c>
      <c r="I36" s="153">
        <f>I35+((+I34)/10)</f>
        <v>1866.8</v>
      </c>
      <c r="K36" s="153">
        <f>K35+((+K34)/10)</f>
        <v>3657.3</v>
      </c>
      <c r="M36" s="153">
        <f>M35+((+M34)/10)</f>
        <v>0</v>
      </c>
      <c r="O36" s="153">
        <f>O35+((+O34)/10)</f>
        <v>0</v>
      </c>
      <c r="Q36" s="153">
        <f>Q35+((+Q34)/10)</f>
        <v>0</v>
      </c>
    </row>
    <row r="37" spans="1:18" x14ac:dyDescent="0.2">
      <c r="C37" s="19" t="s">
        <v>23</v>
      </c>
      <c r="G37" s="21">
        <f>G35/G36</f>
        <v>0.96274715827681712</v>
      </c>
      <c r="I37" s="21">
        <f>I35/I36</f>
        <v>0.96100278551532037</v>
      </c>
      <c r="K37" s="21">
        <f>K35/K36</f>
        <v>0.95874005413829877</v>
      </c>
      <c r="M37" s="21" t="e">
        <f>M35/M36</f>
        <v>#DIV/0!</v>
      </c>
      <c r="O37" s="21" t="e">
        <f>O35/O36</f>
        <v>#DIV/0!</v>
      </c>
      <c r="Q37" s="21" t="e">
        <f>Q35/Q36</f>
        <v>#DIV/0!</v>
      </c>
    </row>
    <row r="38" spans="1:18" ht="6.75" customHeight="1" x14ac:dyDescent="0.2">
      <c r="G38" s="139"/>
      <c r="M38" s="139"/>
    </row>
    <row r="39" spans="1:18" s="22" customFormat="1" ht="13.7" customHeight="1" x14ac:dyDescent="0.2">
      <c r="A39" s="19" t="s">
        <v>24</v>
      </c>
      <c r="G39" s="154"/>
      <c r="I39" s="154"/>
      <c r="K39" s="154"/>
      <c r="M39" s="154"/>
      <c r="O39" s="154"/>
      <c r="Q39" s="154"/>
    </row>
    <row r="40" spans="1:18" x14ac:dyDescent="0.2">
      <c r="B40" s="19" t="s">
        <v>63</v>
      </c>
      <c r="G40" s="167">
        <v>5617.2</v>
      </c>
      <c r="H40" s="23"/>
      <c r="I40" s="167">
        <v>1315.44</v>
      </c>
      <c r="J40" s="23"/>
      <c r="K40" s="167">
        <v>3134.7</v>
      </c>
      <c r="M40" s="165">
        <v>38031.19</v>
      </c>
      <c r="O40" s="165"/>
      <c r="Q40" s="165"/>
    </row>
    <row r="41" spans="1:18" x14ac:dyDescent="0.2">
      <c r="B41" s="19" t="s">
        <v>64</v>
      </c>
      <c r="G41" s="167">
        <v>6435.95</v>
      </c>
      <c r="H41" s="23"/>
      <c r="I41" s="167">
        <v>9439.5</v>
      </c>
      <c r="J41" s="23"/>
      <c r="K41" s="167">
        <v>20460</v>
      </c>
      <c r="M41" s="165"/>
      <c r="O41" s="165"/>
      <c r="Q41" s="165"/>
    </row>
    <row r="42" spans="1:18" x14ac:dyDescent="0.2">
      <c r="C42" s="19" t="s">
        <v>25</v>
      </c>
      <c r="G42" s="157">
        <f>SUM(G40:G41)</f>
        <v>12053.15</v>
      </c>
      <c r="I42" s="157">
        <f>SUM(I40:I41)</f>
        <v>10754.94</v>
      </c>
      <c r="K42" s="157">
        <f>SUM(K40:K41)</f>
        <v>23594.7</v>
      </c>
      <c r="M42" s="157">
        <f>SUM(M40:M41)</f>
        <v>38031.19</v>
      </c>
      <c r="O42" s="157">
        <f>SUM(O40:O41)</f>
        <v>0</v>
      </c>
      <c r="Q42" s="157">
        <f>SUM(Q40:Q41)</f>
        <v>0</v>
      </c>
    </row>
    <row r="43" spans="1:18" x14ac:dyDescent="0.2">
      <c r="C43" s="121" t="s">
        <v>21</v>
      </c>
      <c r="G43" s="138">
        <f>G42*G37</f>
        <v>11604.135910784218</v>
      </c>
      <c r="I43" s="138">
        <f>I42*I37</f>
        <v>10335.52729805014</v>
      </c>
      <c r="K43" s="138">
        <f>K42*K37</f>
        <v>22621.183955376917</v>
      </c>
      <c r="M43" s="138" t="e">
        <f>M42*M37</f>
        <v>#DIV/0!</v>
      </c>
      <c r="O43" s="138" t="e">
        <f>O42*O37</f>
        <v>#DIV/0!</v>
      </c>
      <c r="Q43" s="138" t="e">
        <f>Q42*Q37</f>
        <v>#DIV/0!</v>
      </c>
    </row>
    <row r="44" spans="1:18" ht="6.75" customHeight="1" x14ac:dyDescent="0.2">
      <c r="G44" s="139"/>
      <c r="M44" s="139"/>
    </row>
    <row r="45" spans="1:18" x14ac:dyDescent="0.2">
      <c r="A45" s="19" t="s">
        <v>181</v>
      </c>
      <c r="G45" s="139"/>
      <c r="M45" s="139"/>
    </row>
    <row r="46" spans="1:18" x14ac:dyDescent="0.2">
      <c r="B46" s="19" t="s">
        <v>182</v>
      </c>
      <c r="C46" s="158"/>
      <c r="G46" s="166">
        <v>2102.5300000000002</v>
      </c>
      <c r="H46" s="23"/>
      <c r="I46" s="166">
        <v>2094.14</v>
      </c>
      <c r="J46" s="23"/>
      <c r="K46" s="166">
        <v>2100</v>
      </c>
      <c r="M46" s="165"/>
      <c r="O46" s="165"/>
      <c r="Q46" s="165"/>
    </row>
    <row r="47" spans="1:18" x14ac:dyDescent="0.2">
      <c r="C47" s="121" t="s">
        <v>21</v>
      </c>
      <c r="G47" s="138">
        <f>G46*G37</f>
        <v>2024.2047826917565</v>
      </c>
      <c r="I47" s="138">
        <f>I46*I37</f>
        <v>2012.474373259053</v>
      </c>
      <c r="K47" s="138">
        <f>K46*K37</f>
        <v>2013.3541136904273</v>
      </c>
      <c r="M47" s="138" t="e">
        <f>M46*M37</f>
        <v>#DIV/0!</v>
      </c>
      <c r="O47" s="138" t="e">
        <f>O46*O37</f>
        <v>#DIV/0!</v>
      </c>
      <c r="Q47" s="138" t="e">
        <f>Q46*Q37</f>
        <v>#DIV/0!</v>
      </c>
    </row>
    <row r="48" spans="1:18" x14ac:dyDescent="0.2">
      <c r="B48" s="19" t="s">
        <v>183</v>
      </c>
      <c r="G48" s="137">
        <f>2.7172*G35</f>
        <v>5477.33176</v>
      </c>
      <c r="I48" s="137">
        <f>2.7172*I35</f>
        <v>4874.6567999999997</v>
      </c>
      <c r="K48" s="137">
        <f>2.7172*K35</f>
        <v>9527.5900799999999</v>
      </c>
      <c r="M48" s="137">
        <f>2.7172*M35</f>
        <v>0</v>
      </c>
      <c r="O48" s="137">
        <f>2.7172*O35</f>
        <v>0</v>
      </c>
      <c r="Q48" s="137">
        <f>2.7172*Q35</f>
        <v>0</v>
      </c>
    </row>
    <row r="49" spans="1:17" x14ac:dyDescent="0.2">
      <c r="C49" s="121"/>
      <c r="G49" s="138">
        <f>SUM(G47:G48)</f>
        <v>7501.536542691756</v>
      </c>
      <c r="I49" s="138">
        <f>SUM(I47:I48)</f>
        <v>6887.131173259053</v>
      </c>
      <c r="K49" s="138">
        <f>SUM(K47:K48)</f>
        <v>11540.944193690428</v>
      </c>
      <c r="M49" s="138" t="e">
        <f>SUM(M47:M48)</f>
        <v>#DIV/0!</v>
      </c>
      <c r="O49" s="138" t="e">
        <f>SUM(O47:O48)</f>
        <v>#DIV/0!</v>
      </c>
      <c r="Q49" s="138" t="e">
        <f>SUM(Q47:Q48)</f>
        <v>#DIV/0!</v>
      </c>
    </row>
    <row r="51" spans="1:17" x14ac:dyDescent="0.2">
      <c r="A51" s="19" t="s">
        <v>5</v>
      </c>
    </row>
    <row r="52" spans="1:17" x14ac:dyDescent="0.2">
      <c r="B52" s="19" t="s">
        <v>70</v>
      </c>
      <c r="G52" s="165">
        <v>2519.9499999999998</v>
      </c>
      <c r="I52" s="165">
        <v>2081.37</v>
      </c>
      <c r="K52" s="165">
        <v>3758.48</v>
      </c>
      <c r="M52" s="165"/>
      <c r="O52" s="165"/>
      <c r="Q52" s="165"/>
    </row>
    <row r="53" spans="1:17" x14ac:dyDescent="0.2">
      <c r="B53" s="19" t="s">
        <v>186</v>
      </c>
      <c r="G53" s="165">
        <v>45.37</v>
      </c>
      <c r="I53" s="165">
        <v>0</v>
      </c>
      <c r="K53" s="165">
        <v>0</v>
      </c>
      <c r="M53" s="165"/>
      <c r="O53" s="165"/>
      <c r="Q53" s="165"/>
    </row>
    <row r="54" spans="1:17" ht="6.75" customHeight="1" x14ac:dyDescent="0.2">
      <c r="G54" s="139"/>
      <c r="M54" s="139"/>
    </row>
    <row r="56" spans="1:17" x14ac:dyDescent="0.2">
      <c r="A56" s="19" t="s">
        <v>6</v>
      </c>
    </row>
    <row r="57" spans="1:17" x14ac:dyDescent="0.2">
      <c r="B57" s="19" t="s">
        <v>27</v>
      </c>
      <c r="G57" s="165">
        <v>841.32</v>
      </c>
      <c r="I57" s="165">
        <v>698.87</v>
      </c>
      <c r="K57" s="165">
        <v>3201.48</v>
      </c>
      <c r="M57" s="165"/>
      <c r="O57" s="165"/>
      <c r="Q57" s="165"/>
    </row>
    <row r="58" spans="1:17" x14ac:dyDescent="0.2">
      <c r="B58" s="19" t="s">
        <v>186</v>
      </c>
      <c r="G58" s="165">
        <v>718.44</v>
      </c>
      <c r="I58" s="165">
        <v>800.83</v>
      </c>
      <c r="K58" s="165">
        <v>1562.15</v>
      </c>
      <c r="M58" s="165"/>
      <c r="O58" s="165"/>
      <c r="Q58" s="165"/>
    </row>
    <row r="59" spans="1:17" x14ac:dyDescent="0.2">
      <c r="B59" s="19" t="s">
        <v>26</v>
      </c>
      <c r="G59" s="165">
        <v>930.62</v>
      </c>
      <c r="I59" s="165">
        <v>947.21</v>
      </c>
      <c r="K59" s="165">
        <v>902.97</v>
      </c>
      <c r="M59" s="165"/>
      <c r="O59" s="165"/>
      <c r="Q59" s="165"/>
    </row>
    <row r="61" spans="1:17" x14ac:dyDescent="0.2">
      <c r="A61" s="19" t="s">
        <v>188</v>
      </c>
      <c r="C61" s="19" t="s">
        <v>189</v>
      </c>
    </row>
    <row r="62" spans="1:17" x14ac:dyDescent="0.2">
      <c r="C62" s="19" t="s">
        <v>190</v>
      </c>
    </row>
    <row r="63" spans="1:17" x14ac:dyDescent="0.2">
      <c r="C63" s="19" t="s">
        <v>28</v>
      </c>
    </row>
    <row r="64" spans="1:17" x14ac:dyDescent="0.2">
      <c r="C64" s="121" t="s">
        <v>8</v>
      </c>
      <c r="G64" s="175">
        <v>8.4405999999999999</v>
      </c>
    </row>
    <row r="65" spans="3:7" x14ac:dyDescent="0.2">
      <c r="C65" s="121" t="s">
        <v>9</v>
      </c>
      <c r="G65" s="175">
        <v>5.2417999999999996</v>
      </c>
    </row>
    <row r="66" spans="3:7" x14ac:dyDescent="0.2">
      <c r="C66" s="121" t="s">
        <v>10</v>
      </c>
      <c r="G66" s="175">
        <v>4.7462</v>
      </c>
    </row>
    <row r="68" spans="3:7" x14ac:dyDescent="0.2">
      <c r="C68" s="19" t="s">
        <v>29</v>
      </c>
    </row>
    <row r="69" spans="3:7" x14ac:dyDescent="0.2">
      <c r="C69" s="121" t="s">
        <v>8</v>
      </c>
      <c r="G69" s="176">
        <f>Sales!T9</f>
        <v>2015.8</v>
      </c>
    </row>
    <row r="70" spans="3:7" x14ac:dyDescent="0.2">
      <c r="C70" s="121" t="s">
        <v>9</v>
      </c>
      <c r="G70" s="176">
        <f>Sales!T20</f>
        <v>470</v>
      </c>
    </row>
    <row r="71" spans="3:7" x14ac:dyDescent="0.2">
      <c r="C71" s="121" t="s">
        <v>10</v>
      </c>
      <c r="G71" s="176">
        <f>Sales!T31</f>
        <v>182</v>
      </c>
    </row>
    <row r="72" spans="3:7" x14ac:dyDescent="0.2">
      <c r="G72" s="177">
        <f>SUM(G69:G71)</f>
        <v>2667.8</v>
      </c>
    </row>
  </sheetData>
  <pageMargins left="0.5" right="0.5" top="1" bottom="1" header="0.5" footer="0.5"/>
  <pageSetup scale="83" fitToWidth="0" orientation="landscape" r:id="rId1"/>
  <headerFooter>
    <oddHeader>&amp;C&amp;"Arial,Bold"Schedule IV&amp;"Arial,Regular"
Actual Adjustment&amp;R&amp;"Arial,Bold"Navitas KY NG, LLC</oddHeader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45" sqref="K45"/>
    </sheetView>
  </sheetViews>
  <sheetFormatPr defaultColWidth="8.85546875" defaultRowHeight="12.75" x14ac:dyDescent="0.2"/>
  <cols>
    <col min="1" max="2" width="1.7109375" style="19" customWidth="1"/>
    <col min="3" max="3" width="20.7109375" style="19" customWidth="1"/>
    <col min="4" max="5" width="1.7109375" style="19" customWidth="1"/>
    <col min="6" max="6" width="0.85546875" style="19" customWidth="1"/>
    <col min="7" max="7" width="12.7109375" style="19" customWidth="1"/>
    <col min="8" max="8" width="1.7109375" style="19" customWidth="1"/>
    <col min="9" max="9" width="12.7109375" style="19" customWidth="1"/>
    <col min="10" max="10" width="1.7109375" style="19" customWidth="1"/>
    <col min="11" max="11" width="12.7109375" style="19" customWidth="1"/>
    <col min="12" max="12" width="0.85546875" style="19" customWidth="1"/>
    <col min="13" max="13" width="12.7109375" style="19" customWidth="1"/>
    <col min="14" max="14" width="1.7109375" style="19" customWidth="1"/>
    <col min="15" max="15" width="12.7109375" style="19" customWidth="1"/>
    <col min="16" max="16" width="1.7109375" style="19" customWidth="1"/>
    <col min="17" max="17" width="12.7109375" style="19" customWidth="1"/>
    <col min="18" max="18" width="0.85546875" style="19" customWidth="1"/>
    <col min="19" max="19" width="12.7109375" style="19" customWidth="1"/>
    <col min="20" max="20" width="1.7109375" style="19" customWidth="1"/>
    <col min="21" max="21" width="12.7109375" style="19" customWidth="1"/>
    <col min="22" max="22" width="1.7109375" style="19" customWidth="1"/>
    <col min="23" max="23" width="12.7109375" style="19" customWidth="1"/>
    <col min="24" max="24" width="0.85546875" style="19" customWidth="1"/>
    <col min="25" max="25" width="12.7109375" style="19" customWidth="1"/>
    <col min="26" max="26" width="1.7109375" style="19" customWidth="1"/>
    <col min="27" max="27" width="12.7109375" style="19" customWidth="1"/>
    <col min="28" max="28" width="1.7109375" style="19" customWidth="1"/>
    <col min="29" max="29" width="12.7109375" style="19" customWidth="1"/>
    <col min="30" max="30" width="0.85546875" style="19" customWidth="1"/>
    <col min="31" max="31" width="12.7109375" style="19" customWidth="1"/>
    <col min="32" max="32" width="1.7109375" style="19" customWidth="1"/>
    <col min="33" max="33" width="12.7109375" style="19" customWidth="1"/>
    <col min="34" max="34" width="1.7109375" style="19" customWidth="1"/>
    <col min="35" max="35" width="12.7109375" style="19" customWidth="1"/>
    <col min="36" max="36" width="0.85546875" style="19" customWidth="1"/>
    <col min="37" max="16384" width="8.85546875" style="19"/>
  </cols>
  <sheetData>
    <row r="1" spans="2:36" x14ac:dyDescent="0.2">
      <c r="F1" s="131"/>
      <c r="G1" s="124"/>
      <c r="H1" s="124"/>
      <c r="I1" s="125" t="s">
        <v>168</v>
      </c>
      <c r="J1" s="124"/>
      <c r="K1" s="124"/>
      <c r="L1" s="131"/>
      <c r="M1" s="124"/>
      <c r="N1" s="124"/>
      <c r="O1" s="125" t="s">
        <v>169</v>
      </c>
      <c r="P1" s="124"/>
      <c r="Q1" s="124"/>
      <c r="R1" s="131"/>
      <c r="S1" s="124"/>
      <c r="T1" s="124"/>
      <c r="U1" s="125" t="s">
        <v>170</v>
      </c>
      <c r="V1" s="124"/>
      <c r="W1" s="124"/>
      <c r="X1" s="131"/>
      <c r="Y1" s="124"/>
      <c r="Z1" s="124"/>
      <c r="AA1" s="125" t="s">
        <v>171</v>
      </c>
      <c r="AB1" s="124"/>
      <c r="AC1" s="124"/>
      <c r="AD1" s="131"/>
      <c r="AE1" s="124"/>
      <c r="AF1" s="124"/>
      <c r="AG1" s="125" t="s">
        <v>172</v>
      </c>
      <c r="AH1" s="124"/>
      <c r="AI1" s="124"/>
      <c r="AJ1" s="131"/>
    </row>
    <row r="2" spans="2:36" x14ac:dyDescent="0.2">
      <c r="F2" s="131"/>
      <c r="G2" s="124"/>
      <c r="I2" s="125" t="s">
        <v>11</v>
      </c>
      <c r="J2" s="132"/>
      <c r="K2" s="124"/>
      <c r="L2" s="131"/>
      <c r="M2" s="124"/>
      <c r="O2" s="125" t="s">
        <v>11</v>
      </c>
      <c r="P2" s="132"/>
      <c r="Q2" s="124"/>
      <c r="R2" s="131"/>
      <c r="S2" s="124"/>
      <c r="U2" s="125" t="s">
        <v>11</v>
      </c>
      <c r="V2" s="132"/>
      <c r="W2" s="124"/>
      <c r="X2" s="131"/>
      <c r="Y2" s="124"/>
      <c r="AA2" s="125" t="s">
        <v>11</v>
      </c>
      <c r="AB2" s="132"/>
      <c r="AC2" s="124"/>
      <c r="AD2" s="131"/>
      <c r="AE2" s="124"/>
      <c r="AG2" s="125" t="s">
        <v>11</v>
      </c>
      <c r="AH2" s="132"/>
      <c r="AI2" s="124"/>
      <c r="AJ2" s="131"/>
    </row>
    <row r="3" spans="2:36" s="133" customFormat="1" x14ac:dyDescent="0.2">
      <c r="C3" s="134" t="s">
        <v>12</v>
      </c>
      <c r="F3" s="135"/>
      <c r="G3" s="133">
        <v>44409</v>
      </c>
      <c r="I3" s="133">
        <v>44440</v>
      </c>
      <c r="K3" s="133">
        <v>44470</v>
      </c>
      <c r="L3" s="135"/>
      <c r="M3" s="133">
        <v>44501</v>
      </c>
      <c r="O3" s="133">
        <v>44531</v>
      </c>
      <c r="Q3" s="133">
        <v>44562</v>
      </c>
      <c r="R3" s="135"/>
      <c r="S3" s="133">
        <v>44593</v>
      </c>
      <c r="U3" s="133">
        <v>44621</v>
      </c>
      <c r="W3" s="133">
        <v>44652</v>
      </c>
      <c r="X3" s="135"/>
      <c r="Y3" s="133">
        <v>44682</v>
      </c>
      <c r="AA3" s="133">
        <v>44713</v>
      </c>
      <c r="AC3" s="133">
        <v>44743</v>
      </c>
      <c r="AD3" s="135"/>
      <c r="AE3" s="133">
        <v>44774</v>
      </c>
      <c r="AG3" s="133">
        <v>44805</v>
      </c>
      <c r="AI3" s="133">
        <v>44835</v>
      </c>
      <c r="AJ3" s="135"/>
    </row>
    <row r="4" spans="2:36" s="133" customFormat="1" x14ac:dyDescent="0.2">
      <c r="C4" s="134" t="s">
        <v>173</v>
      </c>
      <c r="F4" s="135"/>
      <c r="G4" s="136">
        <v>44377</v>
      </c>
      <c r="I4" s="136">
        <v>44377</v>
      </c>
      <c r="K4" s="136">
        <v>44377</v>
      </c>
      <c r="L4" s="135"/>
      <c r="M4" s="136">
        <v>44469</v>
      </c>
      <c r="O4" s="136">
        <v>44469</v>
      </c>
      <c r="Q4" s="136">
        <v>44469</v>
      </c>
      <c r="R4" s="135"/>
      <c r="S4" s="136">
        <v>44561</v>
      </c>
      <c r="U4" s="136">
        <v>44561</v>
      </c>
      <c r="W4" s="136">
        <v>44561</v>
      </c>
      <c r="X4" s="135"/>
      <c r="Y4" s="136">
        <v>44651</v>
      </c>
      <c r="AA4" s="136">
        <v>44651</v>
      </c>
      <c r="AC4" s="136">
        <v>44651</v>
      </c>
      <c r="AD4" s="135"/>
      <c r="AE4" s="136">
        <v>44742</v>
      </c>
      <c r="AG4" s="136">
        <v>44742</v>
      </c>
      <c r="AI4" s="136">
        <v>44742</v>
      </c>
      <c r="AJ4" s="135"/>
    </row>
    <row r="5" spans="2:36" s="133" customFormat="1" ht="7.15" customHeight="1" x14ac:dyDescent="0.2">
      <c r="C5" s="134"/>
      <c r="F5" s="135"/>
      <c r="G5" s="136"/>
      <c r="I5" s="136"/>
      <c r="K5" s="136"/>
      <c r="L5" s="135"/>
      <c r="M5" s="136"/>
      <c r="O5" s="136"/>
      <c r="Q5" s="136"/>
      <c r="R5" s="135"/>
      <c r="S5" s="136"/>
      <c r="U5" s="136"/>
      <c r="W5" s="136"/>
      <c r="X5" s="135"/>
      <c r="Y5" s="136"/>
      <c r="AA5" s="136"/>
      <c r="AC5" s="136"/>
      <c r="AD5" s="135"/>
      <c r="AE5" s="136"/>
      <c r="AG5" s="136"/>
      <c r="AI5" s="136"/>
      <c r="AJ5" s="135"/>
    </row>
    <row r="6" spans="2:36" x14ac:dyDescent="0.2">
      <c r="B6" s="19" t="s">
        <v>13</v>
      </c>
      <c r="F6" s="131"/>
      <c r="L6" s="131"/>
      <c r="R6" s="131"/>
      <c r="X6" s="131"/>
      <c r="AD6" s="131"/>
      <c r="AJ6" s="131"/>
    </row>
    <row r="7" spans="2:36" x14ac:dyDescent="0.2">
      <c r="C7" s="19" t="s">
        <v>2</v>
      </c>
      <c r="F7" s="131"/>
      <c r="G7" s="137">
        <f>G43</f>
        <v>21782.178217821784</v>
      </c>
      <c r="I7" s="137">
        <f>I43</f>
        <v>21782.178217821784</v>
      </c>
      <c r="J7" s="116"/>
      <c r="K7" s="137">
        <f>K43</f>
        <v>21782.178217821784</v>
      </c>
      <c r="L7" s="131"/>
      <c r="M7" s="137">
        <f>M43</f>
        <v>21782.178217821784</v>
      </c>
      <c r="O7" s="137">
        <f>O43</f>
        <v>21782.178217821784</v>
      </c>
      <c r="P7" s="116"/>
      <c r="Q7" s="137">
        <f>Q43</f>
        <v>21782.178217821784</v>
      </c>
      <c r="R7" s="131"/>
      <c r="S7" s="137">
        <f>S43</f>
        <v>21782.178217821784</v>
      </c>
      <c r="U7" s="137">
        <f>U43</f>
        <v>21782.178217821784</v>
      </c>
      <c r="V7" s="116"/>
      <c r="W7" s="137">
        <f>W43</f>
        <v>21782.178217821784</v>
      </c>
      <c r="X7" s="131"/>
      <c r="Y7" s="137">
        <f>Y43</f>
        <v>21782.178217821784</v>
      </c>
      <c r="AA7" s="137">
        <f>AA43</f>
        <v>21782.178217821784</v>
      </c>
      <c r="AB7" s="116"/>
      <c r="AC7" s="137">
        <f>AC43</f>
        <v>21782.178217821784</v>
      </c>
      <c r="AD7" s="131"/>
      <c r="AE7" s="137">
        <f>AE43</f>
        <v>21782.178217821784</v>
      </c>
      <c r="AG7" s="137">
        <f>AG43</f>
        <v>21782.178217821784</v>
      </c>
      <c r="AH7" s="116"/>
      <c r="AI7" s="137">
        <f>AI43</f>
        <v>21782.178217821784</v>
      </c>
      <c r="AJ7" s="131"/>
    </row>
    <row r="8" spans="2:36" x14ac:dyDescent="0.2">
      <c r="C8" s="19" t="s">
        <v>5</v>
      </c>
      <c r="F8" s="131"/>
      <c r="G8" s="137">
        <f>G55</f>
        <v>9000</v>
      </c>
      <c r="I8" s="137">
        <f>I55</f>
        <v>9000</v>
      </c>
      <c r="J8" s="116"/>
      <c r="K8" s="137">
        <f>K55</f>
        <v>9000</v>
      </c>
      <c r="L8" s="131"/>
      <c r="M8" s="137">
        <f>M55</f>
        <v>9000</v>
      </c>
      <c r="O8" s="137">
        <f>O55</f>
        <v>9000</v>
      </c>
      <c r="P8" s="116"/>
      <c r="Q8" s="137">
        <f>Q55</f>
        <v>9000</v>
      </c>
      <c r="R8" s="131"/>
      <c r="S8" s="137">
        <f>S55</f>
        <v>9000</v>
      </c>
      <c r="U8" s="137">
        <f>U55</f>
        <v>9000</v>
      </c>
      <c r="V8" s="116"/>
      <c r="W8" s="137">
        <f>W55</f>
        <v>9000</v>
      </c>
      <c r="X8" s="131"/>
      <c r="Y8" s="137">
        <f>Y55</f>
        <v>9000</v>
      </c>
      <c r="AA8" s="137">
        <f>AA55</f>
        <v>9000</v>
      </c>
      <c r="AB8" s="116"/>
      <c r="AC8" s="137">
        <f>AC55</f>
        <v>9000</v>
      </c>
      <c r="AD8" s="131"/>
      <c r="AE8" s="137">
        <f>AE55</f>
        <v>9000</v>
      </c>
      <c r="AG8" s="137">
        <f>AG55</f>
        <v>9000</v>
      </c>
      <c r="AH8" s="116"/>
      <c r="AI8" s="137">
        <f>AI55</f>
        <v>9000</v>
      </c>
      <c r="AJ8" s="131"/>
    </row>
    <row r="9" spans="2:36" x14ac:dyDescent="0.2">
      <c r="C9" s="19" t="s">
        <v>6</v>
      </c>
      <c r="F9" s="131"/>
      <c r="G9" s="137">
        <f>G65</f>
        <v>21000</v>
      </c>
      <c r="I9" s="137">
        <f>I65</f>
        <v>21000</v>
      </c>
      <c r="J9" s="116"/>
      <c r="K9" s="137">
        <f>K65</f>
        <v>21000</v>
      </c>
      <c r="L9" s="131"/>
      <c r="M9" s="137">
        <f>M65</f>
        <v>21000</v>
      </c>
      <c r="O9" s="137">
        <f>O65</f>
        <v>21000</v>
      </c>
      <c r="P9" s="116"/>
      <c r="Q9" s="137">
        <f>Q65</f>
        <v>21000</v>
      </c>
      <c r="R9" s="131"/>
      <c r="S9" s="137">
        <f>S65</f>
        <v>21000</v>
      </c>
      <c r="U9" s="137">
        <f>U65</f>
        <v>21000</v>
      </c>
      <c r="V9" s="116"/>
      <c r="W9" s="137">
        <f>W65</f>
        <v>21000</v>
      </c>
      <c r="X9" s="131"/>
      <c r="Y9" s="137">
        <f>Y65</f>
        <v>21000</v>
      </c>
      <c r="AA9" s="137">
        <f>AA65</f>
        <v>21000</v>
      </c>
      <c r="AB9" s="116"/>
      <c r="AC9" s="137">
        <f>AC65</f>
        <v>21000</v>
      </c>
      <c r="AD9" s="131"/>
      <c r="AE9" s="137">
        <f>AE65</f>
        <v>21000</v>
      </c>
      <c r="AG9" s="137">
        <f>AG65</f>
        <v>21000</v>
      </c>
      <c r="AH9" s="116"/>
      <c r="AI9" s="137">
        <f>AI65</f>
        <v>21000</v>
      </c>
      <c r="AJ9" s="131"/>
    </row>
    <row r="10" spans="2:36" x14ac:dyDescent="0.2">
      <c r="C10" s="121" t="s">
        <v>174</v>
      </c>
      <c r="F10" s="131"/>
      <c r="G10" s="138">
        <f>SUM(G7:G9)</f>
        <v>51782.178217821784</v>
      </c>
      <c r="I10" s="138">
        <f>SUM(I7:I9)</f>
        <v>51782.178217821784</v>
      </c>
      <c r="J10" s="116"/>
      <c r="K10" s="138">
        <f>SUM(K7:K9)</f>
        <v>51782.178217821784</v>
      </c>
      <c r="L10" s="131"/>
      <c r="M10" s="138">
        <f>SUM(M7:M9)</f>
        <v>51782.178217821784</v>
      </c>
      <c r="O10" s="138">
        <f>SUM(O7:O9)</f>
        <v>51782.178217821784</v>
      </c>
      <c r="P10" s="116"/>
      <c r="Q10" s="138">
        <f>SUM(Q7:Q9)</f>
        <v>51782.178217821784</v>
      </c>
      <c r="R10" s="131"/>
      <c r="S10" s="138">
        <f>SUM(S7:S9)</f>
        <v>51782.178217821784</v>
      </c>
      <c r="U10" s="138">
        <f>SUM(U7:U9)</f>
        <v>51782.178217821784</v>
      </c>
      <c r="V10" s="116"/>
      <c r="W10" s="138">
        <f>SUM(W7:W9)</f>
        <v>51782.178217821784</v>
      </c>
      <c r="X10" s="131"/>
      <c r="Y10" s="138">
        <f>SUM(Y7:Y9)</f>
        <v>51782.178217821784</v>
      </c>
      <c r="AA10" s="138">
        <f>SUM(AA7:AA9)</f>
        <v>51782.178217821784</v>
      </c>
      <c r="AB10" s="116"/>
      <c r="AC10" s="138">
        <f>SUM(AC7:AC9)</f>
        <v>51782.178217821784</v>
      </c>
      <c r="AD10" s="131"/>
      <c r="AE10" s="138">
        <f>SUM(AE7:AE9)</f>
        <v>51782.178217821784</v>
      </c>
      <c r="AG10" s="138">
        <f>SUM(AG7:AG9)</f>
        <v>51782.178217821784</v>
      </c>
      <c r="AH10" s="116"/>
      <c r="AI10" s="138">
        <f>SUM(AI7:AI9)</f>
        <v>51782.178217821784</v>
      </c>
      <c r="AJ10" s="131"/>
    </row>
    <row r="11" spans="2:36" s="133" customFormat="1" ht="7.15" customHeight="1" x14ac:dyDescent="0.2">
      <c r="C11" s="134"/>
      <c r="F11" s="135"/>
      <c r="G11" s="136"/>
      <c r="I11" s="136"/>
      <c r="K11" s="136"/>
      <c r="L11" s="135"/>
      <c r="M11" s="136"/>
      <c r="O11" s="136"/>
      <c r="Q11" s="136"/>
      <c r="R11" s="135"/>
      <c r="S11" s="136"/>
      <c r="U11" s="136"/>
      <c r="W11" s="136"/>
      <c r="X11" s="135"/>
      <c r="Y11" s="136"/>
      <c r="AA11" s="136"/>
      <c r="AC11" s="136"/>
      <c r="AD11" s="135"/>
      <c r="AE11" s="136"/>
      <c r="AG11" s="136"/>
      <c r="AI11" s="136"/>
      <c r="AJ11" s="135"/>
    </row>
    <row r="12" spans="2:36" x14ac:dyDescent="0.2">
      <c r="B12" s="19" t="s">
        <v>14</v>
      </c>
      <c r="F12" s="131"/>
      <c r="G12" s="139"/>
      <c r="I12" s="139"/>
      <c r="K12" s="139"/>
      <c r="L12" s="131"/>
      <c r="M12" s="139"/>
      <c r="O12" s="139"/>
      <c r="Q12" s="139"/>
      <c r="R12" s="131"/>
      <c r="S12" s="139"/>
      <c r="U12" s="139"/>
      <c r="W12" s="139"/>
      <c r="X12" s="131"/>
      <c r="Y12" s="139"/>
      <c r="AA12" s="139"/>
      <c r="AC12" s="139"/>
      <c r="AD12" s="131"/>
      <c r="AE12" s="139"/>
      <c r="AG12" s="139"/>
      <c r="AI12" s="139"/>
      <c r="AJ12" s="131"/>
    </row>
    <row r="13" spans="2:36" x14ac:dyDescent="0.2">
      <c r="C13" s="19" t="s">
        <v>2</v>
      </c>
      <c r="F13" s="131"/>
      <c r="G13" s="137">
        <f>G49</f>
        <v>30142.297029702971</v>
      </c>
      <c r="I13" s="137">
        <f>I49</f>
        <v>30142.297029702971</v>
      </c>
      <c r="J13" s="116"/>
      <c r="K13" s="137">
        <f>K49</f>
        <v>30142.297029702971</v>
      </c>
      <c r="L13" s="131"/>
      <c r="M13" s="137">
        <f>M49</f>
        <v>30142.297029702971</v>
      </c>
      <c r="O13" s="137">
        <f>O49</f>
        <v>30142.297029702971</v>
      </c>
      <c r="P13" s="116"/>
      <c r="Q13" s="137">
        <f>Q49</f>
        <v>30142.297029702971</v>
      </c>
      <c r="R13" s="131"/>
      <c r="S13" s="137">
        <f>S49</f>
        <v>30142.297029702971</v>
      </c>
      <c r="U13" s="137">
        <f>U49</f>
        <v>30142.297029702971</v>
      </c>
      <c r="V13" s="116"/>
      <c r="W13" s="137">
        <f>W49</f>
        <v>30142.297029702971</v>
      </c>
      <c r="X13" s="131"/>
      <c r="Y13" s="137">
        <f>Y49</f>
        <v>30142.297029702971</v>
      </c>
      <c r="AA13" s="137">
        <f>AA49</f>
        <v>30142.297029702971</v>
      </c>
      <c r="AB13" s="116"/>
      <c r="AC13" s="137">
        <f>AC49</f>
        <v>30142.297029702971</v>
      </c>
      <c r="AD13" s="131"/>
      <c r="AE13" s="137">
        <f>AE49</f>
        <v>30142.297029702971</v>
      </c>
      <c r="AG13" s="137">
        <f>AG49</f>
        <v>30142.297029702971</v>
      </c>
      <c r="AH13" s="116"/>
      <c r="AI13" s="137">
        <f>AI49</f>
        <v>30142.297029702971</v>
      </c>
      <c r="AJ13" s="131"/>
    </row>
    <row r="14" spans="2:36" x14ac:dyDescent="0.2">
      <c r="C14" s="19" t="s">
        <v>5</v>
      </c>
      <c r="F14" s="131"/>
      <c r="G14" s="137">
        <v>0</v>
      </c>
      <c r="I14" s="137">
        <v>0</v>
      </c>
      <c r="J14" s="116"/>
      <c r="K14" s="137">
        <v>0</v>
      </c>
      <c r="L14" s="131"/>
      <c r="M14" s="137">
        <v>0</v>
      </c>
      <c r="O14" s="137">
        <v>0</v>
      </c>
      <c r="P14" s="116"/>
      <c r="Q14" s="137">
        <v>0</v>
      </c>
      <c r="R14" s="131"/>
      <c r="S14" s="137">
        <v>0</v>
      </c>
      <c r="U14" s="137">
        <v>0</v>
      </c>
      <c r="V14" s="116"/>
      <c r="W14" s="137">
        <v>0</v>
      </c>
      <c r="X14" s="131"/>
      <c r="Y14" s="137">
        <v>0</v>
      </c>
      <c r="AA14" s="137">
        <v>0</v>
      </c>
      <c r="AB14" s="116"/>
      <c r="AC14" s="137">
        <v>0</v>
      </c>
      <c r="AD14" s="131"/>
      <c r="AE14" s="137">
        <v>0</v>
      </c>
      <c r="AG14" s="137">
        <v>0</v>
      </c>
      <c r="AH14" s="116"/>
      <c r="AI14" s="137">
        <v>0</v>
      </c>
      <c r="AJ14" s="131"/>
    </row>
    <row r="15" spans="2:36" x14ac:dyDescent="0.2">
      <c r="C15" s="19" t="s">
        <v>6</v>
      </c>
      <c r="F15" s="131"/>
      <c r="G15" s="137">
        <v>0</v>
      </c>
      <c r="I15" s="137">
        <v>0</v>
      </c>
      <c r="J15" s="116"/>
      <c r="K15" s="137">
        <v>0</v>
      </c>
      <c r="L15" s="131"/>
      <c r="M15" s="137">
        <v>0</v>
      </c>
      <c r="O15" s="137">
        <v>0</v>
      </c>
      <c r="P15" s="116"/>
      <c r="Q15" s="137">
        <v>0</v>
      </c>
      <c r="R15" s="131"/>
      <c r="S15" s="137">
        <v>0</v>
      </c>
      <c r="U15" s="137">
        <v>0</v>
      </c>
      <c r="V15" s="116"/>
      <c r="W15" s="137">
        <v>0</v>
      </c>
      <c r="X15" s="131"/>
      <c r="Y15" s="137">
        <v>0</v>
      </c>
      <c r="AA15" s="137">
        <v>0</v>
      </c>
      <c r="AB15" s="116"/>
      <c r="AC15" s="137">
        <v>0</v>
      </c>
      <c r="AD15" s="131"/>
      <c r="AE15" s="137">
        <v>0</v>
      </c>
      <c r="AG15" s="137">
        <v>0</v>
      </c>
      <c r="AH15" s="116"/>
      <c r="AI15" s="137">
        <v>0</v>
      </c>
      <c r="AJ15" s="131"/>
    </row>
    <row r="16" spans="2:36" x14ac:dyDescent="0.2">
      <c r="C16" s="121" t="s">
        <v>175</v>
      </c>
      <c r="F16" s="131"/>
      <c r="G16" s="138">
        <f>SUM(G13:G15)</f>
        <v>30142.297029702971</v>
      </c>
      <c r="I16" s="138">
        <f>SUM(I13:I15)</f>
        <v>30142.297029702971</v>
      </c>
      <c r="J16" s="116"/>
      <c r="K16" s="138">
        <f>SUM(K13:K15)</f>
        <v>30142.297029702971</v>
      </c>
      <c r="L16" s="131"/>
      <c r="M16" s="138">
        <f>SUM(M13:M15)</f>
        <v>30142.297029702971</v>
      </c>
      <c r="O16" s="138">
        <f>SUM(O13:O15)</f>
        <v>30142.297029702971</v>
      </c>
      <c r="P16" s="116"/>
      <c r="Q16" s="138">
        <f>SUM(Q13:Q15)</f>
        <v>30142.297029702971</v>
      </c>
      <c r="R16" s="131"/>
      <c r="S16" s="138">
        <f>SUM(S13:S15)</f>
        <v>30142.297029702971</v>
      </c>
      <c r="U16" s="138">
        <f>SUM(U13:U15)</f>
        <v>30142.297029702971</v>
      </c>
      <c r="V16" s="116"/>
      <c r="W16" s="138">
        <f>SUM(W13:W15)</f>
        <v>30142.297029702971</v>
      </c>
      <c r="X16" s="131"/>
      <c r="Y16" s="138">
        <f>SUM(Y13:Y15)</f>
        <v>30142.297029702971</v>
      </c>
      <c r="AA16" s="138">
        <f>SUM(AA13:AA15)</f>
        <v>30142.297029702971</v>
      </c>
      <c r="AB16" s="116"/>
      <c r="AC16" s="138">
        <f>SUM(AC13:AC15)</f>
        <v>30142.297029702971</v>
      </c>
      <c r="AD16" s="131"/>
      <c r="AE16" s="138">
        <f>SUM(AE13:AE15)</f>
        <v>30142.297029702971</v>
      </c>
      <c r="AG16" s="138">
        <f>SUM(AG13:AG15)</f>
        <v>30142.297029702971</v>
      </c>
      <c r="AH16" s="116"/>
      <c r="AI16" s="138">
        <f>SUM(AI13:AI15)</f>
        <v>30142.297029702971</v>
      </c>
      <c r="AJ16" s="131"/>
    </row>
    <row r="17" spans="1:36" s="133" customFormat="1" ht="7.15" customHeight="1" thickBot="1" x14ac:dyDescent="0.25">
      <c r="C17" s="134"/>
      <c r="F17" s="135"/>
      <c r="G17" s="140"/>
      <c r="I17" s="140"/>
      <c r="K17" s="140"/>
      <c r="L17" s="135"/>
      <c r="M17" s="140"/>
      <c r="O17" s="140"/>
      <c r="Q17" s="140"/>
      <c r="R17" s="135"/>
      <c r="S17" s="140"/>
      <c r="U17" s="140"/>
      <c r="W17" s="140"/>
      <c r="X17" s="135"/>
      <c r="Y17" s="140"/>
      <c r="AA17" s="140"/>
      <c r="AC17" s="140"/>
      <c r="AD17" s="135"/>
      <c r="AE17" s="140"/>
      <c r="AG17" s="140"/>
      <c r="AI17" s="140"/>
      <c r="AJ17" s="135"/>
    </row>
    <row r="18" spans="1:36" ht="13.5" thickTop="1" x14ac:dyDescent="0.2">
      <c r="C18" s="121" t="s">
        <v>15</v>
      </c>
      <c r="F18" s="131"/>
      <c r="G18" s="137">
        <f>SUM(G7:G15)</f>
        <v>133706.65346534655</v>
      </c>
      <c r="I18" s="137">
        <f>SUM(I7:I15)</f>
        <v>133706.65346534655</v>
      </c>
      <c r="K18" s="137">
        <f>SUM(K7:K15)</f>
        <v>133706.65346534655</v>
      </c>
      <c r="L18" s="131"/>
      <c r="M18" s="137">
        <f>SUM(M7:M15)</f>
        <v>133706.65346534655</v>
      </c>
      <c r="O18" s="137">
        <f>SUM(O7:O15)</f>
        <v>133706.65346534655</v>
      </c>
      <c r="Q18" s="137">
        <f>SUM(Q7:Q15)</f>
        <v>133706.65346534655</v>
      </c>
      <c r="R18" s="131"/>
      <c r="S18" s="137">
        <f>SUM(S7:S15)</f>
        <v>133706.65346534655</v>
      </c>
      <c r="U18" s="137">
        <f>SUM(U7:U15)</f>
        <v>133706.65346534655</v>
      </c>
      <c r="W18" s="137">
        <f>SUM(W7:W15)</f>
        <v>133706.65346534655</v>
      </c>
      <c r="X18" s="131"/>
      <c r="Y18" s="137">
        <f>SUM(Y7:Y15)</f>
        <v>133706.65346534655</v>
      </c>
      <c r="AA18" s="137">
        <f>SUM(AA7:AA15)</f>
        <v>133706.65346534655</v>
      </c>
      <c r="AC18" s="137">
        <f>SUM(AC7:AC15)</f>
        <v>133706.65346534655</v>
      </c>
      <c r="AD18" s="131"/>
      <c r="AE18" s="137">
        <f>SUM(AE7:AE15)</f>
        <v>133706.65346534655</v>
      </c>
      <c r="AG18" s="137">
        <f>SUM(AG7:AG15)</f>
        <v>133706.65346534655</v>
      </c>
      <c r="AI18" s="137">
        <f>SUM(AI7:AI15)</f>
        <v>133706.65346534655</v>
      </c>
      <c r="AJ18" s="131"/>
    </row>
    <row r="19" spans="1:36" s="133" customFormat="1" ht="7.15" customHeight="1" x14ac:dyDescent="0.2">
      <c r="C19" s="134"/>
      <c r="F19" s="135"/>
      <c r="G19" s="136"/>
      <c r="I19" s="136"/>
      <c r="K19" s="136"/>
      <c r="L19" s="135"/>
      <c r="M19" s="136"/>
      <c r="O19" s="136"/>
      <c r="Q19" s="136"/>
      <c r="R19" s="135"/>
      <c r="S19" s="136"/>
      <c r="U19" s="136"/>
      <c r="W19" s="136"/>
      <c r="X19" s="135"/>
      <c r="Y19" s="136"/>
      <c r="AA19" s="136"/>
      <c r="AC19" s="136"/>
      <c r="AD19" s="135"/>
      <c r="AE19" s="136"/>
      <c r="AG19" s="136"/>
      <c r="AI19" s="136"/>
      <c r="AJ19" s="135"/>
    </row>
    <row r="20" spans="1:36" x14ac:dyDescent="0.2">
      <c r="C20" s="19" t="s">
        <v>176</v>
      </c>
      <c r="F20" s="131"/>
      <c r="G20" s="141">
        <v>27000</v>
      </c>
      <c r="I20" s="141">
        <v>27000</v>
      </c>
      <c r="J20" s="116"/>
      <c r="K20" s="141">
        <v>27000</v>
      </c>
      <c r="L20" s="131"/>
      <c r="M20" s="141">
        <v>27000</v>
      </c>
      <c r="O20" s="141">
        <v>27000</v>
      </c>
      <c r="P20" s="116"/>
      <c r="Q20" s="141">
        <v>27000</v>
      </c>
      <c r="R20" s="131"/>
      <c r="S20" s="141">
        <v>27000</v>
      </c>
      <c r="U20" s="141">
        <v>27000</v>
      </c>
      <c r="V20" s="116"/>
      <c r="W20" s="141">
        <v>27000</v>
      </c>
      <c r="X20" s="131"/>
      <c r="Y20" s="141">
        <v>27000</v>
      </c>
      <c r="AA20" s="141">
        <v>27000</v>
      </c>
      <c r="AB20" s="116"/>
      <c r="AC20" s="141">
        <v>27000</v>
      </c>
      <c r="AD20" s="131"/>
      <c r="AE20" s="141">
        <v>27000</v>
      </c>
      <c r="AG20" s="141">
        <v>27000</v>
      </c>
      <c r="AH20" s="116"/>
      <c r="AI20" s="141">
        <v>27000</v>
      </c>
      <c r="AJ20" s="131"/>
    </row>
    <row r="21" spans="1:36" s="133" customFormat="1" ht="7.15" customHeight="1" x14ac:dyDescent="0.2">
      <c r="C21" s="134"/>
      <c r="F21" s="135"/>
      <c r="G21" s="136"/>
      <c r="I21" s="136"/>
      <c r="K21" s="136"/>
      <c r="L21" s="135"/>
      <c r="M21" s="136"/>
      <c r="O21" s="136"/>
      <c r="Q21" s="136"/>
      <c r="R21" s="135"/>
      <c r="S21" s="136"/>
      <c r="U21" s="136"/>
      <c r="W21" s="136"/>
      <c r="X21" s="135"/>
      <c r="Y21" s="136"/>
      <c r="AA21" s="136"/>
      <c r="AC21" s="136"/>
      <c r="AD21" s="135"/>
      <c r="AE21" s="136"/>
      <c r="AG21" s="136"/>
      <c r="AI21" s="136"/>
      <c r="AJ21" s="135"/>
    </row>
    <row r="22" spans="1:36" x14ac:dyDescent="0.2">
      <c r="A22" s="19" t="s">
        <v>16</v>
      </c>
      <c r="F22" s="131"/>
      <c r="G22" s="142">
        <f>G18/G20</f>
        <v>4.9520982764943167</v>
      </c>
      <c r="H22" s="143"/>
      <c r="I22" s="142">
        <f>I18/I20</f>
        <v>4.9520982764943167</v>
      </c>
      <c r="J22" s="143"/>
      <c r="K22" s="142">
        <f>K18/K20</f>
        <v>4.9520982764943167</v>
      </c>
      <c r="L22" s="131"/>
      <c r="M22" s="142">
        <f>M18/M20</f>
        <v>4.9520982764943167</v>
      </c>
      <c r="N22" s="143"/>
      <c r="O22" s="142">
        <f>O18/O20</f>
        <v>4.9520982764943167</v>
      </c>
      <c r="P22" s="143"/>
      <c r="Q22" s="142">
        <f>Q18/Q20</f>
        <v>4.9520982764943167</v>
      </c>
      <c r="R22" s="131"/>
      <c r="S22" s="142">
        <f>S18/S20</f>
        <v>4.9520982764943167</v>
      </c>
      <c r="T22" s="143"/>
      <c r="U22" s="142">
        <f>U18/U20</f>
        <v>4.9520982764943167</v>
      </c>
      <c r="V22" s="143"/>
      <c r="W22" s="142">
        <f>W18/W20</f>
        <v>4.9520982764943167</v>
      </c>
      <c r="X22" s="131"/>
      <c r="Y22" s="142">
        <f>Y18/Y20</f>
        <v>4.9520982764943167</v>
      </c>
      <c r="Z22" s="143"/>
      <c r="AA22" s="142">
        <f>AA18/AA20</f>
        <v>4.9520982764943167</v>
      </c>
      <c r="AB22" s="143"/>
      <c r="AC22" s="142">
        <f>AC18/AC20</f>
        <v>4.9520982764943167</v>
      </c>
      <c r="AD22" s="131"/>
      <c r="AE22" s="142">
        <f>AE18/AE20</f>
        <v>4.9520982764943167</v>
      </c>
      <c r="AF22" s="143"/>
      <c r="AG22" s="142">
        <f>AG18/AG20</f>
        <v>4.9520982764943167</v>
      </c>
      <c r="AH22" s="143"/>
      <c r="AI22" s="142">
        <f>AI18/AI20</f>
        <v>4.9520982764943167</v>
      </c>
      <c r="AJ22" s="131"/>
    </row>
    <row r="23" spans="1:36" x14ac:dyDescent="0.2">
      <c r="A23" s="19" t="s">
        <v>17</v>
      </c>
      <c r="F23" s="131"/>
      <c r="G23" s="144">
        <v>7.25</v>
      </c>
      <c r="I23" s="144">
        <v>7.25</v>
      </c>
      <c r="K23" s="144">
        <v>7.25</v>
      </c>
      <c r="L23" s="131"/>
      <c r="M23" s="144">
        <v>7.25</v>
      </c>
      <c r="O23" s="144">
        <v>7.25</v>
      </c>
      <c r="Q23" s="144">
        <v>7.25</v>
      </c>
      <c r="R23" s="131"/>
      <c r="S23" s="144">
        <v>7.25</v>
      </c>
      <c r="U23" s="144">
        <v>7.25</v>
      </c>
      <c r="W23" s="144">
        <v>7.25</v>
      </c>
      <c r="X23" s="131"/>
      <c r="Y23" s="144">
        <v>7.25</v>
      </c>
      <c r="AA23" s="144">
        <v>7.25</v>
      </c>
      <c r="AC23" s="144">
        <v>7.25</v>
      </c>
      <c r="AD23" s="131"/>
      <c r="AE23" s="144">
        <v>7.25</v>
      </c>
      <c r="AG23" s="144">
        <v>7.25</v>
      </c>
      <c r="AI23" s="144">
        <v>7.25</v>
      </c>
      <c r="AJ23" s="131"/>
    </row>
    <row r="24" spans="1:36" x14ac:dyDescent="0.2">
      <c r="B24" s="19" t="s">
        <v>18</v>
      </c>
      <c r="F24" s="131"/>
      <c r="G24" s="137">
        <f>G22-G23</f>
        <v>-2.2979017235056833</v>
      </c>
      <c r="I24" s="137">
        <f>I22-I23</f>
        <v>-2.2979017235056833</v>
      </c>
      <c r="K24" s="137">
        <f>K22-K23</f>
        <v>-2.2979017235056833</v>
      </c>
      <c r="L24" s="131"/>
      <c r="M24" s="137">
        <f>M22-M23</f>
        <v>-2.2979017235056833</v>
      </c>
      <c r="O24" s="137">
        <f>O22-O23</f>
        <v>-2.2979017235056833</v>
      </c>
      <c r="Q24" s="137">
        <f>Q22-Q23</f>
        <v>-2.2979017235056833</v>
      </c>
      <c r="R24" s="131"/>
      <c r="S24" s="137">
        <f>S22-S23</f>
        <v>-2.2979017235056833</v>
      </c>
      <c r="U24" s="137">
        <f>U22-U23</f>
        <v>-2.2979017235056833</v>
      </c>
      <c r="W24" s="137">
        <f>W22-W23</f>
        <v>-2.2979017235056833</v>
      </c>
      <c r="X24" s="131"/>
      <c r="Y24" s="137">
        <f>Y22-Y23</f>
        <v>-2.2979017235056833</v>
      </c>
      <c r="AA24" s="137">
        <f>AA22-AA23</f>
        <v>-2.2979017235056833</v>
      </c>
      <c r="AC24" s="137">
        <f>AC22-AC23</f>
        <v>-2.2979017235056833</v>
      </c>
      <c r="AD24" s="131"/>
      <c r="AE24" s="137">
        <f>AE22-AE23</f>
        <v>-2.2979017235056833</v>
      </c>
      <c r="AG24" s="137">
        <f>AG22-AG23</f>
        <v>-2.2979017235056833</v>
      </c>
      <c r="AI24" s="137">
        <f>AI22-AI23</f>
        <v>-2.2979017235056833</v>
      </c>
      <c r="AJ24" s="131"/>
    </row>
    <row r="25" spans="1:36" x14ac:dyDescent="0.2">
      <c r="C25" s="121" t="s">
        <v>19</v>
      </c>
      <c r="F25" s="131"/>
      <c r="G25" s="137">
        <f>G24*G20</f>
        <v>-62043.34653465345</v>
      </c>
      <c r="I25" s="137">
        <f>I24*I20</f>
        <v>-62043.34653465345</v>
      </c>
      <c r="K25" s="137">
        <f>K24*K20</f>
        <v>-62043.34653465345</v>
      </c>
      <c r="L25" s="131"/>
      <c r="M25" s="137">
        <f>M24*M20</f>
        <v>-62043.34653465345</v>
      </c>
      <c r="O25" s="137">
        <f>O24*O20</f>
        <v>-62043.34653465345</v>
      </c>
      <c r="Q25" s="137">
        <f>Q24*Q20</f>
        <v>-62043.34653465345</v>
      </c>
      <c r="R25" s="131"/>
      <c r="S25" s="137">
        <f>S24*S20</f>
        <v>-62043.34653465345</v>
      </c>
      <c r="U25" s="137">
        <f>U24*U20</f>
        <v>-62043.34653465345</v>
      </c>
      <c r="W25" s="137">
        <f>W24*W20</f>
        <v>-62043.34653465345</v>
      </c>
      <c r="X25" s="131"/>
      <c r="Y25" s="137">
        <f>Y24*Y20</f>
        <v>-62043.34653465345</v>
      </c>
      <c r="AA25" s="137">
        <f>AA24*AA20</f>
        <v>-62043.34653465345</v>
      </c>
      <c r="AC25" s="137">
        <f>AC24*AC20</f>
        <v>-62043.34653465345</v>
      </c>
      <c r="AD25" s="131"/>
      <c r="AE25" s="137">
        <f>AE24*AE20</f>
        <v>-62043.34653465345</v>
      </c>
      <c r="AG25" s="137">
        <f>AG24*AG20</f>
        <v>-62043.34653465345</v>
      </c>
      <c r="AI25" s="137">
        <f>AI24*AI20</f>
        <v>-62043.34653465345</v>
      </c>
      <c r="AJ25" s="131"/>
    </row>
    <row r="26" spans="1:36" x14ac:dyDescent="0.2">
      <c r="F26" s="131"/>
      <c r="G26" s="139">
        <f>SUM(G18:K18)/SUM(G20:K20)</f>
        <v>4.9520982764943167</v>
      </c>
      <c r="L26" s="131"/>
      <c r="M26" s="139">
        <f>SUM(M18:Q18)/SUM(M20:Q20)</f>
        <v>4.9520982764943167</v>
      </c>
      <c r="R26" s="131"/>
      <c r="S26" s="139">
        <f>SUM(S18:W18)/SUM(S20:W20)</f>
        <v>4.9520982764943167</v>
      </c>
      <c r="X26" s="131"/>
      <c r="Y26" s="139">
        <f>SUM(Y18:AC18)/SUM(Y20:AC20)</f>
        <v>4.9520982764943167</v>
      </c>
      <c r="AD26" s="131"/>
      <c r="AE26" s="139">
        <f>SUM(AE18:AI18)/SUM(AE20:AI20)</f>
        <v>4.9520982764943167</v>
      </c>
      <c r="AJ26" s="131"/>
    </row>
    <row r="27" spans="1:36" x14ac:dyDescent="0.2">
      <c r="D27" s="121" t="s">
        <v>20</v>
      </c>
      <c r="F27" s="131"/>
      <c r="G27" s="139"/>
      <c r="I27" s="121"/>
      <c r="K27" s="137">
        <f>SUM(G25:K25)</f>
        <v>-186130.03960396035</v>
      </c>
      <c r="L27" s="131"/>
      <c r="M27" s="139"/>
      <c r="O27" s="121"/>
      <c r="Q27" s="137">
        <f>SUM(M25:Q25)</f>
        <v>-186130.03960396035</v>
      </c>
      <c r="R27" s="131"/>
      <c r="S27" s="139"/>
      <c r="U27" s="121"/>
      <c r="W27" s="137">
        <f>SUM(S25:W25)</f>
        <v>-186130.03960396035</v>
      </c>
      <c r="X27" s="131"/>
      <c r="Y27" s="139"/>
      <c r="AA27" s="121"/>
      <c r="AC27" s="137">
        <f>SUM(Y25:AC25)</f>
        <v>-186130.03960396035</v>
      </c>
      <c r="AD27" s="131"/>
      <c r="AE27" s="139"/>
      <c r="AG27" s="121"/>
      <c r="AI27" s="137">
        <f>SUM(AE25:AI25)</f>
        <v>-186130.03960396035</v>
      </c>
      <c r="AJ27" s="131"/>
    </row>
    <row r="28" spans="1:36" x14ac:dyDescent="0.2">
      <c r="D28" s="121" t="s">
        <v>177</v>
      </c>
      <c r="F28" s="131"/>
      <c r="G28" s="139"/>
      <c r="I28" s="121" t="s">
        <v>178</v>
      </c>
      <c r="K28" s="145">
        <v>125000</v>
      </c>
      <c r="L28" s="131"/>
      <c r="M28" s="139"/>
      <c r="O28" s="121" t="s">
        <v>178</v>
      </c>
      <c r="Q28" s="145">
        <v>125000</v>
      </c>
      <c r="R28" s="131"/>
      <c r="S28" s="139"/>
      <c r="U28" s="121" t="s">
        <v>178</v>
      </c>
      <c r="W28" s="145">
        <v>125000</v>
      </c>
      <c r="X28" s="131"/>
      <c r="Y28" s="139"/>
      <c r="AA28" s="121" t="s">
        <v>178</v>
      </c>
      <c r="AC28" s="145">
        <v>125000</v>
      </c>
      <c r="AD28" s="131"/>
      <c r="AE28" s="139"/>
      <c r="AG28" s="121" t="s">
        <v>178</v>
      </c>
      <c r="AI28" s="145">
        <v>125000</v>
      </c>
      <c r="AJ28" s="131"/>
    </row>
    <row r="29" spans="1:36" x14ac:dyDescent="0.2">
      <c r="D29" s="146" t="s">
        <v>51</v>
      </c>
      <c r="F29" s="131"/>
      <c r="G29" s="139"/>
      <c r="I29" s="146" t="s">
        <v>51</v>
      </c>
      <c r="K29" s="147">
        <f>(K27/K28)</f>
        <v>-1.4890403168316828</v>
      </c>
      <c r="L29" s="131"/>
      <c r="M29" s="139"/>
      <c r="O29" s="146" t="s">
        <v>51</v>
      </c>
      <c r="Q29" s="147">
        <f>(Q27/Q28)</f>
        <v>-1.4890403168316828</v>
      </c>
      <c r="R29" s="131"/>
      <c r="S29" s="139"/>
      <c r="U29" s="146" t="s">
        <v>51</v>
      </c>
      <c r="W29" s="147">
        <f>(W27/W28)</f>
        <v>-1.4890403168316828</v>
      </c>
      <c r="X29" s="131"/>
      <c r="Y29" s="139"/>
      <c r="AA29" s="146" t="s">
        <v>51</v>
      </c>
      <c r="AC29" s="147">
        <f>(AC27/AC28)</f>
        <v>-1.4890403168316828</v>
      </c>
      <c r="AD29" s="131"/>
      <c r="AE29" s="139"/>
      <c r="AG29" s="146" t="s">
        <v>51</v>
      </c>
      <c r="AI29" s="147">
        <f>(AI27/AI28)</f>
        <v>-1.4890403168316828</v>
      </c>
      <c r="AJ29" s="131"/>
    </row>
    <row r="30" spans="1:36" x14ac:dyDescent="0.2">
      <c r="D30" s="146"/>
      <c r="G30" s="139"/>
      <c r="I30" s="146"/>
      <c r="K30" s="148"/>
      <c r="M30" s="139"/>
      <c r="O30" s="146"/>
      <c r="Q30" s="148"/>
      <c r="S30" s="139"/>
      <c r="U30" s="146"/>
      <c r="W30" s="148"/>
      <c r="Y30" s="139"/>
      <c r="AA30" s="146"/>
      <c r="AC30" s="148"/>
      <c r="AE30" s="139"/>
      <c r="AG30" s="146"/>
      <c r="AI30" s="148"/>
    </row>
    <row r="31" spans="1:36" x14ac:dyDescent="0.2">
      <c r="D31" s="146"/>
      <c r="G31" s="139"/>
      <c r="I31" s="146"/>
      <c r="K31" s="148"/>
      <c r="M31" s="139"/>
      <c r="O31" s="146"/>
      <c r="Q31" s="148"/>
      <c r="S31" s="139"/>
      <c r="U31" s="146"/>
      <c r="W31" s="148"/>
      <c r="Y31" s="139"/>
      <c r="AA31" s="146"/>
      <c r="AC31" s="148"/>
      <c r="AE31" s="139"/>
      <c r="AG31" s="146"/>
      <c r="AI31" s="148"/>
    </row>
    <row r="32" spans="1:36" x14ac:dyDescent="0.2">
      <c r="A32" s="149" t="s">
        <v>2</v>
      </c>
      <c r="G32" s="139"/>
      <c r="I32" s="121"/>
      <c r="M32" s="139"/>
      <c r="O32" s="121"/>
      <c r="S32" s="139"/>
      <c r="U32" s="121"/>
      <c r="Y32" s="139"/>
      <c r="AA32" s="121"/>
      <c r="AE32" s="139"/>
      <c r="AG32" s="121"/>
    </row>
    <row r="33" spans="1:36" x14ac:dyDescent="0.2">
      <c r="A33" s="19" t="s">
        <v>21</v>
      </c>
      <c r="G33" s="139"/>
      <c r="M33" s="139"/>
      <c r="S33" s="139"/>
      <c r="Y33" s="139"/>
      <c r="AE33" s="139"/>
    </row>
    <row r="34" spans="1:36" x14ac:dyDescent="0.2">
      <c r="C34" s="19" t="s">
        <v>22</v>
      </c>
      <c r="F34" s="22"/>
      <c r="G34" s="150">
        <v>1000</v>
      </c>
      <c r="H34" s="22"/>
      <c r="I34" s="150">
        <v>1000</v>
      </c>
      <c r="J34" s="22"/>
      <c r="K34" s="150">
        <v>1000</v>
      </c>
      <c r="L34" s="22"/>
      <c r="M34" s="150">
        <v>1000</v>
      </c>
      <c r="N34" s="22"/>
      <c r="O34" s="150">
        <v>1000</v>
      </c>
      <c r="P34" s="22"/>
      <c r="Q34" s="150">
        <v>1000</v>
      </c>
      <c r="R34" s="22"/>
      <c r="S34" s="150">
        <v>1000</v>
      </c>
      <c r="T34" s="22"/>
      <c r="U34" s="150">
        <v>1000</v>
      </c>
      <c r="V34" s="22"/>
      <c r="W34" s="150">
        <v>1000</v>
      </c>
      <c r="X34" s="22"/>
      <c r="Y34" s="150">
        <v>1000</v>
      </c>
      <c r="Z34" s="22"/>
      <c r="AA34" s="150">
        <v>1000</v>
      </c>
      <c r="AB34" s="151"/>
      <c r="AC34" s="150">
        <v>1000</v>
      </c>
      <c r="AD34" s="22"/>
      <c r="AE34" s="150">
        <v>1000</v>
      </c>
      <c r="AF34" s="22"/>
      <c r="AG34" s="150">
        <v>1000</v>
      </c>
      <c r="AH34" s="22"/>
      <c r="AI34" s="150">
        <v>1000</v>
      </c>
      <c r="AJ34" s="22"/>
    </row>
    <row r="35" spans="1:36" x14ac:dyDescent="0.2">
      <c r="C35" s="19" t="s">
        <v>179</v>
      </c>
      <c r="F35" s="22"/>
      <c r="G35" s="152">
        <v>10000</v>
      </c>
      <c r="H35" s="22"/>
      <c r="I35" s="152">
        <v>10000</v>
      </c>
      <c r="J35" s="22"/>
      <c r="K35" s="152">
        <v>10000</v>
      </c>
      <c r="L35" s="22"/>
      <c r="M35" s="152">
        <v>10000</v>
      </c>
      <c r="N35" s="22"/>
      <c r="O35" s="152">
        <v>10000</v>
      </c>
      <c r="P35" s="22"/>
      <c r="Q35" s="152">
        <v>10000</v>
      </c>
      <c r="R35" s="22"/>
      <c r="S35" s="152">
        <v>10000</v>
      </c>
      <c r="T35" s="22"/>
      <c r="U35" s="152">
        <v>10000</v>
      </c>
      <c r="V35" s="22"/>
      <c r="W35" s="152">
        <v>10000</v>
      </c>
      <c r="X35" s="22"/>
      <c r="Y35" s="152">
        <v>10000</v>
      </c>
      <c r="Z35" s="22"/>
      <c r="AA35" s="152">
        <v>10000</v>
      </c>
      <c r="AB35" s="151"/>
      <c r="AC35" s="152">
        <v>10000</v>
      </c>
      <c r="AD35" s="22"/>
      <c r="AE35" s="152">
        <v>10000</v>
      </c>
      <c r="AF35" s="22"/>
      <c r="AG35" s="152">
        <v>10000</v>
      </c>
      <c r="AH35" s="22"/>
      <c r="AI35" s="152">
        <v>10000</v>
      </c>
      <c r="AJ35" s="22"/>
    </row>
    <row r="36" spans="1:36" x14ac:dyDescent="0.2">
      <c r="C36" s="19" t="s">
        <v>180</v>
      </c>
      <c r="G36" s="153">
        <f>G35+((+G34)/10)</f>
        <v>10100</v>
      </c>
      <c r="I36" s="153">
        <f>I35+((+I34)/10)</f>
        <v>10100</v>
      </c>
      <c r="K36" s="153">
        <f>K35+((+K34)/10)</f>
        <v>10100</v>
      </c>
      <c r="M36" s="153">
        <f>M35+((+M34)/10)</f>
        <v>10100</v>
      </c>
      <c r="O36" s="153">
        <f>O35+((+O34)/10)</f>
        <v>10100</v>
      </c>
      <c r="Q36" s="153">
        <f>Q35+((+Q34)/10)</f>
        <v>10100</v>
      </c>
      <c r="S36" s="153">
        <f>S35+((+S34)/10)</f>
        <v>10100</v>
      </c>
      <c r="U36" s="153">
        <f>U35+((+U34)/10)</f>
        <v>10100</v>
      </c>
      <c r="W36" s="153">
        <f>W35+((+W34)/10)</f>
        <v>10100</v>
      </c>
      <c r="Y36" s="153">
        <f>Y35+((+Y34)/10)</f>
        <v>10100</v>
      </c>
      <c r="AA36" s="153">
        <f>AA35+((+AA34)/10)</f>
        <v>10100</v>
      </c>
      <c r="AC36" s="153">
        <f>AC35+((+AC34)/10)</f>
        <v>10100</v>
      </c>
      <c r="AE36" s="153">
        <f>AE35+((+AE34)/10)</f>
        <v>10100</v>
      </c>
      <c r="AG36" s="153">
        <f>AG35+((+AG34)/10)</f>
        <v>10100</v>
      </c>
      <c r="AI36" s="153">
        <f>AI35+((+AI34)/10)</f>
        <v>10100</v>
      </c>
    </row>
    <row r="37" spans="1:36" x14ac:dyDescent="0.2">
      <c r="C37" s="19" t="s">
        <v>23</v>
      </c>
      <c r="G37" s="21">
        <f>G35/G36</f>
        <v>0.99009900990099009</v>
      </c>
      <c r="I37" s="21">
        <f>I35/I36</f>
        <v>0.99009900990099009</v>
      </c>
      <c r="K37" s="21">
        <f>K35/K36</f>
        <v>0.99009900990099009</v>
      </c>
      <c r="M37" s="21">
        <f>M35/M36</f>
        <v>0.99009900990099009</v>
      </c>
      <c r="O37" s="21">
        <f>O35/O36</f>
        <v>0.99009900990099009</v>
      </c>
      <c r="Q37" s="21">
        <f>Q35/Q36</f>
        <v>0.99009900990099009</v>
      </c>
      <c r="S37" s="21">
        <f>S35/S36</f>
        <v>0.99009900990099009</v>
      </c>
      <c r="U37" s="21">
        <f>U35/U36</f>
        <v>0.99009900990099009</v>
      </c>
      <c r="W37" s="21">
        <f>W35/W36</f>
        <v>0.99009900990099009</v>
      </c>
      <c r="Y37" s="21">
        <f>Y35/Y36</f>
        <v>0.99009900990099009</v>
      </c>
      <c r="AA37" s="21">
        <f>AA35/AA36</f>
        <v>0.99009900990099009</v>
      </c>
      <c r="AC37" s="21">
        <f>AC35/AC36</f>
        <v>0.99009900990099009</v>
      </c>
      <c r="AE37" s="21">
        <f>AE35/AE36</f>
        <v>0.99009900990099009</v>
      </c>
      <c r="AG37" s="21">
        <f>AG35/AG36</f>
        <v>0.99009900990099009</v>
      </c>
      <c r="AI37" s="21">
        <f>AI35/AI36</f>
        <v>0.99009900990099009</v>
      </c>
    </row>
    <row r="38" spans="1:36" ht="6.75" customHeight="1" x14ac:dyDescent="0.2">
      <c r="G38" s="139"/>
      <c r="M38" s="139"/>
      <c r="S38" s="139"/>
      <c r="Y38" s="139"/>
      <c r="AE38" s="139"/>
    </row>
    <row r="39" spans="1:36" s="22" customFormat="1" ht="13.7" customHeight="1" x14ac:dyDescent="0.2">
      <c r="A39" s="19" t="s">
        <v>24</v>
      </c>
      <c r="G39" s="154"/>
      <c r="I39" s="154"/>
      <c r="K39" s="154"/>
      <c r="M39" s="154"/>
      <c r="O39" s="154"/>
      <c r="Q39" s="154"/>
      <c r="S39" s="154"/>
      <c r="U39" s="154"/>
      <c r="W39" s="154"/>
      <c r="Y39" s="154"/>
      <c r="AA39" s="154"/>
      <c r="AC39" s="154"/>
      <c r="AE39" s="154"/>
      <c r="AG39" s="154"/>
      <c r="AI39" s="154"/>
    </row>
    <row r="40" spans="1:36" x14ac:dyDescent="0.2">
      <c r="B40" s="19" t="s">
        <v>63</v>
      </c>
      <c r="G40" s="155">
        <v>2000</v>
      </c>
      <c r="I40" s="155">
        <v>2000</v>
      </c>
      <c r="K40" s="155">
        <v>2000</v>
      </c>
      <c r="M40" s="155">
        <v>2000</v>
      </c>
      <c r="O40" s="155">
        <v>2000</v>
      </c>
      <c r="Q40" s="155">
        <v>2000</v>
      </c>
      <c r="S40" s="155">
        <v>2000</v>
      </c>
      <c r="U40" s="155">
        <v>2000</v>
      </c>
      <c r="W40" s="155">
        <v>2000</v>
      </c>
      <c r="Y40" s="155">
        <v>2000</v>
      </c>
      <c r="AA40" s="155">
        <v>2000</v>
      </c>
      <c r="AB40" s="156"/>
      <c r="AC40" s="155">
        <v>2000</v>
      </c>
      <c r="AE40" s="155">
        <v>2000</v>
      </c>
      <c r="AG40" s="155">
        <v>2000</v>
      </c>
      <c r="AI40" s="155">
        <v>2000</v>
      </c>
    </row>
    <row r="41" spans="1:36" x14ac:dyDescent="0.2">
      <c r="B41" s="19" t="s">
        <v>64</v>
      </c>
      <c r="G41" s="155">
        <v>20000</v>
      </c>
      <c r="I41" s="155">
        <v>20000</v>
      </c>
      <c r="K41" s="155">
        <v>20000</v>
      </c>
      <c r="M41" s="155">
        <v>20000</v>
      </c>
      <c r="O41" s="155">
        <v>20000</v>
      </c>
      <c r="Q41" s="155">
        <v>20000</v>
      </c>
      <c r="S41" s="155">
        <v>20000</v>
      </c>
      <c r="U41" s="155">
        <v>20000</v>
      </c>
      <c r="W41" s="155">
        <v>20000</v>
      </c>
      <c r="Y41" s="155">
        <v>20000</v>
      </c>
      <c r="AA41" s="155">
        <v>20000</v>
      </c>
      <c r="AB41" s="156"/>
      <c r="AC41" s="155">
        <v>20000</v>
      </c>
      <c r="AE41" s="155">
        <v>20000</v>
      </c>
      <c r="AG41" s="155">
        <v>20000</v>
      </c>
      <c r="AI41" s="155">
        <v>20000</v>
      </c>
    </row>
    <row r="42" spans="1:36" x14ac:dyDescent="0.2">
      <c r="C42" s="19" t="s">
        <v>25</v>
      </c>
      <c r="G42" s="157">
        <f>SUM(G40:G41)</f>
        <v>22000</v>
      </c>
      <c r="I42" s="157">
        <f>SUM(I40:I41)</f>
        <v>22000</v>
      </c>
      <c r="K42" s="157">
        <f>SUM(K40:K41)</f>
        <v>22000</v>
      </c>
      <c r="M42" s="157">
        <f>SUM(M40:M41)</f>
        <v>22000</v>
      </c>
      <c r="O42" s="157">
        <f>SUM(O40:O41)</f>
        <v>22000</v>
      </c>
      <c r="Q42" s="157">
        <f>SUM(Q40:Q41)</f>
        <v>22000</v>
      </c>
      <c r="S42" s="157">
        <f>SUM(S40:S41)</f>
        <v>22000</v>
      </c>
      <c r="U42" s="157">
        <f>SUM(U40:U41)</f>
        <v>22000</v>
      </c>
      <c r="W42" s="157">
        <f>SUM(W40:W41)</f>
        <v>22000</v>
      </c>
      <c r="Y42" s="157">
        <f>SUM(Y40:Y41)</f>
        <v>22000</v>
      </c>
      <c r="AA42" s="157">
        <f>SUM(AA40:AA41)</f>
        <v>22000</v>
      </c>
      <c r="AC42" s="157">
        <f>SUM(AC40:AC41)</f>
        <v>22000</v>
      </c>
      <c r="AE42" s="157">
        <f>SUM(AE40:AE41)</f>
        <v>22000</v>
      </c>
      <c r="AG42" s="157">
        <f>SUM(AG40:AG41)</f>
        <v>22000</v>
      </c>
      <c r="AI42" s="157">
        <f>SUM(AI40:AI41)</f>
        <v>22000</v>
      </c>
    </row>
    <row r="43" spans="1:36" x14ac:dyDescent="0.2">
      <c r="C43" s="121" t="s">
        <v>21</v>
      </c>
      <c r="G43" s="138">
        <f>G42*G37</f>
        <v>21782.178217821784</v>
      </c>
      <c r="I43" s="138">
        <f>I42*I37</f>
        <v>21782.178217821784</v>
      </c>
      <c r="K43" s="138">
        <f>K42*K37</f>
        <v>21782.178217821784</v>
      </c>
      <c r="M43" s="138">
        <f>M42*M37</f>
        <v>21782.178217821784</v>
      </c>
      <c r="O43" s="138">
        <f>O42*O37</f>
        <v>21782.178217821784</v>
      </c>
      <c r="Q43" s="138">
        <f>Q42*Q37</f>
        <v>21782.178217821784</v>
      </c>
      <c r="S43" s="138">
        <f>S42*S37</f>
        <v>21782.178217821784</v>
      </c>
      <c r="U43" s="138">
        <f>U42*U37</f>
        <v>21782.178217821784</v>
      </c>
      <c r="W43" s="138">
        <f>W42*W37</f>
        <v>21782.178217821784</v>
      </c>
      <c r="Y43" s="138">
        <f>Y42*Y37</f>
        <v>21782.178217821784</v>
      </c>
      <c r="AA43" s="138">
        <f>AA42*AA37</f>
        <v>21782.178217821784</v>
      </c>
      <c r="AC43" s="138">
        <f>AC42*AC37</f>
        <v>21782.178217821784</v>
      </c>
      <c r="AE43" s="138">
        <f>AE42*AE37</f>
        <v>21782.178217821784</v>
      </c>
      <c r="AG43" s="138">
        <f>AG42*AG37</f>
        <v>21782.178217821784</v>
      </c>
      <c r="AI43" s="138">
        <f>AI42*AI37</f>
        <v>21782.178217821784</v>
      </c>
    </row>
    <row r="44" spans="1:36" ht="6.75" customHeight="1" x14ac:dyDescent="0.2">
      <c r="G44" s="139"/>
      <c r="M44" s="139"/>
      <c r="S44" s="139"/>
      <c r="Y44" s="139"/>
      <c r="AE44" s="139"/>
    </row>
    <row r="45" spans="1:36" x14ac:dyDescent="0.2">
      <c r="A45" s="19" t="s">
        <v>181</v>
      </c>
      <c r="G45" s="139"/>
      <c r="M45" s="139"/>
      <c r="S45" s="139"/>
      <c r="Y45" s="139"/>
      <c r="AE45" s="139"/>
    </row>
    <row r="46" spans="1:36" x14ac:dyDescent="0.2">
      <c r="B46" s="19" t="s">
        <v>182</v>
      </c>
      <c r="C46" s="158"/>
      <c r="G46" s="155">
        <v>3000</v>
      </c>
      <c r="I46" s="155">
        <v>3000</v>
      </c>
      <c r="K46" s="155">
        <v>3000</v>
      </c>
      <c r="M46" s="155">
        <v>3000</v>
      </c>
      <c r="O46" s="155">
        <v>3000</v>
      </c>
      <c r="Q46" s="155">
        <v>3000</v>
      </c>
      <c r="S46" s="155">
        <v>3000</v>
      </c>
      <c r="U46" s="155">
        <v>3000</v>
      </c>
      <c r="W46" s="155">
        <v>3000</v>
      </c>
      <c r="Y46" s="155">
        <v>3000</v>
      </c>
      <c r="Z46" s="156"/>
      <c r="AA46" s="155">
        <v>3000</v>
      </c>
      <c r="AC46" s="155">
        <v>3000</v>
      </c>
      <c r="AE46" s="155">
        <v>3000</v>
      </c>
      <c r="AG46" s="155">
        <v>3000</v>
      </c>
      <c r="AI46" s="155">
        <v>3000</v>
      </c>
    </row>
    <row r="47" spans="1:36" x14ac:dyDescent="0.2">
      <c r="C47" s="121" t="s">
        <v>21</v>
      </c>
      <c r="G47" s="138">
        <f>G46*G37</f>
        <v>2970.2970297029701</v>
      </c>
      <c r="I47" s="138">
        <f>I46*I37</f>
        <v>2970.2970297029701</v>
      </c>
      <c r="K47" s="138">
        <f>K46*K37</f>
        <v>2970.2970297029701</v>
      </c>
      <c r="M47" s="138">
        <f>M46*M37</f>
        <v>2970.2970297029701</v>
      </c>
      <c r="O47" s="138">
        <f>O46*O37</f>
        <v>2970.2970297029701</v>
      </c>
      <c r="Q47" s="138">
        <f>Q46*Q37</f>
        <v>2970.2970297029701</v>
      </c>
      <c r="S47" s="138">
        <f>S46*S37</f>
        <v>2970.2970297029701</v>
      </c>
      <c r="U47" s="138">
        <f>U46*U37</f>
        <v>2970.2970297029701</v>
      </c>
      <c r="W47" s="138">
        <f>W46*W37</f>
        <v>2970.2970297029701</v>
      </c>
      <c r="Y47" s="138">
        <f>Y46*Y37</f>
        <v>2970.2970297029701</v>
      </c>
      <c r="AA47" s="138">
        <f>AA46*AA37</f>
        <v>2970.2970297029701</v>
      </c>
      <c r="AC47" s="138">
        <f>AC46*AC37</f>
        <v>2970.2970297029701</v>
      </c>
      <c r="AE47" s="138">
        <f>AE46*AE37</f>
        <v>2970.2970297029701</v>
      </c>
      <c r="AG47" s="138">
        <f>AG46*AG37</f>
        <v>2970.2970297029701</v>
      </c>
      <c r="AI47" s="138">
        <f>AI46*AI37</f>
        <v>2970.2970297029701</v>
      </c>
    </row>
    <row r="48" spans="1:36" x14ac:dyDescent="0.2">
      <c r="B48" s="19" t="s">
        <v>183</v>
      </c>
      <c r="G48" s="137">
        <f>2.7172*G35</f>
        <v>27172</v>
      </c>
      <c r="I48" s="137">
        <f>2.7172*I35</f>
        <v>27172</v>
      </c>
      <c r="K48" s="137">
        <f>2.7172*K35</f>
        <v>27172</v>
      </c>
      <c r="M48" s="137">
        <f>2.7172*M35</f>
        <v>27172</v>
      </c>
      <c r="O48" s="137">
        <f>2.7172*O35</f>
        <v>27172</v>
      </c>
      <c r="Q48" s="137">
        <f>2.7172*Q35</f>
        <v>27172</v>
      </c>
      <c r="S48" s="137">
        <f>2.7172*S35</f>
        <v>27172</v>
      </c>
      <c r="U48" s="137">
        <f>2.7172*U35</f>
        <v>27172</v>
      </c>
      <c r="W48" s="137">
        <f>2.7172*W35</f>
        <v>27172</v>
      </c>
      <c r="Y48" s="137">
        <f>2.7172*Y35</f>
        <v>27172</v>
      </c>
      <c r="AA48" s="137">
        <f>2.7172*AA35</f>
        <v>27172</v>
      </c>
      <c r="AC48" s="137">
        <f>2.7172*AC35</f>
        <v>27172</v>
      </c>
      <c r="AE48" s="137">
        <f>2.7172*AE35</f>
        <v>27172</v>
      </c>
      <c r="AG48" s="137">
        <f>2.7172*AG35</f>
        <v>27172</v>
      </c>
      <c r="AI48" s="137">
        <f>2.7172*AI35</f>
        <v>27172</v>
      </c>
    </row>
    <row r="49" spans="1:35" x14ac:dyDescent="0.2">
      <c r="C49" s="121"/>
      <c r="G49" s="138">
        <f>SUM(G47:G48)</f>
        <v>30142.297029702971</v>
      </c>
      <c r="I49" s="138">
        <f>SUM(I47:I48)</f>
        <v>30142.297029702971</v>
      </c>
      <c r="K49" s="138">
        <f>SUM(K47:K48)</f>
        <v>30142.297029702971</v>
      </c>
      <c r="M49" s="138">
        <f>SUM(M47:M48)</f>
        <v>30142.297029702971</v>
      </c>
      <c r="O49" s="138">
        <f>SUM(O47:O48)</f>
        <v>30142.297029702971</v>
      </c>
      <c r="Q49" s="138">
        <f>SUM(Q47:Q48)</f>
        <v>30142.297029702971</v>
      </c>
      <c r="S49" s="138">
        <f>SUM(S47:S48)</f>
        <v>30142.297029702971</v>
      </c>
      <c r="U49" s="138">
        <f>SUM(U47:U48)</f>
        <v>30142.297029702971</v>
      </c>
      <c r="W49" s="138">
        <f>SUM(W47:W48)</f>
        <v>30142.297029702971</v>
      </c>
      <c r="Y49" s="138">
        <f>SUM(Y47:Y48)</f>
        <v>30142.297029702971</v>
      </c>
      <c r="AA49" s="138">
        <f>SUM(AA47:AA48)</f>
        <v>30142.297029702971</v>
      </c>
      <c r="AC49" s="138">
        <f>SUM(AC47:AC48)</f>
        <v>30142.297029702971</v>
      </c>
      <c r="AE49" s="138">
        <f>SUM(AE47:AE48)</f>
        <v>30142.297029702971</v>
      </c>
      <c r="AG49" s="138">
        <f>SUM(AG47:AG48)</f>
        <v>30142.297029702971</v>
      </c>
      <c r="AI49" s="138">
        <f>SUM(AI47:AI48)</f>
        <v>30142.297029702971</v>
      </c>
    </row>
    <row r="51" spans="1:35" x14ac:dyDescent="0.2">
      <c r="A51" s="19" t="s">
        <v>5</v>
      </c>
    </row>
    <row r="52" spans="1:35" x14ac:dyDescent="0.2">
      <c r="A52" s="19" t="s">
        <v>24</v>
      </c>
    </row>
    <row r="53" spans="1:35" x14ac:dyDescent="0.2">
      <c r="B53" s="19" t="s">
        <v>70</v>
      </c>
      <c r="G53" s="155">
        <v>4000</v>
      </c>
      <c r="I53" s="155">
        <v>4000</v>
      </c>
      <c r="K53" s="155">
        <v>4000</v>
      </c>
      <c r="M53" s="155">
        <v>4000</v>
      </c>
      <c r="O53" s="155">
        <v>4000</v>
      </c>
      <c r="Q53" s="155">
        <v>4000</v>
      </c>
      <c r="S53" s="155">
        <v>4000</v>
      </c>
      <c r="U53" s="155">
        <v>4000</v>
      </c>
      <c r="W53" s="155">
        <v>4000</v>
      </c>
      <c r="Y53" s="155">
        <v>4000</v>
      </c>
      <c r="AA53" s="155">
        <v>4000</v>
      </c>
      <c r="AC53" s="155">
        <v>4000</v>
      </c>
      <c r="AE53" s="155">
        <v>4000</v>
      </c>
      <c r="AG53" s="155">
        <v>4000</v>
      </c>
      <c r="AI53" s="155">
        <v>4000</v>
      </c>
    </row>
    <row r="54" spans="1:35" x14ac:dyDescent="0.2">
      <c r="B54" s="19" t="s">
        <v>26</v>
      </c>
      <c r="G54" s="155">
        <v>5000</v>
      </c>
      <c r="I54" s="155">
        <v>5000</v>
      </c>
      <c r="K54" s="155">
        <v>5000</v>
      </c>
      <c r="M54" s="155">
        <v>5000</v>
      </c>
      <c r="O54" s="155">
        <v>5000</v>
      </c>
      <c r="Q54" s="155">
        <v>5000</v>
      </c>
      <c r="S54" s="155">
        <v>5000</v>
      </c>
      <c r="U54" s="155">
        <v>5000</v>
      </c>
      <c r="W54" s="155">
        <v>5000</v>
      </c>
      <c r="Y54" s="155">
        <v>5000</v>
      </c>
      <c r="AA54" s="155">
        <v>5000</v>
      </c>
      <c r="AC54" s="155">
        <v>5000</v>
      </c>
      <c r="AE54" s="155">
        <v>5000</v>
      </c>
      <c r="AG54" s="155">
        <v>5000</v>
      </c>
      <c r="AI54" s="155">
        <v>5000</v>
      </c>
    </row>
    <row r="55" spans="1:35" x14ac:dyDescent="0.2">
      <c r="C55" s="19" t="s">
        <v>25</v>
      </c>
      <c r="G55" s="138">
        <f>SUM(G53:G54)</f>
        <v>9000</v>
      </c>
      <c r="I55" s="138">
        <f>SUM(I53:I54)</f>
        <v>9000</v>
      </c>
      <c r="K55" s="138">
        <f>SUM(K53:K54)</f>
        <v>9000</v>
      </c>
      <c r="M55" s="138">
        <f>SUM(M53:M54)</f>
        <v>9000</v>
      </c>
      <c r="O55" s="138">
        <f>SUM(O53:O54)</f>
        <v>9000</v>
      </c>
      <c r="Q55" s="138">
        <f>SUM(Q53:Q54)</f>
        <v>9000</v>
      </c>
      <c r="S55" s="138">
        <f>SUM(S53:S54)</f>
        <v>9000</v>
      </c>
      <c r="U55" s="138">
        <f>SUM(U53:U54)</f>
        <v>9000</v>
      </c>
      <c r="W55" s="138">
        <f>SUM(W53:W54)</f>
        <v>9000</v>
      </c>
      <c r="Y55" s="138">
        <f>SUM(Y53:Y54)</f>
        <v>9000</v>
      </c>
      <c r="AA55" s="138">
        <f>SUM(AA53:AA54)</f>
        <v>9000</v>
      </c>
      <c r="AC55" s="138">
        <f>SUM(AC53:AC54)</f>
        <v>9000</v>
      </c>
      <c r="AE55" s="138">
        <f>SUM(AE53:AE54)</f>
        <v>9000</v>
      </c>
      <c r="AG55" s="138">
        <f>SUM(AG53:AG54)</f>
        <v>9000</v>
      </c>
      <c r="AI55" s="138">
        <f>SUM(AI53:AI54)</f>
        <v>9000</v>
      </c>
    </row>
    <row r="56" spans="1:35" ht="6.75" customHeight="1" x14ac:dyDescent="0.2">
      <c r="G56" s="139"/>
      <c r="M56" s="139"/>
      <c r="S56" s="139"/>
      <c r="Y56" s="139"/>
      <c r="AE56" s="139"/>
    </row>
    <row r="57" spans="1:35" x14ac:dyDescent="0.2">
      <c r="A57" s="19" t="s">
        <v>181</v>
      </c>
    </row>
    <row r="60" spans="1:35" x14ac:dyDescent="0.2">
      <c r="A60" s="19" t="s">
        <v>6</v>
      </c>
    </row>
    <row r="61" spans="1:35" x14ac:dyDescent="0.2">
      <c r="A61" s="19" t="s">
        <v>24</v>
      </c>
    </row>
    <row r="62" spans="1:35" x14ac:dyDescent="0.2">
      <c r="B62" s="19" t="s">
        <v>27</v>
      </c>
      <c r="G62" s="155">
        <v>6000</v>
      </c>
      <c r="I62" s="155">
        <v>6000</v>
      </c>
      <c r="K62" s="155">
        <v>6000</v>
      </c>
      <c r="M62" s="155">
        <v>6000</v>
      </c>
      <c r="O62" s="155">
        <v>6000</v>
      </c>
      <c r="Q62" s="155">
        <v>6000</v>
      </c>
      <c r="S62" s="155">
        <v>6000</v>
      </c>
      <c r="U62" s="155">
        <v>6000</v>
      </c>
      <c r="W62" s="155">
        <v>6000</v>
      </c>
      <c r="Y62" s="155">
        <v>6000</v>
      </c>
      <c r="AA62" s="155">
        <v>6000</v>
      </c>
      <c r="AC62" s="155">
        <v>6000</v>
      </c>
      <c r="AE62" s="155">
        <v>6000</v>
      </c>
      <c r="AG62" s="155">
        <v>6000</v>
      </c>
      <c r="AI62" s="155">
        <v>6000</v>
      </c>
    </row>
    <row r="63" spans="1:35" x14ac:dyDescent="0.2">
      <c r="B63" s="19" t="s">
        <v>26</v>
      </c>
      <c r="G63" s="155">
        <v>7000</v>
      </c>
      <c r="I63" s="155">
        <v>7000</v>
      </c>
      <c r="K63" s="155">
        <v>7000</v>
      </c>
      <c r="M63" s="155">
        <v>7000</v>
      </c>
      <c r="O63" s="155">
        <v>7000</v>
      </c>
      <c r="Q63" s="155">
        <v>7000</v>
      </c>
      <c r="S63" s="155">
        <v>7000</v>
      </c>
      <c r="U63" s="155">
        <v>7000</v>
      </c>
      <c r="W63" s="155">
        <v>7000</v>
      </c>
      <c r="Y63" s="155">
        <v>7000</v>
      </c>
      <c r="AA63" s="155">
        <v>7000</v>
      </c>
      <c r="AC63" s="155">
        <v>7000</v>
      </c>
      <c r="AE63" s="155">
        <v>7000</v>
      </c>
      <c r="AG63" s="155">
        <v>7000</v>
      </c>
      <c r="AI63" s="155">
        <v>7000</v>
      </c>
    </row>
    <row r="64" spans="1:35" x14ac:dyDescent="0.2">
      <c r="B64" s="19" t="s">
        <v>184</v>
      </c>
      <c r="G64" s="155">
        <v>8000</v>
      </c>
      <c r="I64" s="155">
        <v>8000</v>
      </c>
      <c r="K64" s="155">
        <v>8000</v>
      </c>
      <c r="M64" s="155">
        <v>8000</v>
      </c>
      <c r="O64" s="155">
        <v>8000</v>
      </c>
      <c r="Q64" s="155">
        <v>8000</v>
      </c>
      <c r="S64" s="155">
        <v>8000</v>
      </c>
      <c r="U64" s="155">
        <v>8000</v>
      </c>
      <c r="W64" s="155">
        <v>8000</v>
      </c>
      <c r="Y64" s="155">
        <v>8000</v>
      </c>
      <c r="AA64" s="155">
        <v>8000</v>
      </c>
      <c r="AC64" s="155">
        <v>8000</v>
      </c>
      <c r="AE64" s="155">
        <v>8000</v>
      </c>
      <c r="AG64" s="155">
        <v>8000</v>
      </c>
      <c r="AI64" s="155">
        <v>8000</v>
      </c>
    </row>
    <row r="65" spans="1:35" x14ac:dyDescent="0.2">
      <c r="C65" s="19" t="s">
        <v>25</v>
      </c>
      <c r="G65" s="138">
        <f>SUM(G62:G64)</f>
        <v>21000</v>
      </c>
      <c r="I65" s="138">
        <f>SUM(I62:I64)</f>
        <v>21000</v>
      </c>
      <c r="K65" s="138">
        <f>SUM(K62:K64)</f>
        <v>21000</v>
      </c>
      <c r="M65" s="138">
        <f>SUM(M62:M64)</f>
        <v>21000</v>
      </c>
      <c r="O65" s="138">
        <f>SUM(O62:O64)</f>
        <v>21000</v>
      </c>
      <c r="Q65" s="138">
        <f>SUM(Q62:Q64)</f>
        <v>21000</v>
      </c>
      <c r="S65" s="138">
        <f>SUM(S62:S64)</f>
        <v>21000</v>
      </c>
      <c r="U65" s="138">
        <f>SUM(U62:U64)</f>
        <v>21000</v>
      </c>
      <c r="W65" s="138">
        <f>SUM(W62:W64)</f>
        <v>21000</v>
      </c>
      <c r="Y65" s="138">
        <f>SUM(Y62:Y64)</f>
        <v>21000</v>
      </c>
      <c r="AA65" s="138">
        <f>SUM(AA62:AA64)</f>
        <v>21000</v>
      </c>
      <c r="AC65" s="138">
        <f>SUM(AC62:AC64)</f>
        <v>21000</v>
      </c>
      <c r="AE65" s="138">
        <f>SUM(AE62:AE64)</f>
        <v>21000</v>
      </c>
      <c r="AG65" s="138">
        <f>SUM(AG62:AG64)</f>
        <v>21000</v>
      </c>
      <c r="AI65" s="138">
        <f>SUM(AI62:AI64)</f>
        <v>21000</v>
      </c>
    </row>
    <row r="66" spans="1:35" ht="6.75" customHeight="1" x14ac:dyDescent="0.2">
      <c r="G66" s="139"/>
      <c r="M66" s="139"/>
      <c r="S66" s="139"/>
      <c r="Y66" s="139"/>
      <c r="AE66" s="139"/>
    </row>
    <row r="67" spans="1:35" x14ac:dyDescent="0.2">
      <c r="A67" s="19" t="s">
        <v>181</v>
      </c>
    </row>
  </sheetData>
  <pageMargins left="0.5" right="0.5" top="1" bottom="1" header="0.5" footer="0.5"/>
  <pageSetup scale="83" fitToWidth="0" orientation="landscape" r:id="rId1"/>
  <headerFooter>
    <oddHeader>&amp;C&amp;"Arial,Bold"Schedule IV&amp;"Arial,Regular"
Actual Adjustment&amp;R&amp;"Arial,Bold"Navitas KY NG, LLC</oddHeader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3" workbookViewId="0">
      <selection activeCell="L27" sqref="L27"/>
    </sheetView>
  </sheetViews>
  <sheetFormatPr defaultColWidth="8.85546875" defaultRowHeight="12.75" x14ac:dyDescent="0.2"/>
  <cols>
    <col min="1" max="1" width="1.7109375" style="19" customWidth="1"/>
    <col min="2" max="2" width="3.7109375" style="122" customWidth="1"/>
    <col min="3" max="3" width="24.7109375" style="19" customWidth="1"/>
    <col min="4" max="5" width="1.7109375" style="19" customWidth="1"/>
    <col min="6" max="6" width="12.7109375" style="19" customWidth="1"/>
    <col min="7" max="7" width="1.7109375" style="19" customWidth="1"/>
    <col min="8" max="8" width="12.7109375" style="122" customWidth="1"/>
    <col min="9" max="9" width="1.7109375" style="19" customWidth="1"/>
    <col min="10" max="10" width="12.7109375" style="123" customWidth="1"/>
    <col min="11" max="11" width="1.7109375" style="19" customWidth="1"/>
    <col min="12" max="12" width="12.7109375" style="19" customWidth="1"/>
    <col min="13" max="13" width="1.7109375" style="19" customWidth="1"/>
    <col min="14" max="14" width="12.7109375" style="19" customWidth="1"/>
    <col min="15" max="15" width="1.7109375" style="19" customWidth="1"/>
    <col min="16" max="16" width="12.7109375" style="19" customWidth="1"/>
    <col min="17" max="17" width="1.7109375" style="19" customWidth="1"/>
    <col min="18" max="18" width="12.7109375" style="19" customWidth="1"/>
    <col min="19" max="19" width="1.7109375" style="19" customWidth="1"/>
    <col min="20" max="20" width="12.7109375" style="19" customWidth="1"/>
    <col min="21" max="21" width="1.7109375" style="19" customWidth="1"/>
    <col min="22" max="22" width="12.7109375" style="19" customWidth="1"/>
    <col min="23" max="23" width="1.7109375" style="19" customWidth="1"/>
    <col min="24" max="24" width="12.7109375" style="19" customWidth="1"/>
    <col min="25" max="25" width="1.7109375" style="19" customWidth="1"/>
    <col min="26" max="26" width="12.7109375" style="19" customWidth="1"/>
    <col min="27" max="27" width="1.7109375" style="19" customWidth="1"/>
    <col min="28" max="28" width="12.7109375" style="19" customWidth="1"/>
    <col min="29" max="16384" width="8.85546875" style="19"/>
  </cols>
  <sheetData>
    <row r="1" spans="1:11" x14ac:dyDescent="0.2">
      <c r="A1" s="19" t="s">
        <v>131</v>
      </c>
    </row>
    <row r="3" spans="1:11" x14ac:dyDescent="0.2">
      <c r="A3" s="19" t="s">
        <v>132</v>
      </c>
    </row>
    <row r="6" spans="1:11" x14ac:dyDescent="0.2">
      <c r="A6" s="19" t="s">
        <v>133</v>
      </c>
    </row>
    <row r="7" spans="1:11" x14ac:dyDescent="0.2">
      <c r="A7" s="124"/>
      <c r="B7" s="125"/>
      <c r="C7" s="124"/>
      <c r="D7" s="124"/>
      <c r="E7" s="124"/>
      <c r="F7" s="124"/>
      <c r="G7" s="124"/>
      <c r="H7" s="125"/>
      <c r="I7" s="124"/>
      <c r="J7" s="126"/>
      <c r="K7" s="124"/>
    </row>
    <row r="9" spans="1:11" x14ac:dyDescent="0.2">
      <c r="B9" s="122" t="s">
        <v>134</v>
      </c>
      <c r="C9" s="19" t="s">
        <v>135</v>
      </c>
      <c r="J9" s="123">
        <v>1.357</v>
      </c>
    </row>
    <row r="10" spans="1:11" x14ac:dyDescent="0.2">
      <c r="A10" s="124"/>
      <c r="B10" s="125"/>
      <c r="C10" s="124"/>
      <c r="D10" s="124"/>
      <c r="E10" s="124"/>
      <c r="F10" s="124"/>
      <c r="G10" s="124"/>
      <c r="H10" s="125"/>
      <c r="I10" s="124"/>
      <c r="J10" s="126"/>
      <c r="K10" s="124"/>
    </row>
    <row r="12" spans="1:11" x14ac:dyDescent="0.2">
      <c r="A12" s="19" t="s">
        <v>136</v>
      </c>
      <c r="F12" s="19" t="s">
        <v>137</v>
      </c>
    </row>
    <row r="14" spans="1:11" x14ac:dyDescent="0.2">
      <c r="B14" s="122" t="s">
        <v>138</v>
      </c>
      <c r="C14" s="19" t="s">
        <v>139</v>
      </c>
      <c r="J14" s="127">
        <v>6.0720999999999998</v>
      </c>
    </row>
    <row r="15" spans="1:11" x14ac:dyDescent="0.2">
      <c r="B15" s="128" t="s">
        <v>140</v>
      </c>
      <c r="C15" s="19" t="s">
        <v>141</v>
      </c>
      <c r="J15" s="123">
        <v>1.101</v>
      </c>
    </row>
    <row r="17" spans="1:11" x14ac:dyDescent="0.2">
      <c r="B17" s="122" t="s">
        <v>142</v>
      </c>
      <c r="C17" s="19" t="s">
        <v>143</v>
      </c>
      <c r="H17" s="122" t="s">
        <v>144</v>
      </c>
      <c r="J17" s="123">
        <f>J9/J15</f>
        <v>1.2325158946412353</v>
      </c>
    </row>
    <row r="18" spans="1:11" x14ac:dyDescent="0.2">
      <c r="B18" s="122" t="s">
        <v>145</v>
      </c>
      <c r="C18" s="19" t="s">
        <v>146</v>
      </c>
      <c r="H18" s="122" t="s">
        <v>147</v>
      </c>
      <c r="J18" s="127">
        <f>J14*J17</f>
        <v>7.4839597638510451</v>
      </c>
    </row>
    <row r="19" spans="1:11" x14ac:dyDescent="0.2">
      <c r="A19" s="124"/>
      <c r="B19" s="125"/>
      <c r="C19" s="124"/>
      <c r="D19" s="124"/>
      <c r="E19" s="124"/>
      <c r="F19" s="124"/>
      <c r="G19" s="124"/>
      <c r="H19" s="125"/>
      <c r="I19" s="124"/>
      <c r="J19" s="126"/>
      <c r="K19" s="124"/>
    </row>
    <row r="21" spans="1:11" x14ac:dyDescent="0.2">
      <c r="A21" s="19" t="s">
        <v>148</v>
      </c>
      <c r="F21" s="19" t="s">
        <v>149</v>
      </c>
    </row>
    <row r="23" spans="1:11" x14ac:dyDescent="0.2">
      <c r="B23" s="122" t="s">
        <v>150</v>
      </c>
      <c r="C23" s="19" t="s">
        <v>151</v>
      </c>
      <c r="F23" s="19" t="s">
        <v>152</v>
      </c>
      <c r="J23" s="127">
        <v>3.8820999999999999</v>
      </c>
    </row>
    <row r="24" spans="1:11" x14ac:dyDescent="0.2">
      <c r="B24" s="122" t="s">
        <v>153</v>
      </c>
      <c r="C24" s="19" t="s">
        <v>154</v>
      </c>
      <c r="F24" s="19" t="s">
        <v>155</v>
      </c>
      <c r="J24" s="129">
        <v>250399</v>
      </c>
    </row>
    <row r="25" spans="1:11" x14ac:dyDescent="0.2">
      <c r="B25" s="122" t="s">
        <v>156</v>
      </c>
      <c r="C25" s="19" t="s">
        <v>157</v>
      </c>
      <c r="F25" s="19" t="s">
        <v>155</v>
      </c>
      <c r="J25" s="129">
        <v>204407</v>
      </c>
    </row>
    <row r="27" spans="1:11" x14ac:dyDescent="0.2">
      <c r="B27" s="122" t="s">
        <v>158</v>
      </c>
      <c r="C27" s="19" t="s">
        <v>159</v>
      </c>
      <c r="H27" s="122" t="s">
        <v>160</v>
      </c>
      <c r="J27" s="123">
        <f>J24/J25</f>
        <v>1.225002079185155</v>
      </c>
    </row>
    <row r="28" spans="1:11" x14ac:dyDescent="0.2">
      <c r="B28" s="122" t="s">
        <v>161</v>
      </c>
      <c r="C28" s="19" t="s">
        <v>162</v>
      </c>
      <c r="H28" s="122" t="s">
        <v>163</v>
      </c>
      <c r="J28" s="123">
        <f>J9/J27</f>
        <v>1.1077532218579149</v>
      </c>
    </row>
    <row r="29" spans="1:11" x14ac:dyDescent="0.2">
      <c r="B29" s="122" t="s">
        <v>164</v>
      </c>
      <c r="C29" s="19" t="s">
        <v>165</v>
      </c>
      <c r="H29" s="122" t="s">
        <v>166</v>
      </c>
      <c r="J29" s="127">
        <f>J23*J28</f>
        <v>4.3004087825746113</v>
      </c>
    </row>
    <row r="30" spans="1:11" x14ac:dyDescent="0.2">
      <c r="A30" s="124"/>
      <c r="B30" s="125"/>
      <c r="C30" s="124"/>
      <c r="D30" s="124"/>
      <c r="E30" s="124"/>
      <c r="F30" s="124"/>
      <c r="G30" s="124"/>
      <c r="H30" s="125"/>
      <c r="I30" s="124"/>
      <c r="J30" s="126"/>
      <c r="K30" s="124"/>
    </row>
    <row r="32" spans="1:11" x14ac:dyDescent="0.2">
      <c r="C32" s="19" t="s">
        <v>165</v>
      </c>
      <c r="J32" s="123">
        <f>J29</f>
        <v>4.3004087825746113</v>
      </c>
    </row>
    <row r="33" spans="3:10" x14ac:dyDescent="0.2">
      <c r="C33" s="19" t="s">
        <v>165</v>
      </c>
      <c r="J33" s="123">
        <f>J32</f>
        <v>4.3004087825746113</v>
      </c>
    </row>
    <row r="34" spans="3:10" x14ac:dyDescent="0.2">
      <c r="C34" s="19" t="s">
        <v>146</v>
      </c>
      <c r="J34" s="123">
        <f>J18</f>
        <v>7.4839597638510451</v>
      </c>
    </row>
    <row r="35" spans="3:10" x14ac:dyDescent="0.2">
      <c r="C35" s="121" t="s">
        <v>167</v>
      </c>
      <c r="J35" s="130">
        <f>AVERAGE(J32:J34)</f>
        <v>5.361592443000089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N54"/>
  <sheetViews>
    <sheetView zoomScale="75" zoomScaleNormal="75" workbookViewId="0">
      <pane xSplit="4" ySplit="18" topLeftCell="E19" activePane="bottomRight" state="frozen"/>
      <selection pane="topRight" activeCell="E1" sqref="E1"/>
      <selection pane="bottomLeft" activeCell="A19" sqref="A19"/>
      <selection pane="bottomRight" activeCell="W38" sqref="W38"/>
    </sheetView>
  </sheetViews>
  <sheetFormatPr defaultRowHeight="12.75" x14ac:dyDescent="0.2"/>
  <cols>
    <col min="1" max="2" width="1.7109375" customWidth="1"/>
    <col min="3" max="3" width="20.7109375" customWidth="1"/>
    <col min="4" max="5" width="1.7109375" customWidth="1"/>
    <col min="6" max="6" width="11.7109375" customWidth="1"/>
    <col min="7" max="7" width="1.7109375" customWidth="1"/>
    <col min="8" max="8" width="1.28515625" customWidth="1"/>
    <col min="9" max="9" width="12.28515625" bestFit="1" customWidth="1"/>
    <col min="10" max="10" width="1.28515625" customWidth="1"/>
    <col min="11" max="11" width="12.28515625" bestFit="1" customWidth="1"/>
    <col min="12" max="12" width="1.28515625" customWidth="1"/>
    <col min="13" max="13" width="11.7109375" customWidth="1"/>
    <col min="14" max="14" width="1.28515625" customWidth="1"/>
    <col min="15" max="15" width="11.7109375" customWidth="1"/>
    <col min="16" max="16" width="1.28515625" customWidth="1"/>
    <col min="17" max="17" width="11.7109375" customWidth="1"/>
    <col min="18" max="18" width="1.28515625" customWidth="1"/>
    <col min="19" max="19" width="11.7109375" customWidth="1"/>
    <col min="20" max="20" width="1.28515625" customWidth="1"/>
    <col min="21" max="21" width="11.7109375" customWidth="1"/>
    <col min="22" max="22" width="1.28515625" customWidth="1"/>
    <col min="23" max="23" width="11.7109375" customWidth="1"/>
    <col min="24" max="24" width="1.28515625" customWidth="1"/>
    <col min="25" max="25" width="11.7109375" customWidth="1"/>
    <col min="26" max="26" width="1.28515625" customWidth="1"/>
    <col min="27" max="27" width="11.7109375" customWidth="1"/>
    <col min="28" max="28" width="1.28515625" customWidth="1"/>
    <col min="29" max="29" width="11.7109375" customWidth="1"/>
    <col min="30" max="30" width="1.28515625" customWidth="1"/>
    <col min="31" max="31" width="11.7109375" customWidth="1"/>
    <col min="32" max="32" width="1.28515625" customWidth="1"/>
    <col min="33" max="33" width="11.7109375" customWidth="1"/>
    <col min="34" max="34" width="1.28515625" customWidth="1"/>
    <col min="35" max="35" width="11.7109375" customWidth="1"/>
    <col min="36" max="36" width="1.28515625" customWidth="1"/>
    <col min="37" max="37" width="11.7109375" customWidth="1"/>
    <col min="38" max="38" width="1.28515625" customWidth="1"/>
    <col min="39" max="39" width="11.7109375" customWidth="1"/>
    <col min="40" max="40" width="1.28515625" customWidth="1"/>
    <col min="41" max="41" width="11.7109375" customWidth="1"/>
    <col min="42" max="42" width="1.28515625" customWidth="1"/>
    <col min="43" max="43" width="11.7109375" customWidth="1"/>
    <col min="44" max="44" width="1.28515625" customWidth="1"/>
    <col min="45" max="45" width="11.7109375" customWidth="1"/>
    <col min="46" max="46" width="1.28515625" customWidth="1"/>
    <col min="47" max="47" width="11.7109375" customWidth="1"/>
    <col min="48" max="48" width="1.28515625" customWidth="1"/>
    <col min="49" max="49" width="11.7109375" customWidth="1"/>
    <col min="50" max="50" width="1.28515625" customWidth="1"/>
    <col min="51" max="51" width="11.7109375" customWidth="1"/>
    <col min="52" max="52" width="1.28515625" customWidth="1"/>
    <col min="53" max="53" width="11.7109375" customWidth="1"/>
    <col min="54" max="54" width="1.28515625" customWidth="1"/>
    <col min="55" max="55" width="11.7109375" customWidth="1"/>
    <col min="56" max="56" width="1.28515625" customWidth="1"/>
    <col min="57" max="57" width="11.7109375" customWidth="1"/>
    <col min="58" max="58" width="1.28515625" customWidth="1"/>
    <col min="59" max="59" width="11.7109375" customWidth="1"/>
    <col min="60" max="60" width="1.28515625" customWidth="1"/>
    <col min="61" max="61" width="11.7109375" customWidth="1"/>
    <col min="62" max="62" width="1.28515625" customWidth="1"/>
    <col min="63" max="63" width="11.7109375" customWidth="1"/>
    <col min="64" max="64" width="1.28515625" customWidth="1"/>
    <col min="65" max="65" width="11.7109375" customWidth="1"/>
    <col min="66" max="66" width="1.28515625" customWidth="1"/>
    <col min="67" max="67" width="11.7109375" customWidth="1"/>
    <col min="68" max="68" width="1.28515625" customWidth="1"/>
    <col min="69" max="69" width="11.7109375" customWidth="1"/>
    <col min="70" max="70" width="1.28515625" customWidth="1"/>
    <col min="71" max="71" width="11.7109375" customWidth="1"/>
    <col min="72" max="72" width="1.28515625" customWidth="1"/>
    <col min="73" max="73" width="11.7109375" customWidth="1"/>
    <col min="74" max="74" width="1.28515625" customWidth="1"/>
    <col min="75" max="75" width="11.7109375" customWidth="1"/>
    <col min="76" max="76" width="1.28515625" customWidth="1"/>
    <col min="77" max="77" width="11.7109375" customWidth="1"/>
    <col min="78" max="78" width="1.28515625" customWidth="1"/>
    <col min="79" max="79" width="11.7109375" customWidth="1"/>
    <col min="80" max="80" width="1.28515625" customWidth="1"/>
    <col min="81" max="81" width="11.7109375" customWidth="1"/>
    <col min="82" max="82" width="1.28515625" customWidth="1"/>
    <col min="83" max="83" width="11.7109375" customWidth="1"/>
    <col min="84" max="84" width="1.28515625" customWidth="1"/>
    <col min="85" max="85" width="11.7109375" customWidth="1"/>
    <col min="86" max="86" width="1.28515625" customWidth="1"/>
    <col min="87" max="87" width="11.7109375" customWidth="1"/>
    <col min="88" max="88" width="1.28515625" customWidth="1"/>
    <col min="89" max="89" width="11.7109375" customWidth="1"/>
    <col min="90" max="90" width="1.28515625" customWidth="1"/>
    <col min="91" max="91" width="11.7109375" customWidth="1"/>
    <col min="92" max="92" width="1.28515625" customWidth="1"/>
    <col min="93" max="93" width="11.7109375" customWidth="1"/>
    <col min="94" max="94" width="1.28515625" customWidth="1"/>
    <col min="95" max="95" width="11.7109375" customWidth="1"/>
    <col min="96" max="96" width="1.28515625" customWidth="1"/>
    <col min="97" max="97" width="11.7109375" customWidth="1"/>
    <col min="98" max="98" width="1.28515625" customWidth="1"/>
    <col min="99" max="99" width="11.7109375" customWidth="1"/>
    <col min="100" max="100" width="1.28515625" customWidth="1"/>
    <col min="101" max="101" width="11.7109375" customWidth="1"/>
    <col min="102" max="102" width="1.28515625" customWidth="1"/>
    <col min="103" max="103" width="11.7109375" customWidth="1"/>
    <col min="104" max="104" width="1.28515625" customWidth="1"/>
    <col min="105" max="105" width="11.7109375" customWidth="1"/>
    <col min="106" max="106" width="1.28515625" customWidth="1"/>
    <col min="107" max="107" width="11.7109375" customWidth="1"/>
    <col min="108" max="108" width="1.28515625" customWidth="1"/>
    <col min="109" max="109" width="11.7109375" customWidth="1"/>
    <col min="110" max="110" width="1.28515625" customWidth="1"/>
    <col min="111" max="111" width="11.7109375" customWidth="1"/>
    <col min="112" max="112" width="1.28515625" customWidth="1"/>
    <col min="113" max="113" width="11.7109375" customWidth="1"/>
    <col min="114" max="114" width="1.28515625" customWidth="1"/>
    <col min="115" max="115" width="11.7109375" customWidth="1"/>
    <col min="116" max="116" width="1.28515625" customWidth="1"/>
    <col min="117" max="117" width="11.7109375" customWidth="1"/>
    <col min="118" max="118" width="1.28515625" customWidth="1"/>
  </cols>
  <sheetData>
    <row r="1" spans="1:118" x14ac:dyDescent="0.2">
      <c r="F1" s="14"/>
      <c r="I1" s="14">
        <f>I21+I25+I29+I33+I37+I41+I45+I49+I53</f>
        <v>0</v>
      </c>
      <c r="K1" s="14">
        <f>K21+K25+K29+K33+K37+K41+K45+K49+K53</f>
        <v>0</v>
      </c>
      <c r="M1" s="14">
        <f>M21+M25+M29+M33+M37+M41+M45+M49+M53</f>
        <v>0</v>
      </c>
      <c r="O1" s="14">
        <f>O21+O25+O29+O33+O37+O41+O45+O49+O53</f>
        <v>0</v>
      </c>
      <c r="Q1" s="14">
        <f>Q21+Q25+Q29+Q33+Q37+Q41+Q45+Q49+Q53</f>
        <v>0</v>
      </c>
      <c r="S1" s="14">
        <f>S21+S25+S29+S33+S37+S41+S45+S49+S53</f>
        <v>0</v>
      </c>
      <c r="U1" s="14">
        <f>U21+U25+U29+U33+U37+U41+U45+U49+U53</f>
        <v>0</v>
      </c>
      <c r="W1" s="14">
        <f>W21+W25+W29+W33+W37+W41+W45+W49+W53</f>
        <v>0</v>
      </c>
      <c r="Y1" s="14">
        <f>Y21+Y25+Y29+Y33+Y37+Y41+Y45+Y49+Y53</f>
        <v>0</v>
      </c>
      <c r="AA1" s="14">
        <f>AA21+AA25+AA29+AA33+AA37+AA41+AA45+AA49+AA53</f>
        <v>0</v>
      </c>
      <c r="AC1" s="14">
        <f>AC21+AC25+AC29+AC33+AC37+AC41+AC45+AC49+AC53</f>
        <v>0</v>
      </c>
      <c r="AE1" s="14">
        <f>AE21+AE25+AE29+AE33+AE37+AE41+AE45+AE49+AE53</f>
        <v>0</v>
      </c>
      <c r="AG1" s="14">
        <f>AG21+AG25+AG29+AG33+AG37+AG41+AG45+AG49+AG53</f>
        <v>0</v>
      </c>
      <c r="AI1" s="14">
        <f>AI21+AI25+AI29+AI33+AI37+AI41+AI45+AI49+AI53</f>
        <v>0</v>
      </c>
      <c r="AK1" s="14">
        <f>AK21+AK25+AK29+AK33+AK37+AK41+AK45+AK49+AK53</f>
        <v>0</v>
      </c>
      <c r="AM1" s="14">
        <f>AM21+AM25+AM29+AM33+AM37+AM41+AM45+AM49+AM53</f>
        <v>0</v>
      </c>
      <c r="AO1" s="14" t="e">
        <f>AO21+AO25+AO29+AO33+AO37+AO41+AO45+AO49+AO53</f>
        <v>#DIV/0!</v>
      </c>
      <c r="AQ1" s="14" t="e">
        <f>AQ21+AQ25+AQ29+AQ33+AQ37+AQ41+AQ45+AQ49+AQ53</f>
        <v>#DIV/0!</v>
      </c>
      <c r="AS1" s="14" t="e">
        <f>AS21+AS25+AS29+AS33+AS37+AS41+AS45+AS49+AS53</f>
        <v>#DIV/0!</v>
      </c>
      <c r="AU1" s="14" t="e">
        <f>AU21+AU25+AU29+AU33+AU37+AU41+AU45+AU49+AU53</f>
        <v>#DIV/0!</v>
      </c>
      <c r="AW1" s="14" t="e">
        <f>AW21+AW25+AW29+AW33+AW37+AW41+AW45+AW49+AW53</f>
        <v>#DIV/0!</v>
      </c>
      <c r="AY1" s="14" t="e">
        <f>AY21+AY25+AY29+AY33+AY37+AY41+AY45+AY49+AY53</f>
        <v>#DIV/0!</v>
      </c>
      <c r="BA1" s="14" t="e">
        <f>BA21+BA25+BA29+BA33+BA37+BA41+BA45+BA49+BA53</f>
        <v>#DIV/0!</v>
      </c>
      <c r="BC1" s="14" t="e">
        <f>BC21+BC25+BC29+BC33+BC37+BC41+BC45+BC49+BC53</f>
        <v>#DIV/0!</v>
      </c>
      <c r="BE1" s="14" t="e">
        <f>BE21+BE25+BE29+BE33+BE37+BE41+BE45+BE49+BE53</f>
        <v>#DIV/0!</v>
      </c>
      <c r="BG1" s="14" t="e">
        <f>BG21+BG25+BG29+BG33+BG37+BG41+BG45+BG49+BG53</f>
        <v>#DIV/0!</v>
      </c>
      <c r="BI1" s="14" t="e">
        <f>BI21+BI25+BI29+BI33+BI37+BI41+BI45+BI49+BI53</f>
        <v>#DIV/0!</v>
      </c>
      <c r="BK1" s="14" t="e">
        <f>BK21+BK25+BK29+BK33+BK37+BK41+BK45+BK49+BK53</f>
        <v>#DIV/0!</v>
      </c>
      <c r="BM1" s="14"/>
      <c r="BO1" s="14"/>
      <c r="BQ1" s="14"/>
      <c r="BS1" s="14"/>
      <c r="BU1" s="14"/>
      <c r="BW1" s="14"/>
      <c r="BY1" s="14"/>
      <c r="CA1" s="14"/>
      <c r="CC1" s="14"/>
      <c r="CE1" s="14"/>
      <c r="CG1" s="14"/>
      <c r="CI1" s="14"/>
      <c r="CK1" s="14"/>
      <c r="CM1" s="14"/>
      <c r="CO1" s="14"/>
      <c r="CQ1" s="14"/>
      <c r="CS1" s="14"/>
      <c r="CU1" s="14"/>
      <c r="CW1" s="14"/>
      <c r="CY1" s="14"/>
      <c r="DA1" s="14"/>
      <c r="DC1" s="14"/>
      <c r="DE1" s="14"/>
      <c r="DG1" s="14"/>
      <c r="DI1" s="14"/>
      <c r="DK1" s="14"/>
      <c r="DM1" s="14"/>
    </row>
    <row r="2" spans="1:118" x14ac:dyDescent="0.2">
      <c r="B2" s="68" t="s">
        <v>78</v>
      </c>
      <c r="C2" s="1" t="s">
        <v>79</v>
      </c>
    </row>
    <row r="3" spans="1:118" x14ac:dyDescent="0.2">
      <c r="B3" s="68" t="s">
        <v>80</v>
      </c>
      <c r="C3" s="1" t="s">
        <v>81</v>
      </c>
      <c r="I3" s="69" t="s">
        <v>82</v>
      </c>
      <c r="J3" s="70"/>
      <c r="K3" s="71" t="s">
        <v>83</v>
      </c>
      <c r="O3" s="72"/>
      <c r="Q3" s="1"/>
      <c r="U3" s="72"/>
      <c r="W3" s="1"/>
      <c r="AC3" s="72"/>
      <c r="AE3" s="1"/>
    </row>
    <row r="4" spans="1:118" s="3" customFormat="1" x14ac:dyDescent="0.2">
      <c r="A4" s="2"/>
      <c r="H4" s="73"/>
      <c r="I4" s="74"/>
      <c r="J4" s="73"/>
      <c r="K4" s="73">
        <v>44620</v>
      </c>
      <c r="L4" s="73"/>
      <c r="M4" s="73">
        <v>44651</v>
      </c>
      <c r="N4" s="73"/>
      <c r="O4" s="74">
        <v>44681</v>
      </c>
      <c r="P4" s="73"/>
      <c r="Q4" s="73">
        <v>44712</v>
      </c>
      <c r="R4" s="73"/>
      <c r="S4" s="73">
        <v>44742</v>
      </c>
      <c r="T4" s="73"/>
      <c r="U4" s="74">
        <v>44773</v>
      </c>
      <c r="V4" s="73"/>
      <c r="W4" s="73">
        <v>44804</v>
      </c>
      <c r="X4" s="73"/>
      <c r="Y4" s="73">
        <v>44834</v>
      </c>
      <c r="Z4" s="73"/>
      <c r="AA4" s="74">
        <v>44865</v>
      </c>
      <c r="AB4" s="73"/>
      <c r="AC4" s="73">
        <v>44895</v>
      </c>
      <c r="AD4" s="73"/>
      <c r="AE4" s="73">
        <v>44926</v>
      </c>
      <c r="AF4" s="73"/>
      <c r="AG4" s="75">
        <v>44957</v>
      </c>
      <c r="AH4" s="73"/>
      <c r="AI4" s="73">
        <v>44985</v>
      </c>
      <c r="AJ4" s="73"/>
      <c r="AK4" s="73">
        <v>45016</v>
      </c>
      <c r="AL4" s="73"/>
      <c r="AM4" s="75">
        <v>45046</v>
      </c>
      <c r="AN4" s="73"/>
      <c r="AO4" s="73">
        <v>45076</v>
      </c>
      <c r="AP4" s="73"/>
      <c r="AQ4" s="73">
        <v>45107</v>
      </c>
      <c r="AR4" s="73"/>
      <c r="AS4" s="75">
        <v>45138</v>
      </c>
      <c r="AT4" s="73"/>
      <c r="AU4" s="73">
        <v>45169</v>
      </c>
      <c r="AV4" s="73"/>
      <c r="AW4" s="73">
        <v>45199</v>
      </c>
      <c r="AX4" s="73"/>
      <c r="AY4" s="75">
        <v>45230</v>
      </c>
      <c r="AZ4" s="73"/>
      <c r="BA4" s="73">
        <v>45260</v>
      </c>
      <c r="BB4" s="73"/>
      <c r="BC4" s="73">
        <v>45291</v>
      </c>
      <c r="BD4" s="73"/>
      <c r="BE4" s="75">
        <v>45322</v>
      </c>
      <c r="BF4" s="73"/>
      <c r="BG4" s="73">
        <v>45350</v>
      </c>
      <c r="BH4" s="73"/>
      <c r="BI4" s="73">
        <v>45382</v>
      </c>
      <c r="BJ4" s="73"/>
      <c r="BK4" s="75">
        <v>45412</v>
      </c>
      <c r="BL4" s="73"/>
      <c r="BM4" s="73">
        <v>45443</v>
      </c>
      <c r="BN4" s="73"/>
      <c r="BO4" s="73">
        <v>45473</v>
      </c>
      <c r="BP4" s="73"/>
      <c r="BQ4" s="75">
        <v>45504</v>
      </c>
      <c r="BR4" s="73"/>
      <c r="BS4" s="73">
        <v>45535</v>
      </c>
      <c r="BT4" s="73"/>
      <c r="BU4" s="73">
        <v>45565</v>
      </c>
      <c r="BV4" s="73"/>
      <c r="BW4" s="73">
        <v>45596</v>
      </c>
      <c r="BX4" s="76"/>
      <c r="BY4" s="73">
        <v>45626</v>
      </c>
      <c r="BZ4" s="73"/>
      <c r="CA4" s="73">
        <v>45657</v>
      </c>
      <c r="CB4" s="73"/>
      <c r="CC4" s="73">
        <v>45688</v>
      </c>
      <c r="CD4" s="76"/>
      <c r="CE4" s="73">
        <v>45716</v>
      </c>
      <c r="CF4" s="73"/>
      <c r="CG4" s="73">
        <v>45747</v>
      </c>
      <c r="CH4" s="73"/>
      <c r="CI4" s="73">
        <v>45777</v>
      </c>
      <c r="CJ4" s="76"/>
      <c r="CK4" s="73">
        <v>45808</v>
      </c>
      <c r="CL4" s="73"/>
      <c r="CM4" s="73">
        <v>45838</v>
      </c>
      <c r="CN4" s="73"/>
      <c r="CO4" s="73">
        <v>45869</v>
      </c>
      <c r="CP4" s="76"/>
      <c r="CQ4" s="73">
        <v>45900</v>
      </c>
      <c r="CR4" s="73"/>
      <c r="CS4" s="73">
        <v>45930</v>
      </c>
      <c r="CT4" s="73"/>
      <c r="CU4" s="73">
        <v>45961</v>
      </c>
      <c r="CV4" s="76"/>
      <c r="CW4" s="77">
        <v>45991</v>
      </c>
      <c r="CX4" s="73"/>
      <c r="CY4" s="73">
        <v>46022</v>
      </c>
      <c r="CZ4" s="73"/>
      <c r="DA4" s="73">
        <v>46053</v>
      </c>
      <c r="DB4" s="76"/>
      <c r="DC4" s="73">
        <v>46081</v>
      </c>
      <c r="DD4" s="73"/>
      <c r="DE4" s="73">
        <v>46112</v>
      </c>
      <c r="DF4" s="73"/>
      <c r="DG4" s="73">
        <v>46142</v>
      </c>
      <c r="DH4" s="76"/>
      <c r="DI4" s="73">
        <v>46173</v>
      </c>
      <c r="DJ4" s="73"/>
      <c r="DK4" s="73">
        <v>46203</v>
      </c>
      <c r="DL4" s="73"/>
      <c r="DM4" s="73">
        <v>46234</v>
      </c>
      <c r="DN4" s="76"/>
    </row>
    <row r="5" spans="1:118" x14ac:dyDescent="0.2">
      <c r="A5" s="1" t="s">
        <v>0</v>
      </c>
      <c r="I5" s="78"/>
      <c r="K5" s="78"/>
      <c r="M5" s="78"/>
      <c r="O5" s="78"/>
      <c r="Q5" s="78"/>
      <c r="S5" s="78"/>
      <c r="U5" s="78"/>
      <c r="W5" s="78"/>
      <c r="Y5" s="78"/>
      <c r="AA5" s="78"/>
      <c r="AC5" s="78"/>
      <c r="AE5" s="78"/>
      <c r="AG5" s="78"/>
      <c r="AI5" s="78"/>
      <c r="AK5" s="79"/>
      <c r="AM5" s="78"/>
      <c r="AO5" s="78"/>
      <c r="AQ5" s="78"/>
      <c r="AS5" s="78"/>
      <c r="AU5" s="79"/>
      <c r="AW5" s="79"/>
      <c r="AY5" s="78"/>
      <c r="BA5" s="79"/>
      <c r="BC5" s="79"/>
      <c r="BE5" s="78"/>
      <c r="BG5" s="79"/>
      <c r="BI5" s="79"/>
      <c r="BK5" s="78"/>
      <c r="BM5" s="79"/>
      <c r="BO5" s="79"/>
      <c r="BQ5" s="78"/>
      <c r="BS5" s="79"/>
      <c r="BU5" s="79"/>
      <c r="BW5" s="78"/>
      <c r="BY5" s="79"/>
      <c r="CA5" s="79"/>
      <c r="CC5" s="78"/>
      <c r="CE5" s="79"/>
      <c r="CG5" s="79"/>
      <c r="CI5" s="79"/>
      <c r="CJ5" s="70"/>
      <c r="CK5" s="79"/>
      <c r="CM5" s="79"/>
      <c r="CO5" s="79"/>
      <c r="CP5" s="70"/>
      <c r="CQ5" s="79"/>
      <c r="CS5" s="79"/>
      <c r="CU5" s="79"/>
      <c r="CV5" s="70"/>
      <c r="CW5" s="79"/>
      <c r="CY5" s="79"/>
      <c r="DA5" s="79"/>
      <c r="DB5" s="70"/>
      <c r="DC5" s="79"/>
      <c r="DE5" s="79"/>
      <c r="DG5" s="79"/>
      <c r="DH5" s="70"/>
      <c r="DI5" s="79"/>
      <c r="DK5" s="79"/>
      <c r="DM5" s="79"/>
      <c r="DN5" s="70"/>
    </row>
    <row r="6" spans="1:118" x14ac:dyDescent="0.2">
      <c r="A6" s="1"/>
      <c r="I6" s="80"/>
      <c r="O6" s="80"/>
      <c r="U6" s="80"/>
      <c r="AA6" s="80"/>
      <c r="AG6" s="80"/>
      <c r="AM6" s="80"/>
      <c r="AS6" s="80"/>
      <c r="AY6" s="80"/>
      <c r="BE6" s="80"/>
      <c r="BK6" s="80"/>
      <c r="BQ6" s="80"/>
      <c r="BW6" s="80"/>
      <c r="CC6" s="80"/>
      <c r="CJ6" s="70"/>
      <c r="CP6" s="70"/>
      <c r="CV6" s="70"/>
      <c r="DB6" s="70"/>
      <c r="DH6" s="70"/>
      <c r="DN6" s="70"/>
    </row>
    <row r="7" spans="1:118" x14ac:dyDescent="0.2">
      <c r="B7" s="1" t="s">
        <v>53</v>
      </c>
      <c r="I7" s="80"/>
      <c r="O7" s="80"/>
      <c r="U7" s="80"/>
      <c r="AA7" s="80"/>
      <c r="AG7" s="80"/>
      <c r="AM7" s="80"/>
      <c r="AS7" s="80"/>
      <c r="AY7" s="80"/>
      <c r="BE7" s="80"/>
      <c r="BK7" s="80"/>
      <c r="BQ7" s="80"/>
      <c r="BW7" s="80"/>
      <c r="CC7" s="80"/>
      <c r="CJ7" s="70"/>
      <c r="CP7" s="70"/>
      <c r="CV7" s="70"/>
      <c r="DB7" s="70"/>
      <c r="DH7" s="70"/>
      <c r="DN7" s="70"/>
    </row>
    <row r="8" spans="1:118" x14ac:dyDescent="0.2">
      <c r="C8" s="1" t="s">
        <v>84</v>
      </c>
      <c r="I8" s="81"/>
      <c r="K8" s="16"/>
      <c r="M8" s="16"/>
      <c r="O8" s="16"/>
      <c r="P8" s="70"/>
      <c r="Q8" s="16"/>
      <c r="S8" s="16"/>
      <c r="U8" s="81"/>
      <c r="W8" s="16"/>
      <c r="Y8" s="16"/>
      <c r="AA8" s="81"/>
      <c r="AC8" s="16"/>
      <c r="AE8" s="16"/>
      <c r="AG8" s="16"/>
      <c r="AH8" s="70"/>
      <c r="AI8" s="16"/>
      <c r="AK8" s="16"/>
      <c r="AM8" s="81"/>
      <c r="AO8" s="16"/>
      <c r="AQ8" s="16"/>
      <c r="AS8" s="81"/>
      <c r="AU8" s="16"/>
      <c r="AW8" s="16"/>
      <c r="AY8" s="81"/>
      <c r="BA8" s="16"/>
      <c r="BC8" s="16"/>
      <c r="BE8" s="81"/>
      <c r="BG8" s="16" t="e">
        <f>BG20</f>
        <v>#DIV/0!</v>
      </c>
      <c r="BI8" s="16" t="e">
        <f>BI20</f>
        <v>#DIV/0!</v>
      </c>
      <c r="BK8" s="81" t="e">
        <f>BK20</f>
        <v>#DIV/0!</v>
      </c>
      <c r="BM8" s="16"/>
      <c r="BO8" s="16"/>
      <c r="BQ8" s="81"/>
      <c r="BS8" s="16"/>
      <c r="BU8" s="16"/>
      <c r="BW8" s="81"/>
      <c r="BY8" s="16"/>
      <c r="CA8" s="16"/>
      <c r="CC8" s="81"/>
      <c r="CE8" s="16"/>
      <c r="CG8" s="16"/>
      <c r="CI8" s="16"/>
      <c r="CJ8" s="70"/>
      <c r="CK8" s="16"/>
      <c r="CM8" s="16"/>
      <c r="CO8" s="16"/>
      <c r="CP8" s="70"/>
      <c r="CQ8" s="16"/>
      <c r="CS8" s="16"/>
      <c r="CU8" s="16"/>
      <c r="CV8" s="70"/>
      <c r="CW8" s="16"/>
      <c r="CY8" s="16"/>
      <c r="DA8" s="16"/>
      <c r="DB8" s="70"/>
      <c r="DC8" s="16"/>
      <c r="DE8" s="16"/>
      <c r="DG8" s="16"/>
      <c r="DH8" s="70"/>
      <c r="DI8" s="16"/>
      <c r="DK8" s="16"/>
      <c r="DM8" s="16"/>
      <c r="DN8" s="70"/>
    </row>
    <row r="9" spans="1:118" x14ac:dyDescent="0.2">
      <c r="C9" s="1" t="s">
        <v>85</v>
      </c>
      <c r="I9" s="81"/>
      <c r="K9" s="16"/>
      <c r="M9" s="16"/>
      <c r="O9" s="16"/>
      <c r="P9" s="70"/>
      <c r="Q9" s="16"/>
      <c r="S9" s="16"/>
      <c r="U9" s="81"/>
      <c r="W9" s="16"/>
      <c r="Y9" s="16"/>
      <c r="AA9" s="81"/>
      <c r="AC9" s="16"/>
      <c r="AE9" s="16"/>
      <c r="AG9" s="16"/>
      <c r="AH9" s="70"/>
      <c r="AI9" s="16"/>
      <c r="AK9" s="16"/>
      <c r="AM9" s="81"/>
      <c r="AO9" s="16"/>
      <c r="AQ9" s="16"/>
      <c r="AS9" s="81"/>
      <c r="AU9" s="16"/>
      <c r="AW9" s="16"/>
      <c r="AY9" s="81"/>
      <c r="BA9" s="16" t="e">
        <f>BA20</f>
        <v>#DIV/0!</v>
      </c>
      <c r="BC9" s="16" t="e">
        <f>BC20</f>
        <v>#DIV/0!</v>
      </c>
      <c r="BE9" s="81" t="e">
        <f>BE20</f>
        <v>#DIV/0!</v>
      </c>
      <c r="BG9" s="16" t="e">
        <f>BG24</f>
        <v>#DIV/0!</v>
      </c>
      <c r="BI9" s="16" t="e">
        <f>BI24</f>
        <v>#DIV/0!</v>
      </c>
      <c r="BK9" s="81" t="e">
        <f>BK24</f>
        <v>#DIV/0!</v>
      </c>
      <c r="BQ9" s="80"/>
      <c r="BW9" s="80"/>
      <c r="CC9" s="80"/>
      <c r="CJ9" s="70"/>
      <c r="CP9" s="70"/>
      <c r="CV9" s="70"/>
      <c r="DB9" s="70"/>
      <c r="DH9" s="70"/>
      <c r="DN9" s="70"/>
    </row>
    <row r="10" spans="1:118" x14ac:dyDescent="0.2">
      <c r="C10" s="1" t="s">
        <v>86</v>
      </c>
      <c r="I10" s="81"/>
      <c r="K10" s="16"/>
      <c r="M10" s="16"/>
      <c r="O10" s="16"/>
      <c r="P10" s="70"/>
      <c r="Q10" s="16"/>
      <c r="S10" s="16"/>
      <c r="U10" s="81"/>
      <c r="W10" s="16"/>
      <c r="Y10" s="16"/>
      <c r="AA10" s="81"/>
      <c r="AC10" s="16"/>
      <c r="AE10" s="16"/>
      <c r="AG10" s="16"/>
      <c r="AH10" s="70"/>
      <c r="AI10" s="16"/>
      <c r="AK10" s="16"/>
      <c r="AM10" s="81"/>
      <c r="AO10" s="16"/>
      <c r="AQ10" s="16"/>
      <c r="AS10" s="81"/>
      <c r="AU10" s="16" t="e">
        <f>AU20</f>
        <v>#DIV/0!</v>
      </c>
      <c r="AW10" s="16" t="e">
        <f>AW20</f>
        <v>#DIV/0!</v>
      </c>
      <c r="AY10" s="81" t="e">
        <f>AY20</f>
        <v>#DIV/0!</v>
      </c>
      <c r="BA10" s="16" t="e">
        <f>BA24</f>
        <v>#DIV/0!</v>
      </c>
      <c r="BC10" s="16" t="e">
        <f>BC24</f>
        <v>#DIV/0!</v>
      </c>
      <c r="BE10" s="81" t="e">
        <f>BE24</f>
        <v>#DIV/0!</v>
      </c>
      <c r="BG10" s="16" t="e">
        <f>BG28</f>
        <v>#DIV/0!</v>
      </c>
      <c r="BI10" s="16" t="e">
        <f>BI28</f>
        <v>#DIV/0!</v>
      </c>
      <c r="BK10" s="81" t="e">
        <f>BK28</f>
        <v>#DIV/0!</v>
      </c>
      <c r="BQ10" s="80"/>
      <c r="BW10" s="80"/>
      <c r="CC10" s="80"/>
      <c r="CJ10" s="70"/>
      <c r="CP10" s="70"/>
      <c r="CV10" s="70"/>
      <c r="DB10" s="70"/>
      <c r="DH10" s="70"/>
      <c r="DN10" s="70"/>
    </row>
    <row r="11" spans="1:118" x14ac:dyDescent="0.2">
      <c r="C11" s="1" t="s">
        <v>87</v>
      </c>
      <c r="I11" s="81"/>
      <c r="K11" s="16"/>
      <c r="M11" s="16"/>
      <c r="O11" s="16"/>
      <c r="P11" s="70"/>
      <c r="Q11" s="16"/>
      <c r="S11" s="16"/>
      <c r="U11" s="81"/>
      <c r="W11" s="16"/>
      <c r="Y11" s="16"/>
      <c r="AA11" s="81"/>
      <c r="AC11" s="16"/>
      <c r="AE11" s="16"/>
      <c r="AG11" s="16"/>
      <c r="AH11" s="70"/>
      <c r="AI11" s="16"/>
      <c r="AK11" s="16"/>
      <c r="AM11" s="81"/>
      <c r="AO11" s="16" t="e">
        <f>AO20</f>
        <v>#DIV/0!</v>
      </c>
      <c r="AQ11" s="16" t="e">
        <f>AQ20</f>
        <v>#DIV/0!</v>
      </c>
      <c r="AS11" s="81" t="e">
        <f>AS20</f>
        <v>#DIV/0!</v>
      </c>
      <c r="AU11" s="16" t="e">
        <f>AU24</f>
        <v>#DIV/0!</v>
      </c>
      <c r="AW11" s="16" t="e">
        <f>AW24</f>
        <v>#DIV/0!</v>
      </c>
      <c r="AY11" s="81" t="e">
        <f>AY24</f>
        <v>#DIV/0!</v>
      </c>
      <c r="BA11" s="16" t="e">
        <f>BA28</f>
        <v>#DIV/0!</v>
      </c>
      <c r="BC11" s="16" t="e">
        <f>BC28</f>
        <v>#DIV/0!</v>
      </c>
      <c r="BE11" s="81" t="e">
        <f>BE28</f>
        <v>#DIV/0!</v>
      </c>
      <c r="BG11" s="16" t="e">
        <f>BG32</f>
        <v>#DIV/0!</v>
      </c>
      <c r="BI11" s="16" t="e">
        <f>BI32</f>
        <v>#DIV/0!</v>
      </c>
      <c r="BK11" s="81" t="e">
        <f>BK32</f>
        <v>#DIV/0!</v>
      </c>
      <c r="BQ11" s="80"/>
      <c r="BW11" s="80"/>
      <c r="CC11" s="80"/>
      <c r="CJ11" s="70"/>
      <c r="CP11" s="70"/>
      <c r="CV11" s="70"/>
      <c r="DB11" s="70"/>
      <c r="DH11" s="70"/>
      <c r="DN11" s="70"/>
    </row>
    <row r="12" spans="1:118" x14ac:dyDescent="0.2">
      <c r="I12" s="82">
        <f>SUM(I8:I11)</f>
        <v>0</v>
      </c>
      <c r="K12" s="83">
        <f>SUM(K8:K11)</f>
        <v>0</v>
      </c>
      <c r="M12" s="83">
        <f>SUM(M8:M11)</f>
        <v>0</v>
      </c>
      <c r="O12" s="83">
        <f>SUM(O8:O11)</f>
        <v>0</v>
      </c>
      <c r="P12" s="70"/>
      <c r="Q12" s="83">
        <f>SUM(Q8:Q11)</f>
        <v>0</v>
      </c>
      <c r="S12" s="83">
        <f>SUM(S8:S11)</f>
        <v>0</v>
      </c>
      <c r="U12" s="82">
        <f>SUM(U8:U11)</f>
        <v>0</v>
      </c>
      <c r="W12" s="83">
        <f>SUM(W8:W11)</f>
        <v>0</v>
      </c>
      <c r="Y12" s="83">
        <f>SUM(Y8:Y11)</f>
        <v>0</v>
      </c>
      <c r="AA12" s="82">
        <f>SUM(AA8:AA11)</f>
        <v>0</v>
      </c>
      <c r="AC12" s="83">
        <f>SUM(AC8:AC11)</f>
        <v>0</v>
      </c>
      <c r="AE12" s="83">
        <f>SUM(AE8:AE11)</f>
        <v>0</v>
      </c>
      <c r="AG12" s="83">
        <f>SUM(AG8:AG11)</f>
        <v>0</v>
      </c>
      <c r="AH12" s="70"/>
      <c r="AI12" s="83">
        <f>SUM(AI8:AI11)</f>
        <v>0</v>
      </c>
      <c r="AK12" s="83">
        <f>SUM(AK8:AK11)</f>
        <v>0</v>
      </c>
      <c r="AM12" s="82">
        <f>SUM(AM8:AM11)</f>
        <v>0</v>
      </c>
      <c r="AO12" s="83" t="e">
        <f>SUM(AO8:AO11)</f>
        <v>#DIV/0!</v>
      </c>
      <c r="AQ12" s="83" t="e">
        <f>SUM(AQ8:AQ11)</f>
        <v>#DIV/0!</v>
      </c>
      <c r="AS12" s="82" t="e">
        <f>SUM(AS8:AS11)</f>
        <v>#DIV/0!</v>
      </c>
      <c r="AU12" s="83" t="e">
        <f>SUM(AU8:AU11)</f>
        <v>#DIV/0!</v>
      </c>
      <c r="AW12" s="83" t="e">
        <f>SUM(AW8:AW11)</f>
        <v>#DIV/0!</v>
      </c>
      <c r="AY12" s="82" t="e">
        <f>SUM(AY8:AY11)</f>
        <v>#DIV/0!</v>
      </c>
      <c r="BA12" s="83" t="e">
        <f>SUM(BA8:BA11)</f>
        <v>#DIV/0!</v>
      </c>
      <c r="BC12" s="83" t="e">
        <f>SUM(BC8:BC11)</f>
        <v>#DIV/0!</v>
      </c>
      <c r="BE12" s="82" t="e">
        <f>SUM(BE8:BE11)</f>
        <v>#DIV/0!</v>
      </c>
      <c r="BG12" s="83" t="e">
        <f>SUM(BG8:BG11)</f>
        <v>#DIV/0!</v>
      </c>
      <c r="BI12" s="83" t="e">
        <f>SUM(BI8:BI11)</f>
        <v>#DIV/0!</v>
      </c>
      <c r="BK12" s="82" t="e">
        <f>SUM(BK8:BK11)</f>
        <v>#DIV/0!</v>
      </c>
      <c r="BQ12" s="80"/>
      <c r="BW12" s="80"/>
      <c r="CC12" s="80"/>
      <c r="CJ12" s="70"/>
      <c r="CP12" s="70"/>
      <c r="CV12" s="70"/>
      <c r="DB12" s="70"/>
      <c r="DH12" s="70"/>
      <c r="DN12" s="70"/>
    </row>
    <row r="13" spans="1:118" x14ac:dyDescent="0.2">
      <c r="I13" s="80"/>
      <c r="P13" s="70"/>
      <c r="U13" s="80"/>
      <c r="AA13" s="80"/>
      <c r="AH13" s="70"/>
      <c r="AM13" s="80"/>
      <c r="AS13" s="80"/>
      <c r="AY13" s="80"/>
      <c r="BE13" s="80"/>
      <c r="BK13" s="80"/>
      <c r="BQ13" s="80"/>
      <c r="BW13" s="80"/>
      <c r="CC13" s="80"/>
      <c r="CJ13" s="70"/>
      <c r="CP13" s="70"/>
      <c r="CV13" s="70"/>
      <c r="DB13" s="70"/>
      <c r="DH13" s="70"/>
      <c r="DN13" s="70"/>
    </row>
    <row r="14" spans="1:118" x14ac:dyDescent="0.2">
      <c r="C14" s="1" t="s">
        <v>88</v>
      </c>
      <c r="I14" s="81"/>
      <c r="K14" s="16"/>
      <c r="M14" s="16"/>
      <c r="O14" s="16"/>
      <c r="P14" s="70"/>
      <c r="Q14" s="16"/>
      <c r="S14" s="16"/>
      <c r="U14" s="81"/>
      <c r="W14" s="16"/>
      <c r="Y14" s="16"/>
      <c r="AA14" s="81"/>
      <c r="AC14" s="16">
        <f>AC20</f>
        <v>0</v>
      </c>
      <c r="AE14" s="16">
        <f>AE20</f>
        <v>0</v>
      </c>
      <c r="AG14" s="16">
        <f>AG20</f>
        <v>0</v>
      </c>
      <c r="AH14" s="70"/>
      <c r="AI14" s="16">
        <f>AI24</f>
        <v>0</v>
      </c>
      <c r="AK14" s="16">
        <f>AK24</f>
        <v>0</v>
      </c>
      <c r="AM14" s="81">
        <f>AM24</f>
        <v>0</v>
      </c>
      <c r="AO14" s="16">
        <f>AO28</f>
        <v>0</v>
      </c>
      <c r="AQ14" s="16">
        <f>AQ28</f>
        <v>0</v>
      </c>
      <c r="AS14" s="81">
        <f>AS28</f>
        <v>0</v>
      </c>
      <c r="AU14" s="16">
        <f>AU32</f>
        <v>0</v>
      </c>
      <c r="AW14" s="16">
        <f>AW32</f>
        <v>0</v>
      </c>
      <c r="AY14" s="81">
        <f>AY32</f>
        <v>0</v>
      </c>
      <c r="BA14" s="16">
        <f>BA36</f>
        <v>0</v>
      </c>
      <c r="BC14" s="16">
        <f>BC36</f>
        <v>0</v>
      </c>
      <c r="BE14" s="81">
        <f>BE36</f>
        <v>0</v>
      </c>
      <c r="BG14" s="16">
        <f>BG40</f>
        <v>0</v>
      </c>
      <c r="BI14" s="16">
        <f>BI40</f>
        <v>0</v>
      </c>
      <c r="BK14" s="81">
        <f>BK40</f>
        <v>0</v>
      </c>
      <c r="BQ14" s="80"/>
      <c r="BW14" s="80"/>
      <c r="CC14" s="80"/>
      <c r="CJ14" s="70"/>
      <c r="CP14" s="70"/>
      <c r="CV14" s="70"/>
      <c r="DB14" s="70"/>
      <c r="DH14" s="70"/>
      <c r="DN14" s="70"/>
    </row>
    <row r="15" spans="1:118" x14ac:dyDescent="0.2">
      <c r="C15" s="1" t="s">
        <v>89</v>
      </c>
      <c r="I15" s="81"/>
      <c r="K15" s="16"/>
      <c r="M15" s="16"/>
      <c r="O15" s="16"/>
      <c r="P15" s="70"/>
      <c r="Q15" s="16"/>
      <c r="S15" s="16"/>
      <c r="U15" s="81"/>
      <c r="W15" s="16">
        <f>W20</f>
        <v>0</v>
      </c>
      <c r="Y15" s="16">
        <f>Y20</f>
        <v>0</v>
      </c>
      <c r="AA15" s="81">
        <f>AA20</f>
        <v>0</v>
      </c>
      <c r="AC15" s="16">
        <f>AC24</f>
        <v>0</v>
      </c>
      <c r="AE15" s="16">
        <f>AE24</f>
        <v>0</v>
      </c>
      <c r="AG15" s="16">
        <f>AG24</f>
        <v>0</v>
      </c>
      <c r="AH15" s="70"/>
      <c r="AI15" s="16">
        <f>AI28</f>
        <v>0</v>
      </c>
      <c r="AK15" s="16">
        <f>AK28</f>
        <v>0</v>
      </c>
      <c r="AM15" s="81">
        <f>AM28</f>
        <v>0</v>
      </c>
      <c r="AO15" s="16">
        <f>AO32</f>
        <v>0</v>
      </c>
      <c r="AQ15" s="16">
        <f>AQ32</f>
        <v>0</v>
      </c>
      <c r="AS15" s="81">
        <f>AS32</f>
        <v>0</v>
      </c>
      <c r="AU15" s="16">
        <f>AU36</f>
        <v>0</v>
      </c>
      <c r="AW15" s="16">
        <f>AW36</f>
        <v>0</v>
      </c>
      <c r="AY15" s="81">
        <f>AY36</f>
        <v>0</v>
      </c>
      <c r="BA15" s="16">
        <f>BA40</f>
        <v>0</v>
      </c>
      <c r="BC15" s="16">
        <f>BC40</f>
        <v>0</v>
      </c>
      <c r="BE15" s="81">
        <f>BE40</f>
        <v>0</v>
      </c>
      <c r="BG15" s="16">
        <f>BG44</f>
        <v>0</v>
      </c>
      <c r="BI15" s="16">
        <f>BI44</f>
        <v>0</v>
      </c>
      <c r="BK15" s="81">
        <f>BK44</f>
        <v>0</v>
      </c>
      <c r="BQ15" s="80"/>
      <c r="BW15" s="80"/>
      <c r="CC15" s="80"/>
      <c r="CJ15" s="70"/>
      <c r="CP15" s="70"/>
      <c r="CV15" s="70"/>
      <c r="DB15" s="70"/>
      <c r="DH15" s="70"/>
      <c r="DN15" s="70"/>
    </row>
    <row r="16" spans="1:118" x14ac:dyDescent="0.2">
      <c r="C16" s="1" t="s">
        <v>90</v>
      </c>
      <c r="I16" s="81"/>
      <c r="K16" s="16"/>
      <c r="M16" s="16"/>
      <c r="O16" s="16"/>
      <c r="P16" s="70"/>
      <c r="Q16" s="16">
        <f>Q20</f>
        <v>0</v>
      </c>
      <c r="S16" s="16">
        <f>S20</f>
        <v>0</v>
      </c>
      <c r="U16" s="81">
        <f>U20</f>
        <v>0</v>
      </c>
      <c r="W16" s="16">
        <f>W24</f>
        <v>0</v>
      </c>
      <c r="Y16" s="16">
        <f>Y24</f>
        <v>0</v>
      </c>
      <c r="AA16" s="81">
        <f>AA24</f>
        <v>0</v>
      </c>
      <c r="AC16" s="16">
        <f>AC28</f>
        <v>0</v>
      </c>
      <c r="AE16" s="16">
        <f>AE28</f>
        <v>0</v>
      </c>
      <c r="AG16" s="16">
        <f>AG28</f>
        <v>0</v>
      </c>
      <c r="AH16" s="70"/>
      <c r="AI16" s="16">
        <f>AI32</f>
        <v>0</v>
      </c>
      <c r="AK16" s="16">
        <f>AK32</f>
        <v>0</v>
      </c>
      <c r="AM16" s="81">
        <f>AM32</f>
        <v>0</v>
      </c>
      <c r="AO16" s="16">
        <f>AO36</f>
        <v>0</v>
      </c>
      <c r="AQ16" s="16">
        <f>AQ36</f>
        <v>0</v>
      </c>
      <c r="AS16" s="81">
        <f>AS36</f>
        <v>0</v>
      </c>
      <c r="AU16" s="16">
        <f>AU40</f>
        <v>0</v>
      </c>
      <c r="AW16" s="16">
        <f>AW40</f>
        <v>0</v>
      </c>
      <c r="AY16" s="81">
        <f>AY40</f>
        <v>0</v>
      </c>
      <c r="BA16" s="16">
        <f>BA44</f>
        <v>0</v>
      </c>
      <c r="BC16" s="16">
        <f>BC44</f>
        <v>0</v>
      </c>
      <c r="BE16" s="81">
        <f>BE44</f>
        <v>0</v>
      </c>
      <c r="BG16" s="16">
        <f>BG48</f>
        <v>0</v>
      </c>
      <c r="BI16" s="16">
        <f>BI48</f>
        <v>0</v>
      </c>
      <c r="BK16" s="81">
        <f>BK48</f>
        <v>0</v>
      </c>
      <c r="BQ16" s="80"/>
      <c r="BW16" s="80"/>
      <c r="CC16" s="80"/>
      <c r="CJ16" s="70"/>
      <c r="CP16" s="70"/>
      <c r="CV16" s="70"/>
      <c r="DB16" s="70"/>
      <c r="DH16" s="70"/>
      <c r="DN16" s="70"/>
    </row>
    <row r="17" spans="3:118" x14ac:dyDescent="0.2">
      <c r="C17" s="1" t="s">
        <v>91</v>
      </c>
      <c r="I17" s="81"/>
      <c r="K17" s="16">
        <f>K20</f>
        <v>0</v>
      </c>
      <c r="M17" s="16">
        <f>M20</f>
        <v>0</v>
      </c>
      <c r="O17" s="16">
        <f>O20</f>
        <v>0</v>
      </c>
      <c r="P17" s="70"/>
      <c r="Q17" s="16">
        <f>Q24</f>
        <v>0</v>
      </c>
      <c r="S17" s="16">
        <f>S24</f>
        <v>0</v>
      </c>
      <c r="U17" s="81">
        <f>U24</f>
        <v>0</v>
      </c>
      <c r="W17" s="16">
        <f>W28</f>
        <v>0</v>
      </c>
      <c r="Y17" s="16">
        <f>Y28</f>
        <v>0</v>
      </c>
      <c r="AA17" s="84">
        <f>AA28</f>
        <v>0</v>
      </c>
      <c r="AC17" s="16">
        <f>AC32</f>
        <v>0</v>
      </c>
      <c r="AE17" s="16">
        <f>AE32</f>
        <v>0</v>
      </c>
      <c r="AG17" s="16">
        <f>AG32</f>
        <v>0</v>
      </c>
      <c r="AH17" s="70"/>
      <c r="AI17" s="16">
        <f>AI36</f>
        <v>0</v>
      </c>
      <c r="AK17" s="16">
        <f>AK36</f>
        <v>0</v>
      </c>
      <c r="AM17" s="81">
        <f>AM36</f>
        <v>0</v>
      </c>
      <c r="AO17" s="16">
        <f>AO40</f>
        <v>0</v>
      </c>
      <c r="AQ17" s="16">
        <f>AQ40</f>
        <v>0</v>
      </c>
      <c r="AS17" s="81">
        <f>AS40</f>
        <v>0</v>
      </c>
      <c r="AU17" s="16">
        <f>AU44</f>
        <v>0</v>
      </c>
      <c r="AW17" s="16">
        <f>AW44</f>
        <v>0</v>
      </c>
      <c r="AY17" s="81">
        <f>AY44</f>
        <v>0</v>
      </c>
      <c r="BA17" s="16">
        <f>BA48</f>
        <v>0</v>
      </c>
      <c r="BC17" s="16">
        <f>BC48</f>
        <v>0</v>
      </c>
      <c r="BE17" s="81">
        <f>BE48</f>
        <v>0</v>
      </c>
      <c r="BG17" s="16">
        <f>BG52</f>
        <v>0</v>
      </c>
      <c r="BI17" s="16">
        <f>BI52</f>
        <v>0</v>
      </c>
      <c r="BK17" s="81">
        <f>BK52</f>
        <v>0</v>
      </c>
      <c r="BQ17" s="80"/>
      <c r="BW17" s="80"/>
      <c r="CC17" s="80"/>
      <c r="CJ17" s="70"/>
      <c r="CP17" s="70"/>
      <c r="CV17" s="70"/>
      <c r="DB17" s="70"/>
      <c r="DH17" s="70"/>
      <c r="DN17" s="70"/>
    </row>
    <row r="18" spans="3:118" x14ac:dyDescent="0.2">
      <c r="I18" s="82">
        <f>SUM(I14:I17)</f>
        <v>0</v>
      </c>
      <c r="K18" s="83">
        <f>SUM(K14:K17)</f>
        <v>0</v>
      </c>
      <c r="M18" s="83">
        <f>SUM(M14:M17)</f>
        <v>0</v>
      </c>
      <c r="O18" s="83">
        <f>SUM(O14:O17)</f>
        <v>0</v>
      </c>
      <c r="P18" s="70"/>
      <c r="Q18" s="83">
        <f>SUM(Q14:Q17)</f>
        <v>0</v>
      </c>
      <c r="S18" s="83">
        <f>SUM(S14:S17)</f>
        <v>0</v>
      </c>
      <c r="U18" s="82">
        <f>SUM(U14:U17)</f>
        <v>0</v>
      </c>
      <c r="W18" s="83">
        <f>SUM(W14:W17)</f>
        <v>0</v>
      </c>
      <c r="Y18" s="83">
        <f>SUM(Y14:Y17)</f>
        <v>0</v>
      </c>
      <c r="AA18" s="82">
        <f>SUM(AA14:AA17)</f>
        <v>0</v>
      </c>
      <c r="AC18" s="83">
        <f>SUM(AC14:AC17)</f>
        <v>0</v>
      </c>
      <c r="AE18" s="83">
        <f>SUM(AE14:AE17)</f>
        <v>0</v>
      </c>
      <c r="AG18" s="83">
        <f>SUM(AG14:AG17)</f>
        <v>0</v>
      </c>
      <c r="AH18" s="70"/>
      <c r="AI18" s="83">
        <f>SUM(AI14:AI17)</f>
        <v>0</v>
      </c>
      <c r="AK18" s="83">
        <f>SUM(AK14:AK17)</f>
        <v>0</v>
      </c>
      <c r="AM18" s="82">
        <f>SUM(AM14:AM17)</f>
        <v>0</v>
      </c>
      <c r="AO18" s="83">
        <f>SUM(AO14:AO17)</f>
        <v>0</v>
      </c>
      <c r="AQ18" s="83">
        <f>SUM(AQ14:AQ17)</f>
        <v>0</v>
      </c>
      <c r="AS18" s="82">
        <f>SUM(AS14:AS17)</f>
        <v>0</v>
      </c>
      <c r="AU18" s="83">
        <f>SUM(AU14:AU17)</f>
        <v>0</v>
      </c>
      <c r="AW18" s="83">
        <f>SUM(AW14:AW17)</f>
        <v>0</v>
      </c>
      <c r="AY18" s="82">
        <f>SUM(AY14:AY17)</f>
        <v>0</v>
      </c>
      <c r="BA18" s="83">
        <f>SUM(BA14:BA16)</f>
        <v>0</v>
      </c>
      <c r="BC18" s="83">
        <f>SUM(BC14:BC16)</f>
        <v>0</v>
      </c>
      <c r="BE18" s="82">
        <f>SUM(BE14:BE16)</f>
        <v>0</v>
      </c>
      <c r="BG18" s="83">
        <f>SUM(BG14:BG16)</f>
        <v>0</v>
      </c>
      <c r="BI18" s="83">
        <f>SUM(BI14:BI16)</f>
        <v>0</v>
      </c>
      <c r="BK18" s="82">
        <f>SUM(BK14:BK16)</f>
        <v>0</v>
      </c>
      <c r="BQ18" s="80"/>
      <c r="BW18" s="80"/>
      <c r="CC18" s="80"/>
      <c r="CJ18" s="70"/>
      <c r="CP18" s="70"/>
      <c r="CV18" s="70"/>
      <c r="DB18" s="70"/>
      <c r="DH18" s="70"/>
      <c r="DN18" s="70"/>
    </row>
    <row r="19" spans="3:118" x14ac:dyDescent="0.2">
      <c r="I19" s="81"/>
      <c r="K19" s="16"/>
      <c r="M19" s="16"/>
      <c r="O19" s="16"/>
      <c r="P19" s="70"/>
      <c r="Q19" s="16"/>
      <c r="S19" s="16"/>
      <c r="U19" s="81"/>
      <c r="W19" s="16"/>
      <c r="Y19" s="16"/>
      <c r="AA19" s="81"/>
      <c r="AC19" s="16"/>
      <c r="AE19" s="16"/>
      <c r="AG19" s="16"/>
      <c r="AH19" s="70"/>
      <c r="AI19" s="16"/>
      <c r="AK19" s="16"/>
      <c r="AM19" s="81"/>
      <c r="AO19" s="16"/>
      <c r="AQ19" s="16"/>
      <c r="AS19" s="81"/>
      <c r="AU19" s="16"/>
      <c r="AW19" s="16"/>
      <c r="AY19" s="81"/>
      <c r="BA19" s="16"/>
      <c r="BC19" s="16"/>
      <c r="BE19" s="81"/>
      <c r="BG19" s="16"/>
      <c r="BK19" s="80"/>
      <c r="BQ19" s="80"/>
      <c r="BW19" s="80"/>
      <c r="CC19" s="80"/>
      <c r="CJ19" s="70"/>
      <c r="CP19" s="70"/>
      <c r="CV19" s="70"/>
      <c r="DB19" s="70"/>
      <c r="DH19" s="70"/>
      <c r="DN19" s="70"/>
    </row>
    <row r="20" spans="3:118" x14ac:dyDescent="0.2">
      <c r="I20" s="80"/>
      <c r="J20" s="70"/>
      <c r="K20" s="85"/>
      <c r="M20" s="15">
        <f>K20</f>
        <v>0</v>
      </c>
      <c r="N20" s="16"/>
      <c r="O20" s="86">
        <f>M20</f>
        <v>0</v>
      </c>
      <c r="P20" s="70"/>
      <c r="Q20" s="15">
        <f>O20</f>
        <v>0</v>
      </c>
      <c r="R20" s="16"/>
      <c r="S20" s="15">
        <f>Q20</f>
        <v>0</v>
      </c>
      <c r="T20" s="16"/>
      <c r="U20" s="86">
        <f>S20</f>
        <v>0</v>
      </c>
      <c r="V20" s="70"/>
      <c r="W20" s="15">
        <f>U20</f>
        <v>0</v>
      </c>
      <c r="X20" s="16"/>
      <c r="Y20" s="15">
        <f>W20</f>
        <v>0</v>
      </c>
      <c r="Z20" s="16"/>
      <c r="AA20" s="86">
        <f>Y20</f>
        <v>0</v>
      </c>
      <c r="AB20" s="70"/>
      <c r="AC20" s="15"/>
      <c r="AD20" s="16"/>
      <c r="AE20" s="15">
        <f>AC20</f>
        <v>0</v>
      </c>
      <c r="AF20" s="16"/>
      <c r="AG20" s="86">
        <f>AE20</f>
        <v>0</v>
      </c>
      <c r="AH20" s="87"/>
      <c r="AJ20" s="16"/>
      <c r="AK20" s="16"/>
      <c r="AL20" s="16"/>
      <c r="AM20" s="81"/>
      <c r="AN20" s="70"/>
      <c r="AO20" s="15" t="e">
        <f>AM22</f>
        <v>#DIV/0!</v>
      </c>
      <c r="AP20" s="16"/>
      <c r="AQ20" s="15" t="e">
        <f>AO20</f>
        <v>#DIV/0!</v>
      </c>
      <c r="AR20" s="16"/>
      <c r="AS20" s="86" t="e">
        <f>AQ20</f>
        <v>#DIV/0!</v>
      </c>
      <c r="AT20" s="70"/>
      <c r="AU20" s="15" t="e">
        <f>AS20</f>
        <v>#DIV/0!</v>
      </c>
      <c r="AV20" s="16"/>
      <c r="AW20" s="15" t="e">
        <f>AU20</f>
        <v>#DIV/0!</v>
      </c>
      <c r="AX20" s="16"/>
      <c r="AY20" s="86" t="e">
        <f>AW20</f>
        <v>#DIV/0!</v>
      </c>
      <c r="AZ20" s="70"/>
      <c r="BA20" s="15" t="e">
        <f>AY20</f>
        <v>#DIV/0!</v>
      </c>
      <c r="BB20" s="16"/>
      <c r="BC20" s="15" t="e">
        <f>BA20</f>
        <v>#DIV/0!</v>
      </c>
      <c r="BD20" s="16"/>
      <c r="BE20" s="86" t="e">
        <f>BC20</f>
        <v>#DIV/0!</v>
      </c>
      <c r="BF20" s="70"/>
      <c r="BG20" s="15" t="e">
        <f>BE20</f>
        <v>#DIV/0!</v>
      </c>
      <c r="BH20" s="16"/>
      <c r="BI20" s="15" t="e">
        <f>BG20</f>
        <v>#DIV/0!</v>
      </c>
      <c r="BJ20" s="16"/>
      <c r="BK20" s="86" t="e">
        <f>BI20</f>
        <v>#DIV/0!</v>
      </c>
      <c r="BM20" s="16"/>
      <c r="BN20" s="16"/>
      <c r="BO20" s="16"/>
      <c r="BP20" s="16"/>
      <c r="BQ20" s="81"/>
      <c r="BS20" s="16"/>
      <c r="BT20" s="16"/>
      <c r="BU20" s="16"/>
      <c r="BV20" s="16"/>
      <c r="BW20" s="81"/>
      <c r="BY20" s="16"/>
      <c r="BZ20" s="16"/>
      <c r="CA20" s="16"/>
      <c r="CB20" s="16"/>
      <c r="CC20" s="81"/>
      <c r="CE20" s="16"/>
      <c r="CF20" s="16"/>
      <c r="CG20" s="16"/>
      <c r="CH20" s="16"/>
      <c r="CI20" s="16"/>
      <c r="CJ20" s="70"/>
      <c r="CK20" s="16"/>
      <c r="CL20" s="16"/>
      <c r="CM20" s="16"/>
      <c r="CN20" s="16"/>
      <c r="CO20" s="16"/>
      <c r="CP20" s="70"/>
      <c r="CQ20" s="16"/>
      <c r="CR20" s="16"/>
      <c r="CS20" s="16"/>
      <c r="CT20" s="16"/>
      <c r="CU20" s="16"/>
      <c r="CV20" s="70"/>
      <c r="CW20" s="16"/>
      <c r="CX20" s="16"/>
      <c r="CY20" s="16"/>
      <c r="CZ20" s="16"/>
      <c r="DA20" s="16"/>
      <c r="DB20" s="70"/>
      <c r="DC20" s="16"/>
      <c r="DD20" s="16"/>
      <c r="DE20" s="16"/>
      <c r="DF20" s="16"/>
      <c r="DG20" s="16"/>
      <c r="DH20" s="70"/>
      <c r="DI20" s="16"/>
      <c r="DJ20" s="16"/>
      <c r="DK20" s="16"/>
      <c r="DL20" s="16"/>
      <c r="DM20" s="16"/>
      <c r="DN20" s="70"/>
    </row>
    <row r="21" spans="3:118" x14ac:dyDescent="0.2">
      <c r="C21" s="13" t="s">
        <v>92</v>
      </c>
      <c r="I21" s="88"/>
      <c r="J21" s="70"/>
      <c r="K21" s="12">
        <f>I21-(K$5*K20)</f>
        <v>0</v>
      </c>
      <c r="M21" s="12">
        <f>K21-(M$5*M20)</f>
        <v>0</v>
      </c>
      <c r="O21" s="89">
        <f>M21-(O$5*O20)</f>
        <v>0</v>
      </c>
      <c r="P21" s="70"/>
      <c r="Q21" s="12">
        <f>O21-(Q$5*Q20)</f>
        <v>0</v>
      </c>
      <c r="S21" s="12">
        <f>Q21-(S$5*S20)</f>
        <v>0</v>
      </c>
      <c r="U21" s="89">
        <f>S21-(U$5*U20)</f>
        <v>0</v>
      </c>
      <c r="V21" s="70"/>
      <c r="W21" s="12">
        <f>U21-(W$5*W20)</f>
        <v>0</v>
      </c>
      <c r="Y21" s="12">
        <f>W21-(Y$5*Y20)</f>
        <v>0</v>
      </c>
      <c r="AA21" s="89">
        <f>Y21-(AA$5*AA20)</f>
        <v>0</v>
      </c>
      <c r="AB21" s="70"/>
      <c r="AC21" s="12">
        <f>AA21-(AC$5*AC20)</f>
        <v>0</v>
      </c>
      <c r="AE21" s="12">
        <f>AC21-(AE$5*AE20)</f>
        <v>0</v>
      </c>
      <c r="AG21" s="89">
        <f>AE21-(AG$5*AG20)</f>
        <v>0</v>
      </c>
      <c r="AH21" s="90"/>
      <c r="AI21" s="14">
        <f>AG21</f>
        <v>0</v>
      </c>
      <c r="AJ21" s="14"/>
      <c r="AK21" s="14">
        <f>AI21</f>
        <v>0</v>
      </c>
      <c r="AL21" s="14"/>
      <c r="AM21" s="91">
        <f>AK21</f>
        <v>0</v>
      </c>
      <c r="AN21" s="70"/>
      <c r="AO21" s="12" t="e">
        <f>AM21-(AO$5*AO20)</f>
        <v>#DIV/0!</v>
      </c>
      <c r="AQ21" s="12" t="e">
        <f>AO21-(AQ$5*AQ20)</f>
        <v>#DIV/0!</v>
      </c>
      <c r="AS21" s="89" t="e">
        <f>AQ21-(AS$5*AS20)</f>
        <v>#DIV/0!</v>
      </c>
      <c r="AT21" s="70"/>
      <c r="AU21" s="12" t="e">
        <f>AS21-(AU$5*AU20)</f>
        <v>#DIV/0!</v>
      </c>
      <c r="AW21" s="12" t="e">
        <f>AU21-(AW$5*AW20)</f>
        <v>#DIV/0!</v>
      </c>
      <c r="AY21" s="89" t="e">
        <f>AW21-(AY$5*AY20)</f>
        <v>#DIV/0!</v>
      </c>
      <c r="AZ21" s="70"/>
      <c r="BA21" s="12" t="e">
        <f>AY21-(BA$5*BA20)</f>
        <v>#DIV/0!</v>
      </c>
      <c r="BC21" s="12" t="e">
        <f>BA21-(BC$5*BC20)</f>
        <v>#DIV/0!</v>
      </c>
      <c r="BE21" s="89" t="e">
        <f>BC21-(BE$5*BE20)</f>
        <v>#DIV/0!</v>
      </c>
      <c r="BF21" s="70"/>
      <c r="BG21" s="12" t="e">
        <f>BE21-(BG$5*BG20)</f>
        <v>#DIV/0!</v>
      </c>
      <c r="BI21" s="12" t="e">
        <f>BG21-(BI$5*BI20)</f>
        <v>#DIV/0!</v>
      </c>
      <c r="BK21" s="92" t="e">
        <f>BI21-(BK$5*BK20)</f>
        <v>#DIV/0!</v>
      </c>
      <c r="BM21" s="14"/>
      <c r="BO21" s="14"/>
      <c r="BQ21" s="93"/>
      <c r="BS21" s="14"/>
      <c r="BU21" s="14"/>
      <c r="BW21" s="93"/>
      <c r="BY21" s="14"/>
      <c r="CA21" s="14"/>
      <c r="CC21" s="93"/>
      <c r="CE21" s="14"/>
      <c r="CG21" s="14"/>
      <c r="CI21" s="14"/>
      <c r="CJ21" s="70"/>
      <c r="CK21" s="14"/>
      <c r="CM21" s="14"/>
      <c r="CO21" s="14"/>
      <c r="CP21" s="70"/>
      <c r="CQ21" s="14"/>
      <c r="CS21" s="14"/>
      <c r="CU21" s="14"/>
      <c r="CV21" s="70"/>
      <c r="CW21" s="14"/>
      <c r="CY21" s="14"/>
      <c r="DA21" s="14"/>
      <c r="DB21" s="70"/>
      <c r="DC21" s="14"/>
      <c r="DE21" s="14"/>
      <c r="DG21" s="14"/>
      <c r="DH21" s="70"/>
      <c r="DI21" s="14"/>
      <c r="DK21" s="14"/>
      <c r="DM21" s="14"/>
      <c r="DN21" s="70"/>
    </row>
    <row r="22" spans="3:118" x14ac:dyDescent="0.2">
      <c r="I22" s="80"/>
      <c r="J22" s="70"/>
      <c r="O22" s="80"/>
      <c r="P22" s="70"/>
      <c r="U22" s="80"/>
      <c r="V22" s="70"/>
      <c r="AA22" s="80"/>
      <c r="AB22" s="70"/>
      <c r="AG22" s="94"/>
      <c r="AM22" s="95" t="e">
        <f>(AM21/SUM(AO$5:BK$5))</f>
        <v>#DIV/0!</v>
      </c>
      <c r="AN22" s="70"/>
      <c r="AO22" s="1"/>
      <c r="AS22" s="80"/>
      <c r="AT22" s="70"/>
      <c r="AY22" s="80"/>
      <c r="AZ22" s="70"/>
      <c r="BE22" s="80"/>
      <c r="BF22" s="70"/>
      <c r="BK22" s="80"/>
      <c r="BQ22" s="80"/>
      <c r="BW22" s="80"/>
      <c r="CC22" s="80"/>
      <c r="CJ22" s="70"/>
      <c r="CP22" s="70"/>
      <c r="CV22" s="70"/>
      <c r="DB22" s="70"/>
      <c r="DH22" s="70"/>
      <c r="DN22" s="70"/>
    </row>
    <row r="23" spans="3:118" x14ac:dyDescent="0.2">
      <c r="J23" s="70"/>
      <c r="P23" s="70"/>
      <c r="V23" s="70"/>
      <c r="AB23" s="70"/>
      <c r="AH23" s="70"/>
      <c r="AN23" s="70"/>
      <c r="AT23" s="70"/>
      <c r="AZ23" s="70"/>
      <c r="BF23" s="70"/>
      <c r="BK23" s="80"/>
      <c r="BQ23" s="80"/>
      <c r="BW23" s="80"/>
      <c r="CC23" s="80"/>
      <c r="CJ23" s="70"/>
      <c r="CP23" s="70"/>
      <c r="CV23" s="70"/>
      <c r="DB23" s="70"/>
      <c r="DH23" s="70"/>
      <c r="DN23" s="70"/>
    </row>
    <row r="24" spans="3:118" x14ac:dyDescent="0.2">
      <c r="O24" s="80"/>
      <c r="P24" s="70"/>
      <c r="Q24" s="85"/>
      <c r="S24" s="15">
        <f>Q24</f>
        <v>0</v>
      </c>
      <c r="T24" s="16"/>
      <c r="U24" s="86">
        <f>S24</f>
        <v>0</v>
      </c>
      <c r="V24" s="70"/>
      <c r="W24" s="15">
        <f>U24</f>
        <v>0</v>
      </c>
      <c r="X24" s="16"/>
      <c r="Y24" s="15">
        <f>W24</f>
        <v>0</v>
      </c>
      <c r="Z24" s="16"/>
      <c r="AA24" s="86">
        <f>Y24</f>
        <v>0</v>
      </c>
      <c r="AB24" s="70"/>
      <c r="AC24" s="15"/>
      <c r="AD24" s="16"/>
      <c r="AE24" s="15">
        <f>AC24</f>
        <v>0</v>
      </c>
      <c r="AF24" s="16"/>
      <c r="AG24" s="86">
        <f>AE24</f>
        <v>0</v>
      </c>
      <c r="AH24" s="70"/>
      <c r="AI24" s="15">
        <f>AG24</f>
        <v>0</v>
      </c>
      <c r="AJ24" s="16"/>
      <c r="AK24" s="15">
        <f>AI24</f>
        <v>0</v>
      </c>
      <c r="AL24" s="16"/>
      <c r="AM24" s="86">
        <f>AK24</f>
        <v>0</v>
      </c>
      <c r="AN24" s="87"/>
      <c r="AP24" s="16"/>
      <c r="AQ24" s="16"/>
      <c r="AR24" s="16"/>
      <c r="AS24" s="81"/>
      <c r="AT24" s="70"/>
      <c r="AU24" s="15" t="e">
        <f>AS26</f>
        <v>#DIV/0!</v>
      </c>
      <c r="AV24" s="16"/>
      <c r="AW24" s="15" t="e">
        <f>AU24</f>
        <v>#DIV/0!</v>
      </c>
      <c r="AX24" s="16"/>
      <c r="AY24" s="86" t="e">
        <f>AW24</f>
        <v>#DIV/0!</v>
      </c>
      <c r="AZ24" s="70"/>
      <c r="BA24" s="15" t="e">
        <f>AY24</f>
        <v>#DIV/0!</v>
      </c>
      <c r="BB24" s="16"/>
      <c r="BC24" s="15" t="e">
        <f>BA24</f>
        <v>#DIV/0!</v>
      </c>
      <c r="BD24" s="16"/>
      <c r="BE24" s="86" t="e">
        <f>BC24</f>
        <v>#DIV/0!</v>
      </c>
      <c r="BF24" s="70"/>
      <c r="BG24" s="15" t="e">
        <f>BE24</f>
        <v>#DIV/0!</v>
      </c>
      <c r="BH24" s="16"/>
      <c r="BI24" s="15" t="e">
        <f>BG24</f>
        <v>#DIV/0!</v>
      </c>
      <c r="BJ24" s="16"/>
      <c r="BK24" s="86" t="e">
        <f>BI24</f>
        <v>#DIV/0!</v>
      </c>
      <c r="BL24" s="70"/>
      <c r="BM24" s="15" t="e">
        <f>BK24</f>
        <v>#DIV/0!</v>
      </c>
      <c r="BN24" s="16"/>
      <c r="BO24" s="15" t="e">
        <f>BM24</f>
        <v>#DIV/0!</v>
      </c>
      <c r="BP24" s="16"/>
      <c r="BQ24" s="86" t="e">
        <f>BO24</f>
        <v>#DIV/0!</v>
      </c>
      <c r="BS24" s="16"/>
      <c r="BT24" s="16"/>
      <c r="BU24" s="16"/>
      <c r="BV24" s="16"/>
      <c r="BW24" s="81"/>
      <c r="BY24" s="16"/>
      <c r="BZ24" s="16"/>
      <c r="CA24" s="16"/>
      <c r="CB24" s="16"/>
      <c r="CC24" s="81"/>
      <c r="CE24" s="16"/>
      <c r="CF24" s="16"/>
      <c r="CG24" s="16"/>
      <c r="CH24" s="16"/>
      <c r="CI24" s="16"/>
      <c r="CJ24" s="70"/>
      <c r="CK24" s="16"/>
      <c r="CL24" s="16"/>
      <c r="CM24" s="16"/>
      <c r="CN24" s="16"/>
      <c r="CO24" s="16"/>
      <c r="CP24" s="70"/>
      <c r="CQ24" s="16"/>
      <c r="CR24" s="16"/>
      <c r="CS24" s="16"/>
      <c r="CT24" s="16"/>
      <c r="CU24" s="16"/>
      <c r="CV24" s="70"/>
      <c r="CW24" s="16"/>
      <c r="CX24" s="16"/>
      <c r="CY24" s="16"/>
      <c r="CZ24" s="16"/>
      <c r="DA24" s="16"/>
      <c r="DB24" s="70"/>
      <c r="DC24" s="16"/>
      <c r="DD24" s="16"/>
      <c r="DE24" s="16"/>
      <c r="DF24" s="16"/>
      <c r="DG24" s="16"/>
      <c r="DH24" s="70"/>
      <c r="DI24" s="16"/>
      <c r="DJ24" s="16"/>
      <c r="DK24" s="16"/>
      <c r="DL24" s="16"/>
      <c r="DM24" s="16"/>
      <c r="DN24" s="70"/>
    </row>
    <row r="25" spans="3:118" x14ac:dyDescent="0.2">
      <c r="C25" s="13" t="s">
        <v>93</v>
      </c>
      <c r="O25" s="88"/>
      <c r="P25" s="70"/>
      <c r="Q25" s="12">
        <f>O25-(Q$5*Q24)</f>
        <v>0</v>
      </c>
      <c r="S25" s="12">
        <f>Q25-(S$5*S24)</f>
        <v>0</v>
      </c>
      <c r="U25" s="89">
        <f>S25-(U$5*U24)</f>
        <v>0</v>
      </c>
      <c r="V25" s="70"/>
      <c r="W25" s="12">
        <f>U25-(W$5*W24)</f>
        <v>0</v>
      </c>
      <c r="Y25" s="12">
        <f>W25-(Y$5*Y24)</f>
        <v>0</v>
      </c>
      <c r="AA25" s="89">
        <f>Y25-(AA$5*AA24)</f>
        <v>0</v>
      </c>
      <c r="AB25" s="70"/>
      <c r="AC25" s="12">
        <f>AA25-(AC$5*AC24)</f>
        <v>0</v>
      </c>
      <c r="AE25" s="12">
        <f>AC25-(AE$5*AE24)</f>
        <v>0</v>
      </c>
      <c r="AG25" s="89">
        <f>AE25-(AG$5*AG24)</f>
        <v>0</v>
      </c>
      <c r="AH25" s="70"/>
      <c r="AI25" s="12">
        <f>AG25-(AI$5*AI24)</f>
        <v>0</v>
      </c>
      <c r="AK25" s="12">
        <f>AI25-(AK$5*AK24)</f>
        <v>0</v>
      </c>
      <c r="AM25" s="89">
        <f>AK25-(AM$5*AM24)</f>
        <v>0</v>
      </c>
      <c r="AN25" s="90"/>
      <c r="AO25" s="14">
        <f>AM25</f>
        <v>0</v>
      </c>
      <c r="AP25" s="14"/>
      <c r="AQ25" s="14">
        <f>AO25</f>
        <v>0</v>
      </c>
      <c r="AR25" s="14"/>
      <c r="AS25" s="91">
        <f>AQ25</f>
        <v>0</v>
      </c>
      <c r="AT25" s="70"/>
      <c r="AU25" s="12" t="e">
        <f>AS25-(AU$5*AU24)</f>
        <v>#DIV/0!</v>
      </c>
      <c r="AW25" s="12" t="e">
        <f>AU25-(AW$5*AW24)</f>
        <v>#DIV/0!</v>
      </c>
      <c r="AY25" s="89" t="e">
        <f>AW25-(AY$5*AY24)</f>
        <v>#DIV/0!</v>
      </c>
      <c r="AZ25" s="70"/>
      <c r="BA25" s="12" t="e">
        <f>AY25-(BA$5*BA24)</f>
        <v>#DIV/0!</v>
      </c>
      <c r="BC25" s="12" t="e">
        <f>BA25-(BC$5*BC24)</f>
        <v>#DIV/0!</v>
      </c>
      <c r="BE25" s="89" t="e">
        <f>BC25-(BE$5*BE24)</f>
        <v>#DIV/0!</v>
      </c>
      <c r="BF25" s="70"/>
      <c r="BG25" s="12" t="e">
        <f>BE25-(BG$5*BG24)</f>
        <v>#DIV/0!</v>
      </c>
      <c r="BI25" s="12" t="e">
        <f>BG25-(BI$5*BI24)</f>
        <v>#DIV/0!</v>
      </c>
      <c r="BK25" s="89" t="e">
        <f>BI25-(BK$5*BK24)</f>
        <v>#DIV/0!</v>
      </c>
      <c r="BL25" s="70"/>
      <c r="BM25" s="12" t="e">
        <f>BK25-(BM$5*BM24)</f>
        <v>#DIV/0!</v>
      </c>
      <c r="BO25" s="12" t="e">
        <f>BM25-(BO$5*BO24)</f>
        <v>#DIV/0!</v>
      </c>
      <c r="BQ25" s="92" t="e">
        <f>BO25-(BQ$5*BQ24)</f>
        <v>#DIV/0!</v>
      </c>
      <c r="BS25" s="14"/>
      <c r="BU25" s="14"/>
      <c r="BW25" s="93"/>
      <c r="BY25" s="14"/>
      <c r="CA25" s="14"/>
      <c r="CC25" s="93"/>
      <c r="CE25" s="14"/>
      <c r="CG25" s="14"/>
      <c r="CI25" s="14"/>
      <c r="CJ25" s="70"/>
      <c r="CK25" s="14"/>
      <c r="CM25" s="14"/>
      <c r="CO25" s="14"/>
      <c r="CP25" s="70"/>
      <c r="CQ25" s="14"/>
      <c r="CS25" s="14"/>
      <c r="CU25" s="14"/>
      <c r="CV25" s="70"/>
      <c r="CW25" s="14"/>
      <c r="CY25" s="14"/>
      <c r="DA25" s="14"/>
      <c r="DB25" s="70"/>
      <c r="DC25" s="14"/>
      <c r="DE25" s="14"/>
      <c r="DG25" s="14"/>
      <c r="DH25" s="70"/>
      <c r="DI25" s="14"/>
      <c r="DK25" s="14"/>
      <c r="DM25" s="14"/>
      <c r="DN25" s="70"/>
    </row>
    <row r="26" spans="3:118" x14ac:dyDescent="0.2">
      <c r="O26" s="80"/>
      <c r="P26" s="70"/>
      <c r="Q26" s="96"/>
      <c r="U26" s="80"/>
      <c r="V26" s="70"/>
      <c r="W26" s="16"/>
      <c r="AA26" s="80"/>
      <c r="AB26" s="70"/>
      <c r="AG26" s="80"/>
      <c r="AH26" s="70"/>
      <c r="AM26" s="94"/>
      <c r="AS26" s="95" t="e">
        <f>(AS25/SUM(AU$5:BQ$5))</f>
        <v>#DIV/0!</v>
      </c>
      <c r="AT26" s="70"/>
      <c r="AU26" s="1"/>
      <c r="AY26" s="80"/>
      <c r="AZ26" s="70"/>
      <c r="BE26" s="80"/>
      <c r="BF26" s="70"/>
      <c r="BK26" s="80"/>
      <c r="BL26" s="70"/>
      <c r="BQ26" s="80"/>
      <c r="BW26" s="80"/>
      <c r="CC26" s="80"/>
      <c r="CJ26" s="70"/>
      <c r="CP26" s="70"/>
      <c r="CV26" s="70"/>
      <c r="DB26" s="70"/>
      <c r="DH26" s="70"/>
      <c r="DN26" s="70"/>
    </row>
    <row r="27" spans="3:118" x14ac:dyDescent="0.2">
      <c r="P27" s="70"/>
      <c r="Q27" s="96"/>
      <c r="V27" s="70"/>
      <c r="AB27" s="70"/>
      <c r="AH27" s="70"/>
      <c r="AN27" s="70"/>
      <c r="AT27" s="70"/>
      <c r="AZ27" s="70"/>
      <c r="BA27" s="1"/>
      <c r="BF27" s="70"/>
      <c r="BL27" s="70"/>
      <c r="BQ27" s="80"/>
      <c r="BW27" s="80"/>
      <c r="CC27" s="80"/>
      <c r="CJ27" s="70"/>
      <c r="CP27" s="70"/>
      <c r="CV27" s="70"/>
      <c r="DB27" s="70"/>
      <c r="DH27" s="70"/>
      <c r="DN27" s="70"/>
    </row>
    <row r="28" spans="3:118" x14ac:dyDescent="0.2">
      <c r="U28" s="80"/>
      <c r="V28" s="70"/>
      <c r="W28" s="85"/>
      <c r="Y28" s="15">
        <f>W28</f>
        <v>0</v>
      </c>
      <c r="Z28" s="16"/>
      <c r="AA28" s="86">
        <f>Y28</f>
        <v>0</v>
      </c>
      <c r="AB28" s="70"/>
      <c r="AC28" s="15">
        <f>AA28</f>
        <v>0</v>
      </c>
      <c r="AD28" s="16"/>
      <c r="AE28" s="15">
        <f>AC28</f>
        <v>0</v>
      </c>
      <c r="AF28" s="16"/>
      <c r="AG28" s="86">
        <f>AE28</f>
        <v>0</v>
      </c>
      <c r="AH28" s="70"/>
      <c r="AI28" s="15">
        <f>AG28</f>
        <v>0</v>
      </c>
      <c r="AJ28" s="16"/>
      <c r="AK28" s="15">
        <f>AI28</f>
        <v>0</v>
      </c>
      <c r="AL28" s="16"/>
      <c r="AM28" s="86">
        <f>AK28</f>
        <v>0</v>
      </c>
      <c r="AN28" s="70"/>
      <c r="AO28" s="15">
        <f>AM28</f>
        <v>0</v>
      </c>
      <c r="AP28" s="16"/>
      <c r="AQ28" s="15">
        <f>AO28</f>
        <v>0</v>
      </c>
      <c r="AR28" s="16"/>
      <c r="AS28" s="86">
        <f>AQ28</f>
        <v>0</v>
      </c>
      <c r="AT28" s="87"/>
      <c r="AU28" s="16"/>
      <c r="AV28" s="16"/>
      <c r="AW28" s="16"/>
      <c r="AX28" s="16"/>
      <c r="AY28" s="81"/>
      <c r="AZ28" s="70"/>
      <c r="BA28" s="15" t="e">
        <f>AY30</f>
        <v>#DIV/0!</v>
      </c>
      <c r="BB28" s="16"/>
      <c r="BC28" s="15" t="e">
        <f>BA28</f>
        <v>#DIV/0!</v>
      </c>
      <c r="BD28" s="16"/>
      <c r="BE28" s="86" t="e">
        <f>BC28</f>
        <v>#DIV/0!</v>
      </c>
      <c r="BF28" s="70"/>
      <c r="BG28" s="15" t="e">
        <f>BE28</f>
        <v>#DIV/0!</v>
      </c>
      <c r="BH28" s="16"/>
      <c r="BI28" s="15" t="e">
        <f>BG28</f>
        <v>#DIV/0!</v>
      </c>
      <c r="BJ28" s="16"/>
      <c r="BK28" s="86" t="e">
        <f>BI28</f>
        <v>#DIV/0!</v>
      </c>
      <c r="BL28" s="70"/>
      <c r="BM28" s="15" t="e">
        <f>BK28</f>
        <v>#DIV/0!</v>
      </c>
      <c r="BN28" s="16"/>
      <c r="BO28" s="15" t="e">
        <f>BM28</f>
        <v>#DIV/0!</v>
      </c>
      <c r="BP28" s="16"/>
      <c r="BQ28" s="86" t="e">
        <f>BO28</f>
        <v>#DIV/0!</v>
      </c>
      <c r="BR28" s="70"/>
      <c r="BS28" s="15" t="e">
        <f>BQ28</f>
        <v>#DIV/0!</v>
      </c>
      <c r="BT28" s="16"/>
      <c r="BU28" s="15" t="e">
        <f>BS28</f>
        <v>#DIV/0!</v>
      </c>
      <c r="BV28" s="16"/>
      <c r="BW28" s="86" t="e">
        <f>BU28</f>
        <v>#DIV/0!</v>
      </c>
      <c r="BY28" s="16"/>
      <c r="CA28" s="14"/>
      <c r="CC28" s="93"/>
      <c r="CE28" s="14"/>
      <c r="CG28" s="14"/>
      <c r="CI28" s="14"/>
      <c r="CJ28" s="70"/>
      <c r="CK28" s="14"/>
      <c r="CM28" s="14"/>
      <c r="CO28" s="14"/>
      <c r="CP28" s="70"/>
      <c r="CQ28" s="14"/>
      <c r="CS28" s="14"/>
      <c r="CU28" s="14"/>
      <c r="CV28" s="70"/>
      <c r="CW28" s="14"/>
      <c r="CY28" s="14"/>
      <c r="DA28" s="14"/>
      <c r="DB28" s="70"/>
      <c r="DC28" s="14"/>
      <c r="DE28" s="14"/>
      <c r="DG28" s="14"/>
      <c r="DH28" s="70"/>
      <c r="DI28" s="14"/>
      <c r="DK28" s="14"/>
      <c r="DM28" s="14"/>
      <c r="DN28" s="70"/>
    </row>
    <row r="29" spans="3:118" x14ac:dyDescent="0.2">
      <c r="C29" s="13" t="s">
        <v>94</v>
      </c>
      <c r="U29" s="88"/>
      <c r="V29" s="70"/>
      <c r="W29" s="12">
        <f>U29-(W$5*W28)</f>
        <v>0</v>
      </c>
      <c r="Y29" s="12">
        <f>W29-(Y$5*Y28)</f>
        <v>0</v>
      </c>
      <c r="AA29" s="89">
        <f>Y29-(AA$5*AA28)</f>
        <v>0</v>
      </c>
      <c r="AB29" s="70"/>
      <c r="AC29" s="12">
        <f>AA29-(AC$5*AC28)</f>
        <v>0</v>
      </c>
      <c r="AE29" s="12">
        <f>AC29-(AE$5*AE28)</f>
        <v>0</v>
      </c>
      <c r="AG29" s="89">
        <f>AE29-(AG$5*AG28)</f>
        <v>0</v>
      </c>
      <c r="AH29" s="70"/>
      <c r="AI29" s="12">
        <f>AG29-(AI$5*AI28)</f>
        <v>0</v>
      </c>
      <c r="AK29" s="12">
        <f>AI29-(AK$5*AK28)</f>
        <v>0</v>
      </c>
      <c r="AM29" s="89">
        <f>AK29-(AM$5*AM28)</f>
        <v>0</v>
      </c>
      <c r="AN29" s="70"/>
      <c r="AO29" s="12">
        <f>AM29-(AO$5*AO28)</f>
        <v>0</v>
      </c>
      <c r="AQ29" s="12">
        <f>AO29-(AQ$5*AQ28)</f>
        <v>0</v>
      </c>
      <c r="AS29" s="89">
        <f>AQ29-(AS$5*AS28)</f>
        <v>0</v>
      </c>
      <c r="AT29" s="90"/>
      <c r="AU29" s="14">
        <f>AS29</f>
        <v>0</v>
      </c>
      <c r="AV29" s="14"/>
      <c r="AW29" s="14">
        <f>AU29</f>
        <v>0</v>
      </c>
      <c r="AX29" s="14"/>
      <c r="AY29" s="91">
        <f>AW29</f>
        <v>0</v>
      </c>
      <c r="AZ29" s="70"/>
      <c r="BA29" s="12" t="e">
        <f>AY29-(BA$5*BA28)</f>
        <v>#DIV/0!</v>
      </c>
      <c r="BC29" s="12" t="e">
        <f>BA29-(BC$5*BC28)</f>
        <v>#DIV/0!</v>
      </c>
      <c r="BE29" s="89" t="e">
        <f>BC29-(BE$5*BE28)</f>
        <v>#DIV/0!</v>
      </c>
      <c r="BF29" s="70"/>
      <c r="BG29" s="12" t="e">
        <f>BE29-(BG$5*BG28)</f>
        <v>#DIV/0!</v>
      </c>
      <c r="BI29" s="12" t="e">
        <f>BG29-(BI$5*BI28)</f>
        <v>#DIV/0!</v>
      </c>
      <c r="BK29" s="89" t="e">
        <f>BI29-(BK$5*BK28)</f>
        <v>#DIV/0!</v>
      </c>
      <c r="BL29" s="70"/>
      <c r="BM29" s="12" t="e">
        <f>BK29-(BM$5*BM28)</f>
        <v>#DIV/0!</v>
      </c>
      <c r="BO29" s="12" t="e">
        <f>BM29-(BO$5*BO28)</f>
        <v>#DIV/0!</v>
      </c>
      <c r="BQ29" s="89" t="e">
        <f>BO29-(BQ$5*BQ28)</f>
        <v>#DIV/0!</v>
      </c>
      <c r="BR29" s="70"/>
      <c r="BS29" s="12" t="e">
        <f>BQ29-(BS$5*BS28)</f>
        <v>#DIV/0!</v>
      </c>
      <c r="BU29" s="12" t="e">
        <f>BS29-(BU$5*BU28)</f>
        <v>#DIV/0!</v>
      </c>
      <c r="BW29" s="92" t="e">
        <f>BU29-(BW$5*BW28)</f>
        <v>#DIV/0!</v>
      </c>
      <c r="BY29" s="14"/>
      <c r="CC29" s="80"/>
      <c r="CJ29" s="70"/>
      <c r="CP29" s="70"/>
      <c r="CV29" s="70"/>
      <c r="DB29" s="70"/>
      <c r="DH29" s="70"/>
      <c r="DN29" s="70"/>
    </row>
    <row r="30" spans="3:118" x14ac:dyDescent="0.2">
      <c r="U30" s="80"/>
      <c r="V30" s="70"/>
      <c r="AA30" s="80"/>
      <c r="AB30" s="70"/>
      <c r="AG30" s="80"/>
      <c r="AH30" s="70"/>
      <c r="AM30" s="80"/>
      <c r="AN30" s="70"/>
      <c r="AS30" s="94"/>
      <c r="AY30" s="95" t="e">
        <f>(AY29/SUM(BA$5:BW$5))</f>
        <v>#DIV/0!</v>
      </c>
      <c r="AZ30" s="70"/>
      <c r="BA30" s="1"/>
      <c r="BE30" s="80"/>
      <c r="BF30" s="70"/>
      <c r="BK30" s="80"/>
      <c r="BL30" s="70"/>
      <c r="BQ30" s="80"/>
      <c r="BR30" s="70"/>
      <c r="BW30" s="80"/>
      <c r="CC30" s="80"/>
      <c r="CJ30" s="70"/>
      <c r="CP30" s="70"/>
      <c r="CV30" s="70"/>
      <c r="DB30" s="70"/>
      <c r="DH30" s="70"/>
      <c r="DN30" s="70"/>
    </row>
    <row r="31" spans="3:118" x14ac:dyDescent="0.2">
      <c r="AB31" s="70"/>
      <c r="AH31" s="70"/>
      <c r="AN31" s="70"/>
      <c r="AT31" s="70"/>
      <c r="AZ31" s="70"/>
      <c r="BF31" s="70"/>
      <c r="BL31" s="70"/>
      <c r="BR31" s="70"/>
      <c r="BW31" s="80"/>
      <c r="CC31" s="80"/>
      <c r="CJ31" s="70"/>
      <c r="CP31" s="70"/>
      <c r="CV31" s="70"/>
      <c r="DB31" s="70"/>
      <c r="DH31" s="70"/>
      <c r="DN31" s="70"/>
    </row>
    <row r="32" spans="3:118" x14ac:dyDescent="0.2">
      <c r="AA32" s="80"/>
      <c r="AB32" s="70"/>
      <c r="AC32" s="85"/>
      <c r="AE32" s="15">
        <f>AC32</f>
        <v>0</v>
      </c>
      <c r="AF32" s="16"/>
      <c r="AG32" s="86">
        <f>AE32</f>
        <v>0</v>
      </c>
      <c r="AH32" s="70"/>
      <c r="AI32" s="15">
        <f>AG32</f>
        <v>0</v>
      </c>
      <c r="AJ32" s="16"/>
      <c r="AK32" s="15">
        <f>AI32</f>
        <v>0</v>
      </c>
      <c r="AL32" s="16"/>
      <c r="AM32" s="86">
        <f>AK32</f>
        <v>0</v>
      </c>
      <c r="AN32" s="70"/>
      <c r="AO32" s="15">
        <f>AM32</f>
        <v>0</v>
      </c>
      <c r="AP32" s="16"/>
      <c r="AQ32" s="15">
        <f>AO32</f>
        <v>0</v>
      </c>
      <c r="AR32" s="16"/>
      <c r="AS32" s="86">
        <f>AQ32</f>
        <v>0</v>
      </c>
      <c r="AT32" s="70"/>
      <c r="AU32" s="15">
        <f>AS32</f>
        <v>0</v>
      </c>
      <c r="AV32" s="16"/>
      <c r="AW32" s="15">
        <f>AU32</f>
        <v>0</v>
      </c>
      <c r="AX32" s="16"/>
      <c r="AY32" s="86">
        <f>AW32</f>
        <v>0</v>
      </c>
      <c r="AZ32" s="87"/>
      <c r="BA32" s="16"/>
      <c r="BB32" s="16"/>
      <c r="BC32" s="16"/>
      <c r="BD32" s="16"/>
      <c r="BE32" s="81"/>
      <c r="BF32" s="70"/>
      <c r="BG32" s="15" t="e">
        <f>BE34</f>
        <v>#DIV/0!</v>
      </c>
      <c r="BH32" s="16"/>
      <c r="BI32" s="15" t="e">
        <f>BG32</f>
        <v>#DIV/0!</v>
      </c>
      <c r="BJ32" s="16"/>
      <c r="BK32" s="86" t="e">
        <f>BI32</f>
        <v>#DIV/0!</v>
      </c>
      <c r="BL32" s="70"/>
      <c r="BM32" s="15" t="e">
        <f>BK32</f>
        <v>#DIV/0!</v>
      </c>
      <c r="BN32" s="16"/>
      <c r="BO32" s="15" t="e">
        <f>BM32</f>
        <v>#DIV/0!</v>
      </c>
      <c r="BP32" s="16"/>
      <c r="BQ32" s="86" t="e">
        <f>BO32</f>
        <v>#DIV/0!</v>
      </c>
      <c r="BR32" s="70"/>
      <c r="BS32" s="15" t="e">
        <f>BQ32</f>
        <v>#DIV/0!</v>
      </c>
      <c r="BT32" s="16"/>
      <c r="BU32" s="15" t="e">
        <f>BS32</f>
        <v>#DIV/0!</v>
      </c>
      <c r="BV32" s="16"/>
      <c r="BW32" s="86" t="e">
        <f>BU32</f>
        <v>#DIV/0!</v>
      </c>
      <c r="BX32" s="70"/>
      <c r="BY32" s="15" t="e">
        <f>BW32</f>
        <v>#DIV/0!</v>
      </c>
      <c r="BZ32" s="16"/>
      <c r="CA32" s="15" t="e">
        <f>BY32</f>
        <v>#DIV/0!</v>
      </c>
      <c r="CB32" s="16"/>
      <c r="CC32" s="86" t="e">
        <f>CA32</f>
        <v>#DIV/0!</v>
      </c>
      <c r="CE32" s="16"/>
      <c r="CF32" s="16"/>
      <c r="CG32" s="16"/>
      <c r="CH32" s="16"/>
      <c r="CI32" s="16"/>
      <c r="CJ32" s="70"/>
      <c r="CK32" s="16"/>
      <c r="CL32" s="16"/>
      <c r="CM32" s="16"/>
      <c r="CN32" s="16"/>
      <c r="CO32" s="16"/>
      <c r="CP32" s="70"/>
      <c r="CQ32" s="16"/>
      <c r="CR32" s="16"/>
      <c r="CS32" s="16"/>
      <c r="CT32" s="16"/>
      <c r="CU32" s="16"/>
      <c r="CV32" s="70"/>
      <c r="CW32" s="16"/>
      <c r="CX32" s="16"/>
      <c r="CY32" s="16"/>
      <c r="CZ32" s="16"/>
      <c r="DA32" s="16"/>
      <c r="DB32" s="70"/>
      <c r="DC32" s="16"/>
      <c r="DD32" s="16"/>
      <c r="DE32" s="16"/>
      <c r="DF32" s="16"/>
      <c r="DG32" s="16"/>
      <c r="DH32" s="70"/>
      <c r="DI32" s="16"/>
      <c r="DJ32" s="16"/>
      <c r="DK32" s="16"/>
      <c r="DL32" s="16"/>
      <c r="DM32" s="16"/>
      <c r="DN32" s="70"/>
    </row>
    <row r="33" spans="3:118" x14ac:dyDescent="0.2">
      <c r="C33" s="17" t="s">
        <v>95</v>
      </c>
      <c r="AA33" s="88"/>
      <c r="AB33" s="70"/>
      <c r="AC33" s="12">
        <f>AA33-(AC$5*AC32)</f>
        <v>0</v>
      </c>
      <c r="AE33" s="12">
        <f>AC33-(AE$5*AE32)</f>
        <v>0</v>
      </c>
      <c r="AG33" s="89">
        <f>AE33-(AG$5*AG32)</f>
        <v>0</v>
      </c>
      <c r="AH33" s="70"/>
      <c r="AI33" s="12">
        <f>AG33-(AI$5*AI32)</f>
        <v>0</v>
      </c>
      <c r="AK33" s="12">
        <f>AI33-(AK$5*AK32)</f>
        <v>0</v>
      </c>
      <c r="AM33" s="89">
        <f>AK33-(AM$5*AM32)</f>
        <v>0</v>
      </c>
      <c r="AN33" s="70"/>
      <c r="AO33" s="12">
        <f>AM33-(AO$5*AO32)</f>
        <v>0</v>
      </c>
      <c r="AQ33" s="12">
        <f>AO33-(AQ$5*AQ32)</f>
        <v>0</v>
      </c>
      <c r="AS33" s="89">
        <f>AQ33-(AS$5*AS32)</f>
        <v>0</v>
      </c>
      <c r="AT33" s="70"/>
      <c r="AU33" s="12">
        <f>AS33-(AU$5*AU32)</f>
        <v>0</v>
      </c>
      <c r="AW33" s="12">
        <f>AU33-(AW$5*AW32)</f>
        <v>0</v>
      </c>
      <c r="AY33" s="89">
        <f>AW33-(AY$5*AY32)</f>
        <v>0</v>
      </c>
      <c r="AZ33" s="90"/>
      <c r="BA33" s="14">
        <f>AY33</f>
        <v>0</v>
      </c>
      <c r="BB33" s="14"/>
      <c r="BC33" s="14">
        <f>BA33</f>
        <v>0</v>
      </c>
      <c r="BD33" s="14"/>
      <c r="BE33" s="91">
        <f>BC33</f>
        <v>0</v>
      </c>
      <c r="BF33" s="70"/>
      <c r="BG33" s="12" t="e">
        <f>BE33-(BG$5*BG32)</f>
        <v>#DIV/0!</v>
      </c>
      <c r="BI33" s="12" t="e">
        <f>BG33-(BI$5*BI32)</f>
        <v>#DIV/0!</v>
      </c>
      <c r="BK33" s="89" t="e">
        <f>BI33-(BK$5*BK32)</f>
        <v>#DIV/0!</v>
      </c>
      <c r="BL33" s="70"/>
      <c r="BM33" s="12" t="e">
        <f>BK33-(BM$5*BM32)</f>
        <v>#DIV/0!</v>
      </c>
      <c r="BO33" s="12" t="e">
        <f>BM33-(BO$5*BO32)</f>
        <v>#DIV/0!</v>
      </c>
      <c r="BQ33" s="89" t="e">
        <f>BO33-(BQ$5*BQ32)</f>
        <v>#DIV/0!</v>
      </c>
      <c r="BR33" s="70"/>
      <c r="BS33" s="12" t="e">
        <f>BQ33-(BS$5*BS32)</f>
        <v>#DIV/0!</v>
      </c>
      <c r="BU33" s="12" t="e">
        <f>BS33-(BU$5*BU32)</f>
        <v>#DIV/0!</v>
      </c>
      <c r="BW33" s="89" t="e">
        <f>BU33-(BW$5*BW32)</f>
        <v>#DIV/0!</v>
      </c>
      <c r="BX33" s="70"/>
      <c r="BY33" s="12" t="e">
        <f>BW33-(BY$5*BY32)</f>
        <v>#DIV/0!</v>
      </c>
      <c r="CA33" s="12" t="e">
        <f>BY33-(CA$5*CA32)</f>
        <v>#DIV/0!</v>
      </c>
      <c r="CC33" s="92" t="e">
        <f>CA33-(CC$5*CC32)</f>
        <v>#DIV/0!</v>
      </c>
      <c r="CE33" s="14"/>
      <c r="CG33" s="14"/>
      <c r="CI33" s="14"/>
      <c r="CJ33" s="70"/>
      <c r="CK33" s="14"/>
      <c r="CM33" s="14"/>
      <c r="CO33" s="14"/>
      <c r="CP33" s="70"/>
      <c r="CQ33" s="14"/>
      <c r="CS33" s="14"/>
      <c r="CU33" s="14"/>
      <c r="CV33" s="70"/>
      <c r="CW33" s="14"/>
      <c r="CY33" s="14"/>
      <c r="DA33" s="14"/>
      <c r="DB33" s="70"/>
      <c r="DC33" s="14"/>
      <c r="DE33" s="14"/>
      <c r="DG33" s="14"/>
      <c r="DH33" s="70"/>
      <c r="DI33" s="14"/>
      <c r="DK33" s="14"/>
      <c r="DM33" s="14"/>
      <c r="DN33" s="70"/>
    </row>
    <row r="34" spans="3:118" x14ac:dyDescent="0.2">
      <c r="AA34" s="80"/>
      <c r="AB34" s="70"/>
      <c r="AG34" s="80"/>
      <c r="AH34" s="70"/>
      <c r="AM34" s="80"/>
      <c r="AN34" s="70"/>
      <c r="AS34" s="80"/>
      <c r="AT34" s="70"/>
      <c r="AY34" s="94"/>
      <c r="BE34" s="95" t="e">
        <f>(BE33/SUM(BG$5:CC$5))</f>
        <v>#DIV/0!</v>
      </c>
      <c r="BF34" s="70"/>
      <c r="BG34" s="1"/>
      <c r="BK34" s="80"/>
      <c r="BL34" s="70"/>
      <c r="BQ34" s="80"/>
      <c r="BR34" s="70"/>
      <c r="BW34" s="80"/>
      <c r="BX34" s="70"/>
      <c r="CC34" s="80"/>
      <c r="CJ34" s="70"/>
      <c r="CP34" s="70"/>
      <c r="CV34" s="70"/>
      <c r="DB34" s="70"/>
      <c r="DH34" s="70"/>
      <c r="DN34" s="70"/>
    </row>
    <row r="35" spans="3:118" x14ac:dyDescent="0.2">
      <c r="AG35" s="80"/>
      <c r="AH35" s="70"/>
      <c r="AM35" s="80"/>
      <c r="AN35" s="70"/>
      <c r="AS35" s="80"/>
      <c r="AT35" s="70"/>
      <c r="AY35" s="94"/>
      <c r="BE35" s="94"/>
      <c r="BF35" s="70"/>
      <c r="BK35" s="80"/>
      <c r="BL35" s="70"/>
      <c r="BQ35" s="80"/>
      <c r="BR35" s="70"/>
      <c r="BW35" s="80"/>
      <c r="BX35" s="70"/>
      <c r="CC35" s="80"/>
      <c r="CI35" s="80"/>
      <c r="CO35" s="80"/>
      <c r="CU35" s="80"/>
      <c r="DA35" s="80"/>
      <c r="DG35" s="80"/>
      <c r="DM35" s="80"/>
    </row>
    <row r="36" spans="3:118" x14ac:dyDescent="0.2">
      <c r="AG36" s="80"/>
      <c r="AH36" s="70"/>
      <c r="AI36" s="85"/>
      <c r="AK36" s="15">
        <f>AI36</f>
        <v>0</v>
      </c>
      <c r="AL36" s="16"/>
      <c r="AM36" s="86">
        <f>AK36</f>
        <v>0</v>
      </c>
      <c r="AN36" s="70"/>
      <c r="AO36" s="15">
        <f>AM36</f>
        <v>0</v>
      </c>
      <c r="AP36" s="16"/>
      <c r="AQ36" s="15">
        <f>AO36</f>
        <v>0</v>
      </c>
      <c r="AR36" s="16"/>
      <c r="AS36" s="86">
        <f>AQ36</f>
        <v>0</v>
      </c>
      <c r="AT36" s="70"/>
      <c r="AU36" s="15">
        <f>AS36</f>
        <v>0</v>
      </c>
      <c r="AV36" s="16"/>
      <c r="AW36" s="15">
        <f>AU36</f>
        <v>0</v>
      </c>
      <c r="AX36" s="16"/>
      <c r="AY36" s="86">
        <f>AW36</f>
        <v>0</v>
      </c>
      <c r="AZ36" s="70"/>
      <c r="BA36" s="15">
        <f>AY36</f>
        <v>0</v>
      </c>
      <c r="BB36" s="16"/>
      <c r="BC36" s="15">
        <f>BA36</f>
        <v>0</v>
      </c>
      <c r="BD36" s="16"/>
      <c r="BE36" s="86">
        <f>BC36</f>
        <v>0</v>
      </c>
      <c r="BF36" s="87"/>
      <c r="BG36" s="16"/>
      <c r="BH36" s="16"/>
      <c r="BI36" s="16"/>
      <c r="BJ36" s="16"/>
      <c r="BK36" s="81"/>
      <c r="BL36" s="70"/>
      <c r="BM36" s="15" t="e">
        <f>BK38</f>
        <v>#DIV/0!</v>
      </c>
      <c r="BN36" s="16"/>
      <c r="BO36" s="15" t="e">
        <f>BM36</f>
        <v>#DIV/0!</v>
      </c>
      <c r="BP36" s="16"/>
      <c r="BQ36" s="86" t="e">
        <f>BO36</f>
        <v>#DIV/0!</v>
      </c>
      <c r="BR36" s="70"/>
      <c r="BS36" s="15" t="e">
        <f>BQ36</f>
        <v>#DIV/0!</v>
      </c>
      <c r="BT36" s="16"/>
      <c r="BU36" s="15" t="e">
        <f>BS36</f>
        <v>#DIV/0!</v>
      </c>
      <c r="BV36" s="16"/>
      <c r="BW36" s="86" t="e">
        <f>BU36</f>
        <v>#DIV/0!</v>
      </c>
      <c r="BX36" s="70"/>
      <c r="BY36" s="15" t="e">
        <f>BW36</f>
        <v>#DIV/0!</v>
      </c>
      <c r="BZ36" s="16"/>
      <c r="CA36" s="15" t="e">
        <f>BY36</f>
        <v>#DIV/0!</v>
      </c>
      <c r="CB36" s="16"/>
      <c r="CC36" s="86" t="e">
        <f>CA36</f>
        <v>#DIV/0!</v>
      </c>
      <c r="CD36" s="70"/>
      <c r="CE36" s="15" t="e">
        <f>CC36</f>
        <v>#DIV/0!</v>
      </c>
      <c r="CF36" s="16"/>
      <c r="CG36" s="15" t="e">
        <f>CE36</f>
        <v>#DIV/0!</v>
      </c>
      <c r="CH36" s="16"/>
      <c r="CI36" s="86" t="e">
        <f>CG36</f>
        <v>#DIV/0!</v>
      </c>
      <c r="CO36" s="80"/>
      <c r="CU36" s="80"/>
      <c r="DA36" s="80"/>
      <c r="DG36" s="80"/>
      <c r="DM36" s="80"/>
    </row>
    <row r="37" spans="3:118" x14ac:dyDescent="0.2">
      <c r="C37" s="13"/>
      <c r="AG37" s="88"/>
      <c r="AH37" s="70"/>
      <c r="AI37" s="12">
        <f>AG37-(AI$5*AI36)</f>
        <v>0</v>
      </c>
      <c r="AK37" s="12">
        <f>AI37-(AK$5*AK36)</f>
        <v>0</v>
      </c>
      <c r="AM37" s="89">
        <f>AK37-(AM$5*AM36)</f>
        <v>0</v>
      </c>
      <c r="AN37" s="70"/>
      <c r="AO37" s="12">
        <f>AM37-(AO$5*AO36)</f>
        <v>0</v>
      </c>
      <c r="AQ37" s="12">
        <f>AO37-(AQ$5*AQ36)</f>
        <v>0</v>
      </c>
      <c r="AS37" s="89">
        <f>AQ37-(AS$5*AS36)</f>
        <v>0</v>
      </c>
      <c r="AT37" s="70"/>
      <c r="AU37" s="12">
        <f>AS37-(AU$5*AU36)</f>
        <v>0</v>
      </c>
      <c r="AW37" s="12">
        <f>AU37-(AW$5*AW36)</f>
        <v>0</v>
      </c>
      <c r="AY37" s="89">
        <f>AW37-(AY$5*AY36)</f>
        <v>0</v>
      </c>
      <c r="AZ37" s="70"/>
      <c r="BA37" s="12">
        <f>AY37-(BA$5*BA36)</f>
        <v>0</v>
      </c>
      <c r="BC37" s="12">
        <f>BA37-(BC$5*BC36)</f>
        <v>0</v>
      </c>
      <c r="BE37" s="89">
        <f>BC37-(BE$5*BE36)</f>
        <v>0</v>
      </c>
      <c r="BF37" s="90"/>
      <c r="BG37" s="14">
        <f>BE37</f>
        <v>0</v>
      </c>
      <c r="BH37" s="14"/>
      <c r="BI37" s="14">
        <f>BG37</f>
        <v>0</v>
      </c>
      <c r="BJ37" s="14"/>
      <c r="BK37" s="91">
        <f>BI37</f>
        <v>0</v>
      </c>
      <c r="BL37" s="70"/>
      <c r="BM37" s="12" t="e">
        <f>BK37-(BM$5*BM36)</f>
        <v>#DIV/0!</v>
      </c>
      <c r="BO37" s="12" t="e">
        <f>BM37-(BO$5*BO36)</f>
        <v>#DIV/0!</v>
      </c>
      <c r="BQ37" s="89" t="e">
        <f>BO37-(BQ$5*BQ36)</f>
        <v>#DIV/0!</v>
      </c>
      <c r="BR37" s="70"/>
      <c r="BS37" s="12" t="e">
        <f>BQ37-(BS$5*BS36)</f>
        <v>#DIV/0!</v>
      </c>
      <c r="BU37" s="12" t="e">
        <f>BS37-(BU$5*BU36)</f>
        <v>#DIV/0!</v>
      </c>
      <c r="BW37" s="89" t="e">
        <f>BU37-(BW$5*BW36)</f>
        <v>#DIV/0!</v>
      </c>
      <c r="BX37" s="70"/>
      <c r="BY37" s="12" t="e">
        <f>BW37-(BY$5*BY36)</f>
        <v>#DIV/0!</v>
      </c>
      <c r="CA37" s="12" t="e">
        <f>BY37-(CA$5*CA36)</f>
        <v>#DIV/0!</v>
      </c>
      <c r="CC37" s="89" t="e">
        <f>CA37-(CC$5*CC36)</f>
        <v>#DIV/0!</v>
      </c>
      <c r="CD37" s="70"/>
      <c r="CE37" s="12" t="e">
        <f>CC37-(CE$5*CE36)</f>
        <v>#DIV/0!</v>
      </c>
      <c r="CG37" s="12" t="e">
        <f>CE37-(CG$5*CG36)</f>
        <v>#DIV/0!</v>
      </c>
      <c r="CI37" s="92" t="e">
        <f>CG37-(CI$5*CI36)</f>
        <v>#DIV/0!</v>
      </c>
      <c r="CO37" s="80"/>
      <c r="CU37" s="80"/>
      <c r="DA37" s="80"/>
      <c r="DG37" s="80"/>
      <c r="DM37" s="80"/>
    </row>
    <row r="38" spans="3:118" x14ac:dyDescent="0.2">
      <c r="C38" s="13"/>
      <c r="AG38" s="80"/>
      <c r="AH38" s="70"/>
      <c r="AM38" s="80"/>
      <c r="AN38" s="70"/>
      <c r="AS38" s="80"/>
      <c r="AT38" s="70"/>
      <c r="AY38" s="80"/>
      <c r="AZ38" s="70"/>
      <c r="BE38" s="94"/>
      <c r="BK38" s="95" t="e">
        <f>(BK37/SUM(BM$5:CI$5))</f>
        <v>#DIV/0!</v>
      </c>
      <c r="BL38" s="70"/>
      <c r="BQ38" s="80"/>
      <c r="BR38" s="70"/>
      <c r="BW38" s="80"/>
      <c r="BX38" s="70"/>
      <c r="CC38" s="80"/>
      <c r="CD38" s="70"/>
      <c r="CI38" s="80"/>
      <c r="CO38" s="80"/>
      <c r="CU38" s="80"/>
      <c r="DA38" s="80"/>
      <c r="DG38" s="80"/>
      <c r="DM38" s="80"/>
    </row>
    <row r="39" spans="3:118" x14ac:dyDescent="0.2">
      <c r="AM39" s="80"/>
      <c r="AN39" s="70"/>
      <c r="AS39" s="80"/>
      <c r="AT39" s="70"/>
      <c r="AY39" s="80"/>
      <c r="AZ39" s="70"/>
      <c r="BE39" s="94"/>
      <c r="BK39" s="94"/>
      <c r="BL39" s="70"/>
      <c r="BQ39" s="80"/>
      <c r="BR39" s="70"/>
      <c r="BW39" s="80"/>
      <c r="BX39" s="70"/>
      <c r="CC39" s="80"/>
      <c r="CD39" s="70"/>
      <c r="CI39" s="80"/>
      <c r="CO39" s="80"/>
      <c r="CU39" s="80"/>
      <c r="DA39" s="80"/>
      <c r="DG39" s="80"/>
      <c r="DM39" s="80"/>
    </row>
    <row r="40" spans="3:118" x14ac:dyDescent="0.2">
      <c r="AM40" s="80"/>
      <c r="AN40" s="70"/>
      <c r="AO40" s="85"/>
      <c r="AQ40" s="15">
        <f>AO40</f>
        <v>0</v>
      </c>
      <c r="AR40" s="16"/>
      <c r="AS40" s="86">
        <f>AQ40</f>
        <v>0</v>
      </c>
      <c r="AT40" s="70"/>
      <c r="AU40" s="15">
        <f>AS40</f>
        <v>0</v>
      </c>
      <c r="AV40" s="16"/>
      <c r="AW40" s="15">
        <f>AU40</f>
        <v>0</v>
      </c>
      <c r="AX40" s="16"/>
      <c r="AY40" s="86">
        <f>AW40</f>
        <v>0</v>
      </c>
      <c r="AZ40" s="70"/>
      <c r="BA40" s="15">
        <f>AY40</f>
        <v>0</v>
      </c>
      <c r="BB40" s="16"/>
      <c r="BC40" s="15">
        <f>BA40</f>
        <v>0</v>
      </c>
      <c r="BD40" s="16"/>
      <c r="BE40" s="86">
        <f>BC40</f>
        <v>0</v>
      </c>
      <c r="BF40" s="70"/>
      <c r="BG40" s="15">
        <f>BE40</f>
        <v>0</v>
      </c>
      <c r="BH40" s="16"/>
      <c r="BI40" s="15">
        <f>BG40</f>
        <v>0</v>
      </c>
      <c r="BJ40" s="16"/>
      <c r="BK40" s="86">
        <f>BI40</f>
        <v>0</v>
      </c>
      <c r="BL40" s="87"/>
      <c r="BM40" s="16"/>
      <c r="BN40" s="16"/>
      <c r="BO40" s="16"/>
      <c r="BP40" s="16"/>
      <c r="BQ40" s="81"/>
      <c r="BR40" s="70"/>
      <c r="BS40" s="15" t="e">
        <f>BQ42</f>
        <v>#DIV/0!</v>
      </c>
      <c r="BT40" s="16"/>
      <c r="BU40" s="15" t="e">
        <f>BS40</f>
        <v>#DIV/0!</v>
      </c>
      <c r="BV40" s="16"/>
      <c r="BW40" s="86" t="e">
        <f>BU40</f>
        <v>#DIV/0!</v>
      </c>
      <c r="BX40" s="70"/>
      <c r="BY40" s="15" t="e">
        <f>BW40</f>
        <v>#DIV/0!</v>
      </c>
      <c r="BZ40" s="16"/>
      <c r="CA40" s="15" t="e">
        <f>BY40</f>
        <v>#DIV/0!</v>
      </c>
      <c r="CB40" s="16"/>
      <c r="CC40" s="86" t="e">
        <f>CA40</f>
        <v>#DIV/0!</v>
      </c>
      <c r="CD40" s="70"/>
      <c r="CE40" s="15" t="e">
        <f>CC40</f>
        <v>#DIV/0!</v>
      </c>
      <c r="CF40" s="16"/>
      <c r="CG40" s="15" t="e">
        <f>CE40</f>
        <v>#DIV/0!</v>
      </c>
      <c r="CH40" s="16"/>
      <c r="CI40" s="86" t="e">
        <f>CG40</f>
        <v>#DIV/0!</v>
      </c>
      <c r="CJ40" s="70"/>
      <c r="CK40" s="15" t="e">
        <f>CI40</f>
        <v>#DIV/0!</v>
      </c>
      <c r="CL40" s="16"/>
      <c r="CM40" s="15" t="e">
        <f>CK40</f>
        <v>#DIV/0!</v>
      </c>
      <c r="CN40" s="16"/>
      <c r="CO40" s="86" t="e">
        <f>CM40</f>
        <v>#DIV/0!</v>
      </c>
      <c r="CU40" s="80"/>
      <c r="DA40" s="80"/>
      <c r="DG40" s="80"/>
      <c r="DM40" s="80"/>
    </row>
    <row r="41" spans="3:118" x14ac:dyDescent="0.2">
      <c r="C41" s="13" t="s">
        <v>96</v>
      </c>
      <c r="AM41" s="88"/>
      <c r="AN41" s="70"/>
      <c r="AO41" s="12">
        <f>AM41-(AO$5*AO40)</f>
        <v>0</v>
      </c>
      <c r="AQ41" s="12">
        <f>AO41-(AQ$5*AQ40)</f>
        <v>0</v>
      </c>
      <c r="AS41" s="89">
        <f>AQ41-(AS$5*AS40)</f>
        <v>0</v>
      </c>
      <c r="AT41" s="70"/>
      <c r="AU41" s="12">
        <f>AS41-(AU$5*AU40)</f>
        <v>0</v>
      </c>
      <c r="AW41" s="12">
        <f>AU41-(AW$5*AW40)</f>
        <v>0</v>
      </c>
      <c r="AY41" s="89">
        <f>AW41-(AY$5*AY40)</f>
        <v>0</v>
      </c>
      <c r="AZ41" s="70"/>
      <c r="BA41" s="12">
        <f>AY41-(BA$5*BA40)</f>
        <v>0</v>
      </c>
      <c r="BC41" s="12">
        <f>BA41-(BC$5*BC40)</f>
        <v>0</v>
      </c>
      <c r="BE41" s="89">
        <f>BC41-(BE$5*BE40)</f>
        <v>0</v>
      </c>
      <c r="BF41" s="70"/>
      <c r="BG41" s="12">
        <f>BE41-(BG$5*BG40)</f>
        <v>0</v>
      </c>
      <c r="BI41" s="12">
        <f>BG41-(BI$5*BI40)</f>
        <v>0</v>
      </c>
      <c r="BK41" s="89">
        <f>BI41-(BK$5*BK40)</f>
        <v>0</v>
      </c>
      <c r="BL41" s="90"/>
      <c r="BM41" s="14">
        <f>BK41</f>
        <v>0</v>
      </c>
      <c r="BN41" s="14"/>
      <c r="BO41" s="14">
        <f>BM41</f>
        <v>0</v>
      </c>
      <c r="BP41" s="14"/>
      <c r="BQ41" s="91" t="e">
        <f>BO41+BK20</f>
        <v>#DIV/0!</v>
      </c>
      <c r="BR41" s="70"/>
      <c r="BS41" s="12" t="e">
        <f>BQ41-(BS$5*BS40)</f>
        <v>#DIV/0!</v>
      </c>
      <c r="BU41" s="12" t="e">
        <f>BS41-(BU$5*BU40)</f>
        <v>#DIV/0!</v>
      </c>
      <c r="BW41" s="89" t="e">
        <f>BU41-(BW$5*BW40)</f>
        <v>#DIV/0!</v>
      </c>
      <c r="BX41" s="70"/>
      <c r="BY41" s="12" t="e">
        <f>BW41-(BY$5*BY40)</f>
        <v>#DIV/0!</v>
      </c>
      <c r="CA41" s="12" t="e">
        <f>BY41-(CA$5*CA40)</f>
        <v>#DIV/0!</v>
      </c>
      <c r="CC41" s="89" t="e">
        <f>CA41-(CC$5*CC40)</f>
        <v>#DIV/0!</v>
      </c>
      <c r="CD41" s="70"/>
      <c r="CE41" s="12" t="e">
        <f>CC41-(CE$5*CE40)</f>
        <v>#DIV/0!</v>
      </c>
      <c r="CG41" s="12" t="e">
        <f>CE41-(CG$5*CG40)</f>
        <v>#DIV/0!</v>
      </c>
      <c r="CI41" s="89" t="e">
        <f>CG41-(CI$5*CI40)</f>
        <v>#DIV/0!</v>
      </c>
      <c r="CJ41" s="70"/>
      <c r="CK41" s="12" t="e">
        <f>CI41-(CK$5*CK40)</f>
        <v>#DIV/0!</v>
      </c>
      <c r="CM41" s="12" t="e">
        <f>CK41-(CM$5*CM40)</f>
        <v>#DIV/0!</v>
      </c>
      <c r="CO41" s="92" t="e">
        <f>CM41-(CO$5*CO40)</f>
        <v>#DIV/0!</v>
      </c>
      <c r="CU41" s="80"/>
      <c r="DA41" s="80"/>
      <c r="DG41" s="80"/>
      <c r="DM41" s="80"/>
    </row>
    <row r="42" spans="3:118" x14ac:dyDescent="0.2">
      <c r="C42" s="13"/>
      <c r="AM42" s="80"/>
      <c r="AN42" s="70"/>
      <c r="AS42" s="80"/>
      <c r="AT42" s="70"/>
      <c r="AY42" s="80"/>
      <c r="AZ42" s="70"/>
      <c r="BE42" s="80"/>
      <c r="BF42" s="70"/>
      <c r="BK42" s="94"/>
      <c r="BQ42" s="95" t="e">
        <f>(BQ41/SUM(BS$5:CO$5))</f>
        <v>#DIV/0!</v>
      </c>
      <c r="BR42" s="70"/>
      <c r="BW42" s="80"/>
      <c r="BX42" s="70"/>
      <c r="CC42" s="80"/>
      <c r="CD42" s="70"/>
      <c r="CI42" s="80"/>
      <c r="CJ42" s="70"/>
      <c r="CO42" s="80"/>
      <c r="CU42" s="80"/>
      <c r="DA42" s="80"/>
      <c r="DG42" s="80"/>
      <c r="DM42" s="80"/>
    </row>
    <row r="43" spans="3:118" x14ac:dyDescent="0.2">
      <c r="AS43" s="80"/>
      <c r="AT43" s="70"/>
      <c r="AY43" s="80"/>
      <c r="AZ43" s="70"/>
      <c r="BE43" s="80"/>
      <c r="BF43" s="70"/>
      <c r="BK43" s="94"/>
      <c r="BQ43" s="94"/>
      <c r="BR43" s="70"/>
      <c r="BW43" s="80"/>
      <c r="BX43" s="70"/>
      <c r="CC43" s="80"/>
      <c r="CD43" s="70"/>
      <c r="CI43" s="80"/>
      <c r="CJ43" s="70"/>
      <c r="CO43" s="80"/>
      <c r="CU43" s="80"/>
      <c r="DA43" s="80"/>
      <c r="DG43" s="80"/>
      <c r="DM43" s="80"/>
    </row>
    <row r="44" spans="3:118" x14ac:dyDescent="0.2">
      <c r="AS44" s="80"/>
      <c r="AT44" s="70"/>
      <c r="AU44" s="85"/>
      <c r="AW44" s="15">
        <f>AU44</f>
        <v>0</v>
      </c>
      <c r="AX44" s="16"/>
      <c r="AY44" s="86">
        <f>AW44</f>
        <v>0</v>
      </c>
      <c r="AZ44" s="70"/>
      <c r="BA44" s="15">
        <f>AY44</f>
        <v>0</v>
      </c>
      <c r="BB44" s="16"/>
      <c r="BC44" s="15">
        <f>BA44</f>
        <v>0</v>
      </c>
      <c r="BD44" s="16"/>
      <c r="BE44" s="86">
        <f>BC44</f>
        <v>0</v>
      </c>
      <c r="BF44" s="70"/>
      <c r="BG44" s="15">
        <f>BE44</f>
        <v>0</v>
      </c>
      <c r="BH44" s="16"/>
      <c r="BI44" s="15">
        <f>BG44</f>
        <v>0</v>
      </c>
      <c r="BJ44" s="16"/>
      <c r="BK44" s="86">
        <f>BI44</f>
        <v>0</v>
      </c>
      <c r="BL44" s="70"/>
      <c r="BM44" s="15">
        <f>BK44</f>
        <v>0</v>
      </c>
      <c r="BN44" s="16"/>
      <c r="BO44" s="15">
        <f>BM44</f>
        <v>0</v>
      </c>
      <c r="BP44" s="16"/>
      <c r="BQ44" s="86">
        <f>BO44</f>
        <v>0</v>
      </c>
      <c r="BR44" s="87"/>
      <c r="BS44" s="16"/>
      <c r="BT44" s="16"/>
      <c r="BU44" s="16"/>
      <c r="BV44" s="16"/>
      <c r="BW44" s="81"/>
      <c r="BX44" s="70"/>
      <c r="BY44" s="15" t="e">
        <f>BW46</f>
        <v>#DIV/0!</v>
      </c>
      <c r="BZ44" s="16"/>
      <c r="CA44" s="15" t="e">
        <f>BY44</f>
        <v>#DIV/0!</v>
      </c>
      <c r="CB44" s="16"/>
      <c r="CC44" s="86" t="e">
        <f>CA44</f>
        <v>#DIV/0!</v>
      </c>
      <c r="CD44" s="70"/>
      <c r="CE44" s="15" t="e">
        <f>CC44</f>
        <v>#DIV/0!</v>
      </c>
      <c r="CF44" s="16"/>
      <c r="CG44" s="15" t="e">
        <f>CE44</f>
        <v>#DIV/0!</v>
      </c>
      <c r="CH44" s="16"/>
      <c r="CI44" s="86" t="e">
        <f>CG44</f>
        <v>#DIV/0!</v>
      </c>
      <c r="CJ44" s="70"/>
      <c r="CK44" s="15" t="e">
        <f>CI44</f>
        <v>#DIV/0!</v>
      </c>
      <c r="CL44" s="16"/>
      <c r="CM44" s="15" t="e">
        <f>CK44</f>
        <v>#DIV/0!</v>
      </c>
      <c r="CN44" s="16"/>
      <c r="CO44" s="86" t="e">
        <f>CM44</f>
        <v>#DIV/0!</v>
      </c>
      <c r="CP44" s="70"/>
      <c r="CQ44" s="15" t="e">
        <f>CO44</f>
        <v>#DIV/0!</v>
      </c>
      <c r="CR44" s="16"/>
      <c r="CS44" s="15" t="e">
        <f>CQ44</f>
        <v>#DIV/0!</v>
      </c>
      <c r="CT44" s="16"/>
      <c r="CU44" s="86" t="e">
        <f>CS44</f>
        <v>#DIV/0!</v>
      </c>
      <c r="DA44" s="80"/>
      <c r="DG44" s="80"/>
      <c r="DM44" s="80"/>
    </row>
    <row r="45" spans="3:118" x14ac:dyDescent="0.2">
      <c r="C45" s="13" t="s">
        <v>97</v>
      </c>
      <c r="AS45" s="88"/>
      <c r="AT45" s="70"/>
      <c r="AU45" s="12">
        <f>AS45-(AU$5*AU44)</f>
        <v>0</v>
      </c>
      <c r="AW45" s="12">
        <f>AU45-(AW$5*AW44)</f>
        <v>0</v>
      </c>
      <c r="AY45" s="89">
        <f>AW45-(AY$5*AY44)</f>
        <v>0</v>
      </c>
      <c r="AZ45" s="70"/>
      <c r="BA45" s="12">
        <f>AY45-(BA$5*BA44)</f>
        <v>0</v>
      </c>
      <c r="BC45" s="12">
        <f>BA45-(BC$5*BC44)</f>
        <v>0</v>
      </c>
      <c r="BE45" s="89">
        <f>BC45-(BE$5*BE44)</f>
        <v>0</v>
      </c>
      <c r="BF45" s="70"/>
      <c r="BG45" s="12">
        <f>BE45-(BG$5*BG44)</f>
        <v>0</v>
      </c>
      <c r="BI45" s="12">
        <f>BG45-(BI$5*BI44)</f>
        <v>0</v>
      </c>
      <c r="BK45" s="89">
        <f>BI45-(BK$5*BK44)</f>
        <v>0</v>
      </c>
      <c r="BL45" s="70"/>
      <c r="BM45" s="12">
        <f>BK45-(BM$5*BM44)</f>
        <v>0</v>
      </c>
      <c r="BO45" s="12">
        <f>BM45-(BO$5*BO44)</f>
        <v>0</v>
      </c>
      <c r="BQ45" s="89">
        <f>BO45-(BQ$5*BQ44)</f>
        <v>0</v>
      </c>
      <c r="BR45" s="90"/>
      <c r="BS45" s="14">
        <f>BQ45</f>
        <v>0</v>
      </c>
      <c r="BT45" s="14"/>
      <c r="BU45" s="14">
        <f>BS45</f>
        <v>0</v>
      </c>
      <c r="BV45" s="14"/>
      <c r="BW45" s="91" t="e">
        <f>BU45+BQ24</f>
        <v>#DIV/0!</v>
      </c>
      <c r="BX45" s="70"/>
      <c r="BY45" s="12" t="e">
        <f>BW45-(BY$5*BY44)</f>
        <v>#DIV/0!</v>
      </c>
      <c r="CA45" s="12" t="e">
        <f>BY45-(CA$5*CA44)</f>
        <v>#DIV/0!</v>
      </c>
      <c r="CC45" s="89" t="e">
        <f>CA45-(CC$5*CC44)</f>
        <v>#DIV/0!</v>
      </c>
      <c r="CD45" s="70"/>
      <c r="CE45" s="12" t="e">
        <f>CC45-(CE$5*CE44)</f>
        <v>#DIV/0!</v>
      </c>
      <c r="CG45" s="12" t="e">
        <f>CE45-(CG$5*CG44)</f>
        <v>#DIV/0!</v>
      </c>
      <c r="CI45" s="89" t="e">
        <f>CG45-(CI$5*CI44)</f>
        <v>#DIV/0!</v>
      </c>
      <c r="CJ45" s="70"/>
      <c r="CK45" s="12" t="e">
        <f>CI45-(CK$5*CK44)</f>
        <v>#DIV/0!</v>
      </c>
      <c r="CM45" s="12" t="e">
        <f>CK45-(CM$5*CM44)</f>
        <v>#DIV/0!</v>
      </c>
      <c r="CO45" s="89" t="e">
        <f>CM45-(CO$5*CO44)</f>
        <v>#DIV/0!</v>
      </c>
      <c r="CP45" s="70"/>
      <c r="CQ45" s="12" t="e">
        <f>CO45-(CQ$5*CQ44)</f>
        <v>#DIV/0!</v>
      </c>
      <c r="CS45" s="12" t="e">
        <f>CQ45-(CS$5*CS44)</f>
        <v>#DIV/0!</v>
      </c>
      <c r="CU45" s="92" t="e">
        <f>CS45-(CU$5*CU44)</f>
        <v>#DIV/0!</v>
      </c>
      <c r="DA45" s="80"/>
      <c r="DG45" s="80"/>
      <c r="DM45" s="80"/>
    </row>
    <row r="46" spans="3:118" x14ac:dyDescent="0.2">
      <c r="C46" s="13"/>
      <c r="AS46" s="80"/>
      <c r="AT46" s="70"/>
      <c r="AY46" s="80"/>
      <c r="AZ46" s="70"/>
      <c r="BE46" s="80"/>
      <c r="BF46" s="70"/>
      <c r="BK46" s="80"/>
      <c r="BL46" s="70"/>
      <c r="BQ46" s="94"/>
      <c r="BW46" s="95" t="e">
        <f>(BW45/SUM(BY$5:CU$5))</f>
        <v>#DIV/0!</v>
      </c>
      <c r="BX46" s="70"/>
      <c r="CC46" s="80"/>
      <c r="CD46" s="70"/>
      <c r="CI46" s="80"/>
      <c r="CJ46" s="70"/>
      <c r="CO46" s="80"/>
      <c r="CP46" s="70"/>
      <c r="CU46" s="80"/>
      <c r="DA46" s="80"/>
      <c r="DG46" s="80"/>
      <c r="DM46" s="80"/>
    </row>
    <row r="47" spans="3:118" x14ac:dyDescent="0.2">
      <c r="AY47" s="80"/>
      <c r="AZ47" s="70"/>
      <c r="BE47" s="80"/>
      <c r="BF47" s="70"/>
      <c r="BK47" s="80"/>
      <c r="BL47" s="70"/>
      <c r="BQ47" s="94"/>
      <c r="BW47" s="94"/>
      <c r="BX47" s="70"/>
      <c r="CC47" s="80"/>
      <c r="CD47" s="70"/>
      <c r="CI47" s="80"/>
      <c r="CJ47" s="70"/>
      <c r="CO47" s="80"/>
      <c r="CP47" s="70"/>
      <c r="CU47" s="80"/>
      <c r="DA47" s="80"/>
      <c r="DG47" s="80"/>
      <c r="DM47" s="80"/>
    </row>
    <row r="48" spans="3:118" x14ac:dyDescent="0.2">
      <c r="AX48" s="16"/>
      <c r="AY48" s="80"/>
      <c r="AZ48" s="70"/>
      <c r="BA48" s="85"/>
      <c r="BC48" s="15">
        <f>BA48</f>
        <v>0</v>
      </c>
      <c r="BD48" s="16"/>
      <c r="BE48" s="86">
        <f>BC48</f>
        <v>0</v>
      </c>
      <c r="BF48" s="70"/>
      <c r="BG48" s="15">
        <f>BE48</f>
        <v>0</v>
      </c>
      <c r="BH48" s="16"/>
      <c r="BI48" s="15">
        <f>BG48</f>
        <v>0</v>
      </c>
      <c r="BJ48" s="16"/>
      <c r="BK48" s="86">
        <f>BI48</f>
        <v>0</v>
      </c>
      <c r="BL48" s="70"/>
      <c r="BM48" s="15">
        <f>BK48</f>
        <v>0</v>
      </c>
      <c r="BN48" s="16"/>
      <c r="BO48" s="15">
        <f>BM48</f>
        <v>0</v>
      </c>
      <c r="BP48" s="16"/>
      <c r="BQ48" s="86">
        <f>BO48</f>
        <v>0</v>
      </c>
      <c r="BR48" s="70"/>
      <c r="BS48" s="15">
        <f>BQ48</f>
        <v>0</v>
      </c>
      <c r="BT48" s="16"/>
      <c r="BU48" s="15">
        <f>BS48</f>
        <v>0</v>
      </c>
      <c r="BV48" s="16"/>
      <c r="BW48" s="86">
        <f>BU48</f>
        <v>0</v>
      </c>
      <c r="BX48" s="87"/>
      <c r="BY48" s="16"/>
      <c r="BZ48" s="16"/>
      <c r="CA48" s="16"/>
      <c r="CB48" s="16"/>
      <c r="CC48" s="81"/>
      <c r="CD48" s="70"/>
      <c r="CE48" s="15" t="e">
        <f>CC50</f>
        <v>#DIV/0!</v>
      </c>
      <c r="CF48" s="16"/>
      <c r="CG48" s="15" t="e">
        <f>CE48</f>
        <v>#DIV/0!</v>
      </c>
      <c r="CH48" s="16"/>
      <c r="CI48" s="86" t="e">
        <f>CG48</f>
        <v>#DIV/0!</v>
      </c>
      <c r="CJ48" s="70"/>
      <c r="CK48" s="15" t="e">
        <f>CI48</f>
        <v>#DIV/0!</v>
      </c>
      <c r="CL48" s="16"/>
      <c r="CM48" s="15" t="e">
        <f>CK48</f>
        <v>#DIV/0!</v>
      </c>
      <c r="CN48" s="16"/>
      <c r="CO48" s="86" t="e">
        <f>CM48</f>
        <v>#DIV/0!</v>
      </c>
      <c r="CP48" s="70"/>
      <c r="CQ48" s="15" t="e">
        <f>CO48</f>
        <v>#DIV/0!</v>
      </c>
      <c r="CR48" s="16"/>
      <c r="CS48" s="15" t="e">
        <f>CQ48</f>
        <v>#DIV/0!</v>
      </c>
      <c r="CT48" s="16"/>
      <c r="CU48" s="86" t="e">
        <f>CS48</f>
        <v>#DIV/0!</v>
      </c>
      <c r="CV48" s="70"/>
      <c r="CW48" s="15" t="e">
        <f>CU48</f>
        <v>#DIV/0!</v>
      </c>
      <c r="CX48" s="16"/>
      <c r="CY48" s="15" t="e">
        <f>CW48</f>
        <v>#DIV/0!</v>
      </c>
      <c r="CZ48" s="16"/>
      <c r="DA48" s="86" t="e">
        <f>CY48</f>
        <v>#DIV/0!</v>
      </c>
      <c r="DG48" s="80"/>
      <c r="DM48" s="80"/>
    </row>
    <row r="49" spans="3:117" x14ac:dyDescent="0.2">
      <c r="C49" s="13" t="s">
        <v>98</v>
      </c>
      <c r="AY49" s="88"/>
      <c r="AZ49" s="70"/>
      <c r="BA49" s="12">
        <f>AY49-(BA$5*BA48)</f>
        <v>0</v>
      </c>
      <c r="BC49" s="12">
        <f>BA49-(BC$5*BC48)</f>
        <v>0</v>
      </c>
      <c r="BE49" s="89">
        <f>BC49-(BE$5*BE48)</f>
        <v>0</v>
      </c>
      <c r="BF49" s="70"/>
      <c r="BG49" s="12">
        <f>BE49-(BG$5*BG48)</f>
        <v>0</v>
      </c>
      <c r="BI49" s="12">
        <f>BG49-(BI$5*BI48)</f>
        <v>0</v>
      </c>
      <c r="BK49" s="89">
        <f>BI49-(BK$5*BK48)</f>
        <v>0</v>
      </c>
      <c r="BL49" s="70"/>
      <c r="BM49" s="12">
        <f>BK49-(BM$5*BM48)</f>
        <v>0</v>
      </c>
      <c r="BO49" s="12">
        <f>BM49-(BO$5*BO48)</f>
        <v>0</v>
      </c>
      <c r="BQ49" s="89">
        <f>BO49-(BQ$5*BQ48)</f>
        <v>0</v>
      </c>
      <c r="BR49" s="70"/>
      <c r="BS49" s="12">
        <f>BQ49-(BS$5*BS48)</f>
        <v>0</v>
      </c>
      <c r="BU49" s="12">
        <f>BS49-(BU$5*BU48)</f>
        <v>0</v>
      </c>
      <c r="BW49" s="89">
        <f>BU49-(BW$5*BW48)</f>
        <v>0</v>
      </c>
      <c r="BX49" s="90"/>
      <c r="BY49" s="14">
        <f>BW49</f>
        <v>0</v>
      </c>
      <c r="BZ49" s="14"/>
      <c r="CA49" s="14">
        <f>BY49</f>
        <v>0</v>
      </c>
      <c r="CB49" s="14"/>
      <c r="CC49" s="91" t="e">
        <f>CA49+BW28</f>
        <v>#DIV/0!</v>
      </c>
      <c r="CD49" s="70"/>
      <c r="CE49" s="12" t="e">
        <f>CC49-(CE$5*CE48)</f>
        <v>#DIV/0!</v>
      </c>
      <c r="CG49" s="12" t="e">
        <f>CE49-(CG$5*CG48)</f>
        <v>#DIV/0!</v>
      </c>
      <c r="CI49" s="89" t="e">
        <f>CG49-(CI$5*CI48)</f>
        <v>#DIV/0!</v>
      </c>
      <c r="CJ49" s="70"/>
      <c r="CK49" s="12" t="e">
        <f>CI49-(CK$5*CK48)</f>
        <v>#DIV/0!</v>
      </c>
      <c r="CM49" s="12" t="e">
        <f>CK49-(CM$5*CM48)</f>
        <v>#DIV/0!</v>
      </c>
      <c r="CO49" s="89" t="e">
        <f>CM49-(CO$5*CO48)</f>
        <v>#DIV/0!</v>
      </c>
      <c r="CP49" s="70"/>
      <c r="CQ49" s="12" t="e">
        <f>CO49-(CQ$5*CQ48)</f>
        <v>#DIV/0!</v>
      </c>
      <c r="CS49" s="12" t="e">
        <f>CQ49-(CS$5*CS48)</f>
        <v>#DIV/0!</v>
      </c>
      <c r="CU49" s="89" t="e">
        <f>CS49-(CU$5*CU48)</f>
        <v>#DIV/0!</v>
      </c>
      <c r="CV49" s="70"/>
      <c r="CW49" s="12" t="e">
        <f>CU49-(CW$5*CW48)</f>
        <v>#DIV/0!</v>
      </c>
      <c r="CY49" s="12" t="e">
        <f>CW49-(CY$5*CY48)</f>
        <v>#DIV/0!</v>
      </c>
      <c r="DA49" s="92" t="e">
        <f>CY49-(DA$5*DA48)</f>
        <v>#DIV/0!</v>
      </c>
      <c r="DG49" s="80"/>
      <c r="DM49" s="80"/>
    </row>
    <row r="50" spans="3:117" x14ac:dyDescent="0.2">
      <c r="AY50" s="80"/>
      <c r="AZ50" s="70"/>
      <c r="BE50" s="80"/>
      <c r="BF50" s="70"/>
      <c r="BK50" s="80"/>
      <c r="BL50" s="70"/>
      <c r="BQ50" s="80"/>
      <c r="BR50" s="70"/>
      <c r="BW50" s="94"/>
      <c r="CC50" s="95" t="e">
        <f>(CC49/SUM(CE$5:DA$5))</f>
        <v>#DIV/0!</v>
      </c>
      <c r="CD50" s="70"/>
      <c r="CI50" s="80"/>
      <c r="CJ50" s="70"/>
      <c r="CO50" s="80"/>
      <c r="CP50" s="70"/>
      <c r="CU50" s="80"/>
      <c r="CV50" s="70"/>
      <c r="DA50" s="80"/>
      <c r="DG50" s="80"/>
      <c r="DM50" s="80"/>
    </row>
    <row r="51" spans="3:117" x14ac:dyDescent="0.2">
      <c r="BE51" s="80"/>
      <c r="BF51" s="70"/>
      <c r="BK51" s="80"/>
      <c r="BL51" s="70"/>
      <c r="BQ51" s="80"/>
      <c r="BR51" s="70"/>
      <c r="BW51" s="94"/>
      <c r="CC51" s="94"/>
      <c r="CD51" s="70"/>
      <c r="CI51" s="80"/>
      <c r="CJ51" s="70"/>
      <c r="CO51" s="80"/>
      <c r="CP51" s="70"/>
      <c r="CU51" s="80"/>
      <c r="CV51" s="70"/>
      <c r="DA51" s="80"/>
      <c r="DG51" s="80"/>
      <c r="DM51" s="80"/>
    </row>
    <row r="52" spans="3:117" x14ac:dyDescent="0.2">
      <c r="BE52" s="80"/>
      <c r="BF52" s="70"/>
      <c r="BG52" s="85"/>
      <c r="BI52" s="15">
        <f>BG52</f>
        <v>0</v>
      </c>
      <c r="BJ52" s="16"/>
      <c r="BK52" s="86">
        <f>BI52</f>
        <v>0</v>
      </c>
      <c r="BL52" s="70"/>
      <c r="BM52" s="15">
        <f>BK52</f>
        <v>0</v>
      </c>
      <c r="BN52" s="16"/>
      <c r="BO52" s="15">
        <f>BM52</f>
        <v>0</v>
      </c>
      <c r="BP52" s="16"/>
      <c r="BQ52" s="86">
        <f>BO52</f>
        <v>0</v>
      </c>
      <c r="BR52" s="70"/>
      <c r="BS52" s="15">
        <f>BQ52</f>
        <v>0</v>
      </c>
      <c r="BT52" s="16"/>
      <c r="BU52" s="15">
        <f>BS52</f>
        <v>0</v>
      </c>
      <c r="BV52" s="16"/>
      <c r="BW52" s="86">
        <f>BU52</f>
        <v>0</v>
      </c>
      <c r="BX52" s="70"/>
      <c r="BY52" s="15">
        <f>BW52</f>
        <v>0</v>
      </c>
      <c r="BZ52" s="16"/>
      <c r="CA52" s="15">
        <f>BY52</f>
        <v>0</v>
      </c>
      <c r="CB52" s="16"/>
      <c r="CC52" s="86">
        <f>CA52</f>
        <v>0</v>
      </c>
      <c r="CD52" s="87"/>
      <c r="CE52" s="16"/>
      <c r="CF52" s="16"/>
      <c r="CG52" s="16"/>
      <c r="CH52" s="16"/>
      <c r="CI52" s="81"/>
      <c r="CJ52" s="70"/>
      <c r="CK52" s="15" t="e">
        <f>CI54</f>
        <v>#DIV/0!</v>
      </c>
      <c r="CL52" s="16"/>
      <c r="CM52" s="15" t="e">
        <f>CK52</f>
        <v>#DIV/0!</v>
      </c>
      <c r="CN52" s="16"/>
      <c r="CO52" s="86" t="e">
        <f>CM52</f>
        <v>#DIV/0!</v>
      </c>
      <c r="CP52" s="70"/>
      <c r="CQ52" s="15" t="e">
        <f>CO52</f>
        <v>#DIV/0!</v>
      </c>
      <c r="CR52" s="16"/>
      <c r="CS52" s="15" t="e">
        <f>CQ52</f>
        <v>#DIV/0!</v>
      </c>
      <c r="CT52" s="16"/>
      <c r="CU52" s="86" t="e">
        <f>CS52</f>
        <v>#DIV/0!</v>
      </c>
      <c r="CV52" s="70"/>
      <c r="CW52" s="15" t="e">
        <f>CU52</f>
        <v>#DIV/0!</v>
      </c>
      <c r="CX52" s="16"/>
      <c r="CY52" s="15" t="e">
        <f>CW52</f>
        <v>#DIV/0!</v>
      </c>
      <c r="CZ52" s="16"/>
      <c r="DA52" s="86" t="e">
        <f>CY52</f>
        <v>#DIV/0!</v>
      </c>
      <c r="DB52" s="70"/>
      <c r="DC52" s="15" t="e">
        <f>DA52</f>
        <v>#DIV/0!</v>
      </c>
      <c r="DD52" s="16"/>
      <c r="DE52" s="15" t="e">
        <f>DC52</f>
        <v>#DIV/0!</v>
      </c>
      <c r="DF52" s="16"/>
      <c r="DG52" s="86" t="e">
        <f>DE52</f>
        <v>#DIV/0!</v>
      </c>
      <c r="DM52" s="80"/>
    </row>
    <row r="53" spans="3:117" x14ac:dyDescent="0.2">
      <c r="C53" s="17" t="s">
        <v>99</v>
      </c>
      <c r="BE53" s="88"/>
      <c r="BF53" s="70"/>
      <c r="BG53" s="12">
        <f>BE53-(BG$5*BG52)</f>
        <v>0</v>
      </c>
      <c r="BI53" s="12">
        <f>BG53-(BI$5*BI52)</f>
        <v>0</v>
      </c>
      <c r="BK53" s="89">
        <f>BI53-(BK$5*BK52)</f>
        <v>0</v>
      </c>
      <c r="BL53" s="70"/>
      <c r="BM53" s="12">
        <f>BK53-(BM$5*BM52)</f>
        <v>0</v>
      </c>
      <c r="BO53" s="12">
        <f>BM53-(BO$5*BO52)</f>
        <v>0</v>
      </c>
      <c r="BQ53" s="89">
        <f>BO53-(BQ$5*BQ52)</f>
        <v>0</v>
      </c>
      <c r="BR53" s="70"/>
      <c r="BS53" s="12">
        <f>BQ53-(BS$5*BS52)</f>
        <v>0</v>
      </c>
      <c r="BU53" s="12">
        <f>BS53-(BU$5*BU52)</f>
        <v>0</v>
      </c>
      <c r="BW53" s="89">
        <f>BU53-(BW$5*BW52)</f>
        <v>0</v>
      </c>
      <c r="BX53" s="70"/>
      <c r="BY53" s="12">
        <f>BW53-(BY$5*BY52)</f>
        <v>0</v>
      </c>
      <c r="CA53" s="12">
        <f>BY53-(CA$5*CA52)</f>
        <v>0</v>
      </c>
      <c r="CC53" s="89">
        <f>CA53-(CC$5*CC52)</f>
        <v>0</v>
      </c>
      <c r="CD53" s="90"/>
      <c r="CE53" s="14">
        <f>CC53</f>
        <v>0</v>
      </c>
      <c r="CF53" s="14"/>
      <c r="CG53" s="14">
        <f>CE53</f>
        <v>0</v>
      </c>
      <c r="CH53" s="14"/>
      <c r="CI53" s="91" t="e">
        <f>CG53+CC32</f>
        <v>#DIV/0!</v>
      </c>
      <c r="CJ53" s="70"/>
      <c r="CK53" s="12" t="e">
        <f>CI53-(CK$5*CK52)</f>
        <v>#DIV/0!</v>
      </c>
      <c r="CM53" s="12" t="e">
        <f>CK53-(CM$5*CM52)</f>
        <v>#DIV/0!</v>
      </c>
      <c r="CO53" s="89" t="e">
        <f>CM53-(CO$5*CO52)</f>
        <v>#DIV/0!</v>
      </c>
      <c r="CP53" s="70"/>
      <c r="CQ53" s="12" t="e">
        <f>CO53-(CQ$5*CQ52)</f>
        <v>#DIV/0!</v>
      </c>
      <c r="CS53" s="12" t="e">
        <f>CQ53-(CS$5*CS52)</f>
        <v>#DIV/0!</v>
      </c>
      <c r="CU53" s="89" t="e">
        <f>CS53-(CU$5*CU52)</f>
        <v>#DIV/0!</v>
      </c>
      <c r="CV53" s="70"/>
      <c r="CW53" s="12" t="e">
        <f>CU53-(CW$5*CW52)</f>
        <v>#DIV/0!</v>
      </c>
      <c r="CY53" s="12" t="e">
        <f>CW53-(CY$5*CY52)</f>
        <v>#DIV/0!</v>
      </c>
      <c r="DA53" s="89" t="e">
        <f>CY53-(DA$5*DA52)</f>
        <v>#DIV/0!</v>
      </c>
      <c r="DB53" s="70"/>
      <c r="DC53" s="12" t="e">
        <f>DA53-(DC$5*DC52)</f>
        <v>#DIV/0!</v>
      </c>
      <c r="DE53" s="12" t="e">
        <f>DC53-(DE$5*DE52)</f>
        <v>#DIV/0!</v>
      </c>
      <c r="DG53" s="92" t="e">
        <f>DE53-(DG$5*DG52)</f>
        <v>#DIV/0!</v>
      </c>
      <c r="DM53" s="80"/>
    </row>
    <row r="54" spans="3:117" x14ac:dyDescent="0.2">
      <c r="BE54" s="80"/>
      <c r="BF54" s="70"/>
      <c r="BK54" s="80"/>
      <c r="BL54" s="70"/>
      <c r="BQ54" s="80"/>
      <c r="BR54" s="70"/>
      <c r="BW54" s="80"/>
      <c r="BX54" s="70"/>
      <c r="CC54" s="94"/>
      <c r="CI54" s="95" t="e">
        <f>(CI53/SUM(CK$5:DG$5))</f>
        <v>#DIV/0!</v>
      </c>
      <c r="CJ54" s="70"/>
      <c r="CO54" s="80"/>
      <c r="CP54" s="70"/>
      <c r="CU54" s="80"/>
      <c r="CV54" s="70"/>
      <c r="DA54" s="80"/>
      <c r="DB54" s="70"/>
      <c r="DG54" s="80"/>
      <c r="DM54" s="80"/>
    </row>
  </sheetData>
  <pageMargins left="0.5" right="0.5" top="1" bottom="1" header="0.5" footer="0.5"/>
  <pageSetup scale="47" fitToWidth="2" orientation="landscape" r:id="rId1"/>
  <headerFooter>
    <oddHeader>&amp;C&amp;"Arial,Bold"Schedule V&amp;"Arial,Regular"
Balance Adjustment&amp;R&amp;"Arial,Bold"Navitas KY NG, LLC</oddHeader>
    <oddFooter>&amp;C&amp;A&amp;R&amp;D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workbookViewId="0">
      <selection activeCell="J26" sqref="J26"/>
    </sheetView>
  </sheetViews>
  <sheetFormatPr defaultColWidth="8.85546875" defaultRowHeight="12.75" x14ac:dyDescent="0.2"/>
  <cols>
    <col min="1" max="1" width="1.7109375" style="19" customWidth="1"/>
    <col min="2" max="2" width="3.7109375" style="122" customWidth="1"/>
    <col min="3" max="3" width="24.7109375" style="19" customWidth="1"/>
    <col min="4" max="5" width="1.7109375" style="19" customWidth="1"/>
    <col min="6" max="6" width="12.7109375" style="19" customWidth="1"/>
    <col min="7" max="7" width="1.7109375" style="19" customWidth="1"/>
    <col min="8" max="8" width="12.7109375" style="122" customWidth="1"/>
    <col min="9" max="9" width="1.7109375" style="19" customWidth="1"/>
    <col min="10" max="10" width="12.7109375" style="123" customWidth="1"/>
    <col min="11" max="11" width="1.7109375" style="19" customWidth="1"/>
    <col min="12" max="12" width="12.7109375" style="19" customWidth="1"/>
    <col min="13" max="13" width="1.7109375" style="19" customWidth="1"/>
    <col min="14" max="14" width="12.7109375" style="19" customWidth="1"/>
    <col min="15" max="15" width="1.7109375" style="19" customWidth="1"/>
    <col min="16" max="16" width="12.7109375" style="19" customWidth="1"/>
    <col min="17" max="17" width="1.7109375" style="19" customWidth="1"/>
    <col min="18" max="18" width="12.7109375" style="19" customWidth="1"/>
    <col min="19" max="19" width="1.7109375" style="19" customWidth="1"/>
    <col min="20" max="20" width="12.7109375" style="19" customWidth="1"/>
    <col min="21" max="21" width="1.7109375" style="19" customWidth="1"/>
    <col min="22" max="22" width="12.7109375" style="19" customWidth="1"/>
    <col min="23" max="23" width="1.7109375" style="19" customWidth="1"/>
    <col min="24" max="24" width="12.7109375" style="19" customWidth="1"/>
    <col min="25" max="25" width="1.7109375" style="19" customWidth="1"/>
    <col min="26" max="26" width="12.7109375" style="19" customWidth="1"/>
    <col min="27" max="27" width="1.7109375" style="19" customWidth="1"/>
    <col min="28" max="28" width="12.7109375" style="19" customWidth="1"/>
    <col min="29" max="16384" width="8.85546875" style="19"/>
  </cols>
  <sheetData>
    <row r="1" spans="1:11" x14ac:dyDescent="0.2">
      <c r="A1" s="19" t="s">
        <v>131</v>
      </c>
    </row>
    <row r="3" spans="1:11" x14ac:dyDescent="0.2">
      <c r="A3" s="19" t="s">
        <v>132</v>
      </c>
    </row>
    <row r="6" spans="1:11" x14ac:dyDescent="0.2">
      <c r="A6" s="19" t="s">
        <v>133</v>
      </c>
    </row>
    <row r="7" spans="1:11" x14ac:dyDescent="0.2">
      <c r="A7" s="124"/>
      <c r="B7" s="125"/>
      <c r="C7" s="124"/>
      <c r="D7" s="124"/>
      <c r="E7" s="124"/>
      <c r="F7" s="124"/>
      <c r="G7" s="124"/>
      <c r="H7" s="125"/>
      <c r="I7" s="124"/>
      <c r="J7" s="126"/>
      <c r="K7" s="124"/>
    </row>
    <row r="9" spans="1:11" x14ac:dyDescent="0.2">
      <c r="B9" s="122" t="s">
        <v>134</v>
      </c>
      <c r="C9" s="19" t="s">
        <v>135</v>
      </c>
      <c r="J9" s="123">
        <v>1.357</v>
      </c>
    </row>
    <row r="10" spans="1:11" x14ac:dyDescent="0.2">
      <c r="A10" s="124"/>
      <c r="B10" s="125"/>
      <c r="C10" s="124"/>
      <c r="D10" s="124"/>
      <c r="E10" s="124"/>
      <c r="F10" s="124"/>
      <c r="G10" s="124"/>
      <c r="H10" s="125"/>
      <c r="I10" s="124"/>
      <c r="J10" s="126"/>
      <c r="K10" s="124"/>
    </row>
    <row r="12" spans="1:11" x14ac:dyDescent="0.2">
      <c r="A12" s="19" t="s">
        <v>136</v>
      </c>
      <c r="F12" s="19" t="s">
        <v>194</v>
      </c>
    </row>
    <row r="14" spans="1:11" x14ac:dyDescent="0.2">
      <c r="B14" s="122" t="s">
        <v>138</v>
      </c>
      <c r="C14" s="19" t="s">
        <v>139</v>
      </c>
      <c r="J14" s="182">
        <v>6.5572999999999997</v>
      </c>
    </row>
    <row r="15" spans="1:11" x14ac:dyDescent="0.2">
      <c r="B15" s="128" t="s">
        <v>140</v>
      </c>
      <c r="C15" s="19" t="s">
        <v>141</v>
      </c>
      <c r="J15" s="123">
        <v>1.101</v>
      </c>
    </row>
    <row r="17" spans="1:11" x14ac:dyDescent="0.2">
      <c r="B17" s="122" t="s">
        <v>142</v>
      </c>
      <c r="C17" s="19" t="s">
        <v>143</v>
      </c>
      <c r="H17" s="122" t="s">
        <v>144</v>
      </c>
      <c r="J17" s="180">
        <f>J9/J15</f>
        <v>1.2325158946412353</v>
      </c>
    </row>
    <row r="18" spans="1:11" x14ac:dyDescent="0.2">
      <c r="B18" s="122" t="s">
        <v>145</v>
      </c>
      <c r="C18" s="19" t="s">
        <v>146</v>
      </c>
      <c r="H18" s="122" t="s">
        <v>147</v>
      </c>
      <c r="J18" s="181">
        <f>J14*J17</f>
        <v>8.081976475930972</v>
      </c>
    </row>
    <row r="19" spans="1:11" x14ac:dyDescent="0.2">
      <c r="A19" s="124"/>
      <c r="B19" s="125"/>
      <c r="C19" s="124"/>
      <c r="D19" s="124"/>
      <c r="E19" s="124"/>
      <c r="F19" s="124"/>
      <c r="G19" s="124"/>
      <c r="H19" s="125"/>
      <c r="I19" s="124"/>
      <c r="J19" s="126"/>
      <c r="K19" s="124"/>
    </row>
    <row r="21" spans="1:11" x14ac:dyDescent="0.2">
      <c r="A21" s="19" t="s">
        <v>148</v>
      </c>
      <c r="F21" s="19" t="s">
        <v>149</v>
      </c>
    </row>
    <row r="23" spans="1:11" x14ac:dyDescent="0.2">
      <c r="B23" s="122" t="s">
        <v>150</v>
      </c>
      <c r="C23" s="19" t="s">
        <v>151</v>
      </c>
      <c r="F23" s="19" t="s">
        <v>152</v>
      </c>
      <c r="J23" s="182">
        <v>4.2445000000000004</v>
      </c>
    </row>
    <row r="24" spans="1:11" x14ac:dyDescent="0.2">
      <c r="B24" s="122" t="s">
        <v>153</v>
      </c>
      <c r="C24" s="19" t="s">
        <v>154</v>
      </c>
      <c r="F24" s="19" t="s">
        <v>155</v>
      </c>
      <c r="J24" s="183">
        <v>265478</v>
      </c>
    </row>
    <row r="25" spans="1:11" x14ac:dyDescent="0.2">
      <c r="B25" s="122" t="s">
        <v>156</v>
      </c>
      <c r="C25" s="19" t="s">
        <v>157</v>
      </c>
      <c r="F25" s="19" t="s">
        <v>155</v>
      </c>
      <c r="J25" s="183">
        <v>216717</v>
      </c>
    </row>
    <row r="27" spans="1:11" x14ac:dyDescent="0.2">
      <c r="B27" s="122" t="s">
        <v>158</v>
      </c>
      <c r="C27" s="19" t="s">
        <v>159</v>
      </c>
      <c r="H27" s="122" t="s">
        <v>160</v>
      </c>
      <c r="J27" s="180">
        <f>J24/J25</f>
        <v>1.2249985003483805</v>
      </c>
    </row>
    <row r="28" spans="1:11" x14ac:dyDescent="0.2">
      <c r="B28" s="122" t="s">
        <v>161</v>
      </c>
      <c r="C28" s="19" t="s">
        <v>162</v>
      </c>
      <c r="H28" s="122" t="s">
        <v>163</v>
      </c>
      <c r="J28" s="180">
        <f>J9/J27</f>
        <v>1.1077564581622583</v>
      </c>
    </row>
    <row r="29" spans="1:11" x14ac:dyDescent="0.2">
      <c r="B29" s="122" t="s">
        <v>164</v>
      </c>
      <c r="C29" s="19" t="s">
        <v>165</v>
      </c>
      <c r="H29" s="122" t="s">
        <v>166</v>
      </c>
      <c r="J29" s="181">
        <f>J23*J28</f>
        <v>4.7018722866697056</v>
      </c>
    </row>
    <row r="30" spans="1:11" x14ac:dyDescent="0.2">
      <c r="A30" s="124"/>
      <c r="B30" s="125"/>
      <c r="C30" s="124"/>
      <c r="D30" s="124"/>
      <c r="E30" s="124"/>
      <c r="F30" s="124"/>
      <c r="G30" s="124"/>
      <c r="H30" s="125"/>
      <c r="I30" s="124"/>
      <c r="J30" s="126"/>
      <c r="K30" s="124"/>
    </row>
    <row r="32" spans="1:11" x14ac:dyDescent="0.2">
      <c r="C32" s="19" t="s">
        <v>165</v>
      </c>
      <c r="J32" s="180">
        <f>J29</f>
        <v>4.7018722866697056</v>
      </c>
    </row>
    <row r="33" spans="3:10" x14ac:dyDescent="0.2">
      <c r="C33" s="19" t="s">
        <v>165</v>
      </c>
      <c r="J33" s="180">
        <f>J32</f>
        <v>4.7018722866697056</v>
      </c>
    </row>
    <row r="34" spans="3:10" x14ac:dyDescent="0.2">
      <c r="C34" s="19" t="s">
        <v>146</v>
      </c>
      <c r="J34" s="180">
        <f>J18</f>
        <v>8.081976475930972</v>
      </c>
    </row>
    <row r="35" spans="3:10" x14ac:dyDescent="0.2">
      <c r="C35" s="121" t="s">
        <v>167</v>
      </c>
      <c r="J35" s="184">
        <f>AVERAGE(J32:J34)</f>
        <v>5.8285736830901271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zoomScaleNormal="100" workbookViewId="0">
      <pane xSplit="4" ySplit="2" topLeftCell="E33" activePane="bottomRight" state="frozen"/>
      <selection pane="topRight" activeCell="E1" sqref="E1"/>
      <selection pane="bottomLeft" activeCell="A3" sqref="A3"/>
      <selection pane="bottomRight" activeCell="N39" sqref="N39"/>
    </sheetView>
  </sheetViews>
  <sheetFormatPr defaultColWidth="9.140625" defaultRowHeight="12.75" x14ac:dyDescent="0.2"/>
  <cols>
    <col min="1" max="2" width="1.28515625" style="19" customWidth="1"/>
    <col min="3" max="3" width="10.7109375" style="19" customWidth="1"/>
    <col min="4" max="5" width="1.28515625" style="19" customWidth="1"/>
    <col min="6" max="6" width="9.7109375" style="19" customWidth="1"/>
    <col min="7" max="7" width="1.28515625" style="19" customWidth="1"/>
    <col min="8" max="8" width="9.7109375" style="19" customWidth="1"/>
    <col min="9" max="9" width="1.28515625" style="19" customWidth="1"/>
    <col min="10" max="10" width="9.7109375" style="19" customWidth="1"/>
    <col min="11" max="11" width="1.28515625" style="19" customWidth="1"/>
    <col min="12" max="12" width="9.7109375" style="19" customWidth="1"/>
    <col min="13" max="13" width="1.28515625" style="19" customWidth="1"/>
    <col min="14" max="14" width="9.7109375" style="19" customWidth="1"/>
    <col min="15" max="15" width="1.28515625" style="19" customWidth="1"/>
    <col min="16" max="16" width="9.7109375" style="19" customWidth="1"/>
    <col min="17" max="17" width="1.28515625" style="19" customWidth="1"/>
    <col min="18" max="18" width="9.7109375" style="19" customWidth="1"/>
    <col min="19" max="19" width="1.28515625" style="19" customWidth="1"/>
    <col min="20" max="20" width="9.7109375" style="19" customWidth="1"/>
    <col min="21" max="21" width="1.28515625" style="19" customWidth="1"/>
    <col min="22" max="22" width="9.7109375" style="19" customWidth="1"/>
    <col min="23" max="23" width="1.28515625" style="19" customWidth="1"/>
    <col min="24" max="24" width="9.7109375" style="19" customWidth="1"/>
    <col min="25" max="25" width="1.28515625" style="19" customWidth="1"/>
    <col min="26" max="26" width="9.7109375" style="19" customWidth="1"/>
    <col min="27" max="27" width="1.28515625" style="19" customWidth="1"/>
    <col min="28" max="28" width="9.7109375" style="19" customWidth="1"/>
    <col min="29" max="29" width="1.28515625" style="19" customWidth="1"/>
    <col min="30" max="30" width="10.7109375" style="19" customWidth="1"/>
    <col min="31" max="31" width="9.140625" style="19"/>
    <col min="32" max="32" width="15.85546875" style="19" customWidth="1"/>
    <col min="33" max="33" width="9.7109375" style="19" customWidth="1"/>
    <col min="34" max="16384" width="9.140625" style="19"/>
  </cols>
  <sheetData>
    <row r="1" spans="1:30" x14ac:dyDescent="0.2">
      <c r="A1" s="19" t="s">
        <v>0</v>
      </c>
    </row>
    <row r="2" spans="1:30" s="113" customFormat="1" x14ac:dyDescent="0.2">
      <c r="F2" s="114">
        <v>39478</v>
      </c>
      <c r="G2" s="114"/>
      <c r="H2" s="114">
        <v>39506</v>
      </c>
      <c r="I2" s="114"/>
      <c r="J2" s="114">
        <v>39538</v>
      </c>
      <c r="K2" s="114"/>
      <c r="L2" s="114">
        <v>39568</v>
      </c>
      <c r="M2" s="114"/>
      <c r="N2" s="114">
        <v>39599</v>
      </c>
      <c r="O2" s="114"/>
      <c r="P2" s="114">
        <v>39629</v>
      </c>
      <c r="Q2" s="114"/>
      <c r="R2" s="114">
        <v>39660</v>
      </c>
      <c r="S2" s="114"/>
      <c r="T2" s="114">
        <v>39691</v>
      </c>
      <c r="U2" s="114"/>
      <c r="V2" s="114">
        <v>39721</v>
      </c>
      <c r="W2" s="114"/>
      <c r="X2" s="114">
        <v>39752</v>
      </c>
      <c r="Y2" s="114"/>
      <c r="Z2" s="114">
        <v>39782</v>
      </c>
      <c r="AA2" s="114"/>
      <c r="AB2" s="114">
        <v>39813</v>
      </c>
      <c r="AC2" s="114"/>
      <c r="AD2" s="115"/>
    </row>
    <row r="3" spans="1:30" x14ac:dyDescent="0.2">
      <c r="B3" s="124" t="s">
        <v>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</row>
    <row r="4" spans="1:30" x14ac:dyDescent="0.2">
      <c r="C4" s="19" t="s">
        <v>63</v>
      </c>
      <c r="F4" s="116" t="s">
        <v>59</v>
      </c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D4" s="116"/>
    </row>
    <row r="5" spans="1:30" x14ac:dyDescent="0.2">
      <c r="C5" s="19">
        <v>2020</v>
      </c>
      <c r="F5" s="116"/>
      <c r="G5" s="116"/>
      <c r="H5" s="116"/>
      <c r="I5" s="116"/>
      <c r="J5" s="116"/>
      <c r="K5" s="116"/>
      <c r="L5" s="116"/>
      <c r="M5" s="116"/>
      <c r="N5" s="116">
        <v>2602</v>
      </c>
      <c r="O5" s="116"/>
      <c r="P5" s="116">
        <v>2986</v>
      </c>
      <c r="Q5" s="116"/>
      <c r="R5" s="116">
        <v>3294</v>
      </c>
      <c r="S5" s="116"/>
      <c r="T5" s="116">
        <v>2248</v>
      </c>
      <c r="U5" s="116"/>
      <c r="V5" s="116">
        <v>3641</v>
      </c>
      <c r="W5" s="116"/>
      <c r="X5" s="116">
        <v>4076</v>
      </c>
      <c r="Y5" s="116"/>
      <c r="Z5" s="116">
        <v>7543</v>
      </c>
      <c r="AA5" s="116"/>
      <c r="AB5" s="116">
        <v>15801</v>
      </c>
      <c r="AD5" s="116"/>
    </row>
    <row r="6" spans="1:30" x14ac:dyDescent="0.2">
      <c r="C6" s="19">
        <v>2021</v>
      </c>
      <c r="F6" s="116">
        <v>8062</v>
      </c>
      <c r="G6" s="116"/>
      <c r="H6" s="116">
        <v>9011</v>
      </c>
      <c r="I6" s="116"/>
      <c r="J6" s="116">
        <v>8648</v>
      </c>
      <c r="K6" s="116"/>
      <c r="L6" s="116">
        <v>6721</v>
      </c>
      <c r="M6" s="116"/>
      <c r="N6" s="116">
        <v>4576</v>
      </c>
      <c r="O6" s="116"/>
      <c r="P6" s="116">
        <v>3920</v>
      </c>
      <c r="Q6" s="116"/>
      <c r="R6" s="116">
        <v>1949</v>
      </c>
      <c r="S6" s="116"/>
      <c r="T6" s="116">
        <v>930</v>
      </c>
      <c r="U6" s="116"/>
      <c r="V6" s="116">
        <v>203</v>
      </c>
      <c r="W6" s="116"/>
      <c r="X6" s="116">
        <v>405</v>
      </c>
      <c r="Y6" s="116"/>
      <c r="Z6" s="116">
        <v>4469</v>
      </c>
      <c r="AA6" s="116"/>
      <c r="AB6" s="116"/>
      <c r="AD6" s="116"/>
    </row>
    <row r="7" spans="1:30" x14ac:dyDescent="0.2"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D7" s="116"/>
    </row>
    <row r="8" spans="1:30" x14ac:dyDescent="0.2">
      <c r="C8" s="19" t="s">
        <v>63</v>
      </c>
      <c r="F8" s="116" t="s">
        <v>61</v>
      </c>
      <c r="G8" s="116"/>
      <c r="H8" s="117">
        <v>1.2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D8" s="116"/>
    </row>
    <row r="9" spans="1:30" x14ac:dyDescent="0.2">
      <c r="C9" s="19">
        <v>2020</v>
      </c>
      <c r="F9" s="116"/>
      <c r="G9" s="116"/>
      <c r="H9" s="116"/>
      <c r="I9" s="116"/>
      <c r="J9" s="116"/>
      <c r="K9" s="116"/>
      <c r="L9" s="116"/>
      <c r="M9" s="116"/>
      <c r="N9" s="116">
        <f>N5/$H$8</f>
        <v>2168.3333333333335</v>
      </c>
      <c r="O9" s="116"/>
      <c r="P9" s="116">
        <f>P5/$H$8</f>
        <v>2488.3333333333335</v>
      </c>
      <c r="Q9" s="116"/>
      <c r="R9" s="116">
        <f>R5/$H$8</f>
        <v>2745</v>
      </c>
      <c r="S9" s="116"/>
      <c r="T9" s="116">
        <f>T5/$H$8</f>
        <v>1873.3333333333335</v>
      </c>
      <c r="U9" s="116"/>
      <c r="V9" s="116">
        <f>V5/$H$8</f>
        <v>3034.166666666667</v>
      </c>
      <c r="W9" s="116"/>
      <c r="X9" s="116">
        <f>X5/$H$8</f>
        <v>3396.666666666667</v>
      </c>
      <c r="Y9" s="116"/>
      <c r="Z9" s="116">
        <f>Z5/$H$8</f>
        <v>6285.8333333333339</v>
      </c>
      <c r="AA9" s="116"/>
      <c r="AB9" s="116">
        <f>AB5/$H$8</f>
        <v>13167.5</v>
      </c>
      <c r="AD9" s="116"/>
    </row>
    <row r="10" spans="1:30" x14ac:dyDescent="0.2">
      <c r="C10" s="19">
        <v>2021</v>
      </c>
      <c r="F10" s="116">
        <f>F6/$H$8</f>
        <v>6718.3333333333339</v>
      </c>
      <c r="G10" s="116"/>
      <c r="H10" s="116">
        <f>H6/$H$8</f>
        <v>7509.166666666667</v>
      </c>
      <c r="I10" s="116"/>
      <c r="J10" s="116">
        <f>J6/$H$8</f>
        <v>7206.666666666667</v>
      </c>
      <c r="K10" s="116"/>
      <c r="L10" s="116">
        <f>L6/$H$8</f>
        <v>5600.8333333333339</v>
      </c>
      <c r="M10" s="116"/>
      <c r="N10" s="116">
        <f>N6/$H$8</f>
        <v>3813.3333333333335</v>
      </c>
      <c r="O10" s="116"/>
      <c r="P10" s="116">
        <f>P6/$H$8</f>
        <v>3266.666666666667</v>
      </c>
      <c r="Q10" s="116"/>
      <c r="R10" s="116">
        <f>R6/$H$8</f>
        <v>1624.1666666666667</v>
      </c>
      <c r="S10" s="116"/>
      <c r="T10" s="116">
        <f>T6/$H$8</f>
        <v>775</v>
      </c>
      <c r="U10" s="116"/>
      <c r="V10" s="116">
        <f>V6/$H$8</f>
        <v>169.16666666666669</v>
      </c>
      <c r="W10" s="116"/>
      <c r="X10" s="116">
        <f>X6/$H$8</f>
        <v>337.5</v>
      </c>
      <c r="Y10" s="116"/>
      <c r="Z10" s="116">
        <f>Z6/$H$8</f>
        <v>3724.166666666667</v>
      </c>
      <c r="AA10" s="116"/>
      <c r="AB10" s="116"/>
      <c r="AD10" s="116"/>
    </row>
    <row r="11" spans="1:30" x14ac:dyDescent="0.2"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>
        <f>SUM($F10:X10)+SUM(Z9:$AB9)</f>
        <v>56474.166666666664</v>
      </c>
      <c r="Y11" s="116"/>
      <c r="Z11" s="116"/>
      <c r="AA11" s="116"/>
      <c r="AB11" s="116"/>
      <c r="AD11" s="116"/>
    </row>
    <row r="12" spans="1:30" x14ac:dyDescent="0.2"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D12" s="116"/>
    </row>
    <row r="13" spans="1:30" x14ac:dyDescent="0.2">
      <c r="C13" s="19" t="s">
        <v>64</v>
      </c>
      <c r="F13" s="116" t="s">
        <v>61</v>
      </c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D13" s="116"/>
    </row>
    <row r="14" spans="1:30" x14ac:dyDescent="0.2">
      <c r="C14" s="19">
        <v>2020</v>
      </c>
      <c r="F14" s="116"/>
      <c r="G14" s="116"/>
      <c r="H14" s="116"/>
      <c r="I14" s="116"/>
      <c r="J14" s="116"/>
      <c r="K14" s="116"/>
      <c r="L14" s="116"/>
      <c r="M14" s="116"/>
      <c r="N14" s="116">
        <v>5353</v>
      </c>
      <c r="O14" s="116"/>
      <c r="P14" s="116">
        <v>4112</v>
      </c>
      <c r="Q14" s="116"/>
      <c r="R14" s="116">
        <v>3477</v>
      </c>
      <c r="S14" s="116"/>
      <c r="T14" s="116">
        <v>4107</v>
      </c>
      <c r="U14" s="116"/>
      <c r="V14" s="116">
        <v>3683</v>
      </c>
      <c r="W14" s="116"/>
      <c r="X14" s="116">
        <v>5476</v>
      </c>
      <c r="Y14" s="116"/>
      <c r="Z14" s="116">
        <v>5128</v>
      </c>
      <c r="AA14" s="116"/>
      <c r="AB14" s="116">
        <v>2275</v>
      </c>
      <c r="AD14" s="116"/>
    </row>
    <row r="15" spans="1:30" x14ac:dyDescent="0.2">
      <c r="C15" s="19">
        <v>2021</v>
      </c>
      <c r="F15" s="116">
        <v>4628</v>
      </c>
      <c r="G15" s="116"/>
      <c r="H15" s="116">
        <v>4320</v>
      </c>
      <c r="I15" s="116"/>
      <c r="J15" s="116">
        <v>4627</v>
      </c>
      <c r="K15" s="116"/>
      <c r="L15" s="116">
        <v>4162</v>
      </c>
      <c r="M15" s="116"/>
      <c r="N15" s="116">
        <v>4508</v>
      </c>
      <c r="O15" s="116"/>
      <c r="P15" s="116">
        <v>3506</v>
      </c>
      <c r="Q15" s="116"/>
      <c r="R15" s="116">
        <v>1840</v>
      </c>
      <c r="S15" s="116"/>
      <c r="T15" s="116">
        <v>1327</v>
      </c>
      <c r="U15" s="116"/>
      <c r="V15" s="116">
        <v>1798</v>
      </c>
      <c r="W15" s="116"/>
      <c r="X15" s="116">
        <v>2632</v>
      </c>
      <c r="Y15" s="116"/>
      <c r="Z15" s="116">
        <v>2750</v>
      </c>
      <c r="AA15" s="116"/>
      <c r="AB15" s="116">
        <v>4088</v>
      </c>
      <c r="AD15" s="116"/>
    </row>
    <row r="16" spans="1:30" x14ac:dyDescent="0.2"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>
        <f>SUM($F15:X15)+SUM(Z14:$AB14)</f>
        <v>40751</v>
      </c>
      <c r="Y16" s="116"/>
      <c r="Z16" s="116"/>
      <c r="AA16" s="116"/>
      <c r="AB16" s="116"/>
      <c r="AD16" s="116"/>
    </row>
    <row r="17" spans="2:30" x14ac:dyDescent="0.2">
      <c r="C17" s="19" t="s">
        <v>126</v>
      </c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D17" s="116"/>
    </row>
    <row r="18" spans="2:30" x14ac:dyDescent="0.2">
      <c r="C18" s="19">
        <v>2020</v>
      </c>
      <c r="F18" s="116"/>
      <c r="G18" s="116"/>
      <c r="H18" s="116"/>
      <c r="I18" s="116"/>
      <c r="J18" s="116"/>
      <c r="K18" s="116"/>
      <c r="L18" s="116"/>
      <c r="M18" s="116"/>
      <c r="N18" s="118">
        <v>0.92374141040011692</v>
      </c>
      <c r="O18" s="9"/>
      <c r="P18" s="61">
        <v>0.98412406008741815</v>
      </c>
      <c r="Q18" s="61"/>
      <c r="R18" s="118">
        <v>0.98578976134086349</v>
      </c>
      <c r="S18" s="9"/>
      <c r="T18" s="119">
        <v>0.98336382346215412</v>
      </c>
      <c r="U18" s="9"/>
      <c r="V18" s="9">
        <v>0.98474955694431487</v>
      </c>
      <c r="W18" s="9"/>
      <c r="X18" s="9">
        <v>0.977122283981809</v>
      </c>
      <c r="Y18" s="9"/>
      <c r="Z18" s="9">
        <v>0.94188011429390739</v>
      </c>
      <c r="AA18" s="9"/>
      <c r="AB18" s="9">
        <v>0.86897474409622744</v>
      </c>
      <c r="AD18" s="116"/>
    </row>
    <row r="19" spans="2:30" x14ac:dyDescent="0.2">
      <c r="C19" s="19">
        <v>2021</v>
      </c>
      <c r="F19" s="9">
        <v>0.8244498467008945</v>
      </c>
      <c r="G19" s="9"/>
      <c r="H19" s="9">
        <v>0.80864379016338361</v>
      </c>
      <c r="I19" s="9"/>
      <c r="J19" s="118">
        <v>0.93746554120689263</v>
      </c>
      <c r="K19" s="120"/>
      <c r="L19" s="118">
        <v>0.95346585775138759</v>
      </c>
      <c r="M19" s="116"/>
      <c r="N19" s="170">
        <v>0.97623035028216787</v>
      </c>
      <c r="O19" s="170"/>
      <c r="P19" s="170">
        <v>0.98571513335508942</v>
      </c>
      <c r="Q19" s="170"/>
      <c r="R19" s="170">
        <v>0.9787276914219919</v>
      </c>
      <c r="S19" s="116"/>
      <c r="T19" s="170">
        <v>0.96274715827681712</v>
      </c>
      <c r="U19" s="116"/>
      <c r="V19" s="170">
        <v>0.96100278551532037</v>
      </c>
      <c r="W19" s="116"/>
      <c r="X19" s="170">
        <v>0.95874005413829877</v>
      </c>
      <c r="Y19" s="116"/>
      <c r="Z19" s="116"/>
      <c r="AA19" s="116"/>
      <c r="AB19" s="116"/>
      <c r="AD19" s="116"/>
    </row>
    <row r="20" spans="2:30" x14ac:dyDescent="0.2">
      <c r="F20" s="116"/>
      <c r="G20" s="116"/>
      <c r="H20" s="116"/>
      <c r="I20" s="116"/>
      <c r="J20" s="116"/>
      <c r="K20" s="116"/>
      <c r="L20" s="61"/>
      <c r="M20" s="116"/>
      <c r="S20" s="116"/>
      <c r="T20" s="116"/>
      <c r="U20" s="116"/>
      <c r="V20" s="116"/>
      <c r="W20" s="116"/>
      <c r="X20" s="61">
        <f>X25/(X11+X16)</f>
        <v>0.93320856058536428</v>
      </c>
      <c r="Y20" s="116"/>
      <c r="Z20" s="116"/>
      <c r="AA20" s="116"/>
      <c r="AB20" s="116"/>
      <c r="AD20" s="116"/>
    </row>
    <row r="21" spans="2:30" x14ac:dyDescent="0.2">
      <c r="C21" s="121" t="s">
        <v>1</v>
      </c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D21" s="116"/>
    </row>
    <row r="22" spans="2:30" x14ac:dyDescent="0.2">
      <c r="C22" s="19">
        <v>2020</v>
      </c>
      <c r="F22" s="116"/>
      <c r="G22" s="116"/>
      <c r="H22" s="116"/>
      <c r="I22" s="116"/>
      <c r="J22" s="116"/>
      <c r="K22" s="116"/>
      <c r="L22" s="116"/>
      <c r="M22" s="116"/>
      <c r="N22" s="116">
        <f>(N14+N9)*N18</f>
        <v>6947.7670614227463</v>
      </c>
      <c r="O22" s="116"/>
      <c r="P22" s="116">
        <f>(P14+P9)*P18</f>
        <v>6495.5468379303229</v>
      </c>
      <c r="Q22" s="116"/>
      <c r="R22" s="116">
        <f>(R14+R9)*R18</f>
        <v>6133.5838950628522</v>
      </c>
      <c r="S22" s="116"/>
      <c r="T22" s="116">
        <f>(T14+T9)*T18</f>
        <v>5880.843452244836</v>
      </c>
      <c r="U22" s="116"/>
      <c r="V22" s="116">
        <f>(V14+V9)*V18</f>
        <v>6614.7268989211207</v>
      </c>
      <c r="W22" s="116"/>
      <c r="X22" s="116">
        <f>(X14+X9)*X18</f>
        <v>8669.6803183425982</v>
      </c>
      <c r="Y22" s="116"/>
      <c r="Z22" s="116">
        <f>(Z14+Z9)*Z18</f>
        <v>10750.46264453161</v>
      </c>
      <c r="AA22" s="116"/>
      <c r="AB22" s="116">
        <f>(AB14+AB5)*AB18</f>
        <v>15707.587474283408</v>
      </c>
      <c r="AD22" s="116"/>
    </row>
    <row r="23" spans="2:30" x14ac:dyDescent="0.2">
      <c r="C23" s="19">
        <v>2021</v>
      </c>
      <c r="F23" s="116">
        <f>(F15+F10)*F19</f>
        <v>9354.4827772839162</v>
      </c>
      <c r="G23" s="116"/>
      <c r="H23" s="116">
        <f>(H15+H10)*H19</f>
        <v>9565.5821678076936</v>
      </c>
      <c r="I23" s="116"/>
      <c r="J23" s="116">
        <f>(J15+J10)*J19</f>
        <v>11093.654726128632</v>
      </c>
      <c r="K23" s="116"/>
      <c r="L23" s="116">
        <f>(L15+L10)*L19</f>
        <v>9308.528258250506</v>
      </c>
      <c r="M23" s="116"/>
      <c r="N23" s="116">
        <f>(N15+N10)*N19</f>
        <v>8123.5381548146797</v>
      </c>
      <c r="O23" s="116"/>
      <c r="P23" s="116">
        <f>(P15+P10)*P19</f>
        <v>6675.9200265029021</v>
      </c>
      <c r="Q23" s="116"/>
      <c r="R23" s="116">
        <f>(R15+R10)*R19</f>
        <v>3390.4758443676837</v>
      </c>
      <c r="S23" s="116"/>
      <c r="T23" s="116">
        <f>(T15+T10)*T19</f>
        <v>2023.6945266978696</v>
      </c>
      <c r="U23" s="116"/>
      <c r="V23" s="116">
        <f>(V15+V10)*V19</f>
        <v>1890.4526462395545</v>
      </c>
      <c r="W23" s="116"/>
      <c r="X23" s="116">
        <f>(X15+X10)*X19</f>
        <v>2846.9785907636783</v>
      </c>
      <c r="Y23" s="116"/>
      <c r="Z23" s="116"/>
      <c r="AA23" s="116"/>
      <c r="AB23" s="116"/>
      <c r="AD23" s="116"/>
    </row>
    <row r="24" spans="2:30" x14ac:dyDescent="0.2"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D24" s="116"/>
    </row>
    <row r="25" spans="2:30" x14ac:dyDescent="0.2">
      <c r="C25" s="121" t="s">
        <v>3</v>
      </c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>
        <f>SUM($F23:X23)+SUM(Z22:$AB22)</f>
        <v>90731.357837672127</v>
      </c>
      <c r="Y25" s="116"/>
      <c r="Z25" s="116"/>
      <c r="AA25" s="116"/>
      <c r="AB25" s="116"/>
      <c r="AD25" s="116"/>
    </row>
    <row r="26" spans="2:30" x14ac:dyDescent="0.2"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D26" s="116"/>
    </row>
    <row r="27" spans="2:30" x14ac:dyDescent="0.2"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D27" s="116"/>
    </row>
    <row r="28" spans="2:30" x14ac:dyDescent="0.2">
      <c r="B28" s="124" t="s">
        <v>5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</row>
    <row r="29" spans="2:30" x14ac:dyDescent="0.2">
      <c r="C29" s="19" t="s">
        <v>30</v>
      </c>
      <c r="F29" s="116" t="s">
        <v>61</v>
      </c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D29" s="116"/>
    </row>
    <row r="30" spans="2:30" x14ac:dyDescent="0.2">
      <c r="C30" s="19">
        <v>2020</v>
      </c>
      <c r="F30" s="116"/>
      <c r="G30" s="116"/>
      <c r="H30" s="116"/>
      <c r="I30" s="116"/>
      <c r="J30" s="116"/>
      <c r="K30" s="116"/>
      <c r="L30" s="116"/>
      <c r="M30" s="116"/>
      <c r="N30" s="116">
        <v>806</v>
      </c>
      <c r="O30" s="116"/>
      <c r="P30" s="116">
        <v>448</v>
      </c>
      <c r="Q30" s="116"/>
      <c r="R30" s="116">
        <v>413</v>
      </c>
      <c r="S30" s="116"/>
      <c r="T30" s="116">
        <v>329</v>
      </c>
      <c r="U30" s="116"/>
      <c r="V30" s="116">
        <v>450</v>
      </c>
      <c r="W30" s="116"/>
      <c r="X30" s="116">
        <v>639</v>
      </c>
      <c r="Y30" s="116"/>
      <c r="Z30" s="116">
        <v>1194</v>
      </c>
      <c r="AA30" s="116"/>
      <c r="AB30" s="116">
        <v>1521</v>
      </c>
      <c r="AD30" s="116"/>
    </row>
    <row r="31" spans="2:30" x14ac:dyDescent="0.2">
      <c r="C31" s="19">
        <v>2021</v>
      </c>
      <c r="F31" s="116">
        <v>747</v>
      </c>
      <c r="G31" s="116"/>
      <c r="H31" s="116">
        <v>1261</v>
      </c>
      <c r="I31" s="116"/>
      <c r="J31" s="116">
        <v>1048</v>
      </c>
      <c r="K31" s="116"/>
      <c r="L31" s="116">
        <v>1025</v>
      </c>
      <c r="M31" s="116"/>
      <c r="N31" s="116">
        <v>1349.4</v>
      </c>
      <c r="O31" s="116"/>
      <c r="P31" s="116">
        <v>413.7</v>
      </c>
      <c r="Q31" s="116"/>
      <c r="R31" s="116">
        <v>169.7</v>
      </c>
      <c r="S31" s="116"/>
      <c r="T31" s="116">
        <v>470</v>
      </c>
      <c r="U31" s="116"/>
      <c r="V31" s="116">
        <v>388.2</v>
      </c>
      <c r="W31" s="116"/>
      <c r="X31" s="116">
        <v>701</v>
      </c>
      <c r="Y31" s="116"/>
      <c r="Z31" s="116">
        <v>663.9</v>
      </c>
      <c r="AA31" s="116"/>
      <c r="AB31" s="116"/>
      <c r="AD31" s="116"/>
    </row>
    <row r="32" spans="2:30" x14ac:dyDescent="0.2">
      <c r="L32" s="116"/>
      <c r="X32" s="116">
        <f>SUM($F31:X31)+SUM(Z30:$AB30)</f>
        <v>10288</v>
      </c>
    </row>
    <row r="33" spans="2:30" x14ac:dyDescent="0.2">
      <c r="L33" s="116"/>
    </row>
    <row r="34" spans="2:30" x14ac:dyDescent="0.2">
      <c r="C34" s="19" t="s">
        <v>127</v>
      </c>
      <c r="F34" s="116" t="s">
        <v>61</v>
      </c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D34" s="116"/>
    </row>
    <row r="35" spans="2:30" x14ac:dyDescent="0.2">
      <c r="C35" s="19">
        <v>2020</v>
      </c>
      <c r="F35" s="116"/>
      <c r="G35" s="116"/>
      <c r="H35" s="116"/>
      <c r="I35" s="116"/>
      <c r="J35" s="116"/>
      <c r="K35" s="116"/>
      <c r="L35" s="116"/>
      <c r="M35" s="116"/>
      <c r="N35" s="116">
        <v>0</v>
      </c>
      <c r="O35" s="116"/>
      <c r="P35" s="116">
        <v>101</v>
      </c>
      <c r="Q35" s="116"/>
      <c r="R35" s="116">
        <v>1</v>
      </c>
      <c r="S35" s="116"/>
      <c r="T35" s="116">
        <v>0</v>
      </c>
      <c r="U35" s="116"/>
      <c r="V35" s="116">
        <v>0</v>
      </c>
      <c r="W35" s="116"/>
      <c r="X35" s="116">
        <v>11</v>
      </c>
      <c r="Y35" s="116"/>
      <c r="Z35" s="116">
        <v>715</v>
      </c>
      <c r="AA35" s="116"/>
      <c r="AB35" s="116">
        <f>95+1616</f>
        <v>1711</v>
      </c>
      <c r="AD35" s="116"/>
    </row>
    <row r="36" spans="2:30" x14ac:dyDescent="0.2">
      <c r="C36" s="19">
        <v>2021</v>
      </c>
      <c r="F36" s="116">
        <f>1022+1424</f>
        <v>2446</v>
      </c>
      <c r="G36" s="116"/>
      <c r="H36" s="116">
        <f>1020+1181</f>
        <v>2201</v>
      </c>
      <c r="I36" s="116"/>
      <c r="J36" s="116">
        <f>576+445</f>
        <v>1021</v>
      </c>
      <c r="K36" s="116"/>
      <c r="L36" s="116">
        <f>127+145</f>
        <v>272</v>
      </c>
      <c r="M36" s="116"/>
      <c r="N36" s="116">
        <v>35</v>
      </c>
      <c r="O36" s="116"/>
      <c r="P36" s="116">
        <v>0</v>
      </c>
      <c r="Q36" s="116"/>
      <c r="R36" s="116">
        <v>210</v>
      </c>
      <c r="S36" s="116"/>
      <c r="T36" s="116">
        <v>6</v>
      </c>
      <c r="U36" s="116"/>
      <c r="V36" s="116">
        <v>0</v>
      </c>
      <c r="W36" s="116"/>
      <c r="X36" s="116">
        <v>0</v>
      </c>
      <c r="Y36" s="116"/>
      <c r="Z36" s="116"/>
      <c r="AA36" s="116"/>
      <c r="AB36" s="116"/>
      <c r="AD36" s="116"/>
    </row>
    <row r="37" spans="2:30" x14ac:dyDescent="0.2"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>
        <f>SUM($F36:X36)+SUM(Z35:$AB35)</f>
        <v>8617</v>
      </c>
      <c r="Y37" s="116"/>
      <c r="Z37" s="116"/>
      <c r="AA37" s="116"/>
      <c r="AB37" s="116"/>
      <c r="AD37" s="116"/>
    </row>
    <row r="38" spans="2:30" x14ac:dyDescent="0.2"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D38" s="116"/>
    </row>
    <row r="39" spans="2:30" x14ac:dyDescent="0.2">
      <c r="C39" s="121" t="s">
        <v>128</v>
      </c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>
        <f>X32+X37</f>
        <v>18905</v>
      </c>
      <c r="Y39" s="116"/>
      <c r="Z39" s="116" t="s">
        <v>61</v>
      </c>
      <c r="AA39" s="116"/>
      <c r="AB39" s="116"/>
      <c r="AD39" s="116"/>
    </row>
    <row r="40" spans="2:30" x14ac:dyDescent="0.2"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D40" s="116"/>
    </row>
    <row r="41" spans="2:30" x14ac:dyDescent="0.2">
      <c r="B41" s="124" t="s">
        <v>6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</row>
    <row r="42" spans="2:30" x14ac:dyDescent="0.2">
      <c r="C42" s="19" t="s">
        <v>129</v>
      </c>
      <c r="F42" s="116" t="s">
        <v>61</v>
      </c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D42" s="116"/>
    </row>
    <row r="43" spans="2:30" x14ac:dyDescent="0.2">
      <c r="C43" s="19">
        <v>2020</v>
      </c>
      <c r="F43" s="116"/>
      <c r="G43" s="116"/>
      <c r="H43" s="116"/>
      <c r="I43" s="116"/>
      <c r="J43" s="116"/>
      <c r="K43" s="116"/>
      <c r="L43" s="116"/>
      <c r="M43" s="116"/>
      <c r="N43" s="116">
        <v>341</v>
      </c>
      <c r="O43" s="116"/>
      <c r="P43" s="116">
        <v>43</v>
      </c>
      <c r="Q43" s="116"/>
      <c r="R43" s="116">
        <v>9</v>
      </c>
      <c r="S43" s="116"/>
      <c r="T43" s="116">
        <v>17</v>
      </c>
      <c r="U43" s="116"/>
      <c r="V43" s="116">
        <v>151</v>
      </c>
      <c r="W43" s="116"/>
      <c r="X43" s="116">
        <v>271</v>
      </c>
      <c r="Y43" s="116"/>
      <c r="Z43" s="116">
        <v>922</v>
      </c>
      <c r="AA43" s="116"/>
      <c r="AB43" s="116">
        <v>1631</v>
      </c>
      <c r="AD43" s="116"/>
    </row>
    <row r="44" spans="2:30" x14ac:dyDescent="0.2">
      <c r="C44" s="19">
        <v>2021</v>
      </c>
      <c r="F44" s="116">
        <v>1771</v>
      </c>
      <c r="G44" s="116"/>
      <c r="H44" s="116">
        <v>2445</v>
      </c>
      <c r="I44" s="116"/>
      <c r="J44" s="116">
        <v>1533</v>
      </c>
      <c r="K44" s="116"/>
      <c r="L44" s="116">
        <v>497</v>
      </c>
      <c r="M44" s="116"/>
      <c r="N44" s="116">
        <v>500.9</v>
      </c>
      <c r="O44" s="116"/>
      <c r="P44" s="116">
        <v>120.2</v>
      </c>
      <c r="Q44" s="116"/>
      <c r="R44" s="116">
        <v>102.4</v>
      </c>
      <c r="S44" s="116"/>
      <c r="T44" s="116">
        <v>139.19999999999999</v>
      </c>
      <c r="U44" s="116"/>
      <c r="V44" s="116">
        <v>108.3</v>
      </c>
      <c r="W44" s="116"/>
      <c r="X44" s="116">
        <v>408.3</v>
      </c>
      <c r="Y44" s="116"/>
      <c r="Z44" s="116"/>
      <c r="AA44" s="116"/>
      <c r="AB44" s="116"/>
      <c r="AD44" s="116"/>
    </row>
    <row r="45" spans="2:30" x14ac:dyDescent="0.2">
      <c r="L45" s="116"/>
      <c r="X45" s="116">
        <f>SUM($F44:X44)+SUM(Z43:$AB43)</f>
        <v>10178.299999999999</v>
      </c>
    </row>
    <row r="46" spans="2:30" x14ac:dyDescent="0.2">
      <c r="L46" s="116"/>
    </row>
    <row r="47" spans="2:30" x14ac:dyDescent="0.2">
      <c r="C47" s="19" t="s">
        <v>127</v>
      </c>
      <c r="F47" s="116" t="s">
        <v>61</v>
      </c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D47" s="116"/>
    </row>
    <row r="48" spans="2:30" x14ac:dyDescent="0.2">
      <c r="C48" s="19">
        <v>2020</v>
      </c>
      <c r="F48" s="116"/>
      <c r="G48" s="116"/>
      <c r="H48" s="116"/>
      <c r="I48" s="116"/>
      <c r="J48" s="116"/>
      <c r="K48" s="116"/>
      <c r="L48" s="116"/>
      <c r="M48" s="116"/>
      <c r="N48" s="116">
        <v>234</v>
      </c>
      <c r="O48" s="116"/>
      <c r="P48" s="116">
        <v>133</v>
      </c>
      <c r="Q48" s="116"/>
      <c r="R48" s="116">
        <v>111</v>
      </c>
      <c r="S48" s="116"/>
      <c r="T48" s="116">
        <v>120</v>
      </c>
      <c r="U48" s="116"/>
      <c r="V48" s="116">
        <v>135</v>
      </c>
      <c r="W48" s="116"/>
      <c r="X48" s="116">
        <v>187</v>
      </c>
      <c r="Y48" s="116"/>
      <c r="Z48" s="116">
        <v>387</v>
      </c>
      <c r="AA48" s="116"/>
      <c r="AB48" s="116">
        <v>745</v>
      </c>
      <c r="AD48" s="116"/>
    </row>
    <row r="49" spans="3:30" x14ac:dyDescent="0.2">
      <c r="C49" s="19">
        <v>2021</v>
      </c>
      <c r="F49" s="116">
        <v>789</v>
      </c>
      <c r="G49" s="116"/>
      <c r="H49" s="116">
        <v>461</v>
      </c>
      <c r="I49" s="116"/>
      <c r="J49" s="116">
        <v>164</v>
      </c>
      <c r="K49" s="116"/>
      <c r="L49" s="116">
        <v>353</v>
      </c>
      <c r="M49" s="116"/>
      <c r="N49" s="116">
        <v>225</v>
      </c>
      <c r="O49" s="116"/>
      <c r="P49" s="116">
        <v>150</v>
      </c>
      <c r="Q49" s="116"/>
      <c r="R49" s="116">
        <v>117</v>
      </c>
      <c r="S49" s="116"/>
      <c r="T49" s="116">
        <v>115</v>
      </c>
      <c r="U49" s="116"/>
      <c r="V49" s="116">
        <v>116</v>
      </c>
      <c r="W49" s="116"/>
      <c r="X49" s="116">
        <v>183</v>
      </c>
      <c r="Y49" s="116"/>
      <c r="Z49" s="116"/>
      <c r="AA49" s="116"/>
      <c r="AB49" s="116"/>
      <c r="AD49" s="116"/>
    </row>
    <row r="50" spans="3:30" x14ac:dyDescent="0.2"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>
        <f>SUM($F49:X49)+SUM(Z48:$AB48)</f>
        <v>3805</v>
      </c>
      <c r="Y50" s="116"/>
      <c r="Z50" s="116"/>
      <c r="AA50" s="116"/>
      <c r="AB50" s="116"/>
      <c r="AD50" s="116"/>
    </row>
    <row r="51" spans="3:30" x14ac:dyDescent="0.2"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D51" s="116"/>
    </row>
    <row r="52" spans="3:30" x14ac:dyDescent="0.2">
      <c r="C52" s="121" t="s">
        <v>130</v>
      </c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>
        <f>X45+X50</f>
        <v>13983.3</v>
      </c>
      <c r="Y52" s="116"/>
      <c r="Z52" s="116" t="s">
        <v>61</v>
      </c>
      <c r="AA52" s="116"/>
      <c r="AB52" s="116"/>
      <c r="AD52" s="116"/>
    </row>
    <row r="53" spans="3:30" x14ac:dyDescent="0.2"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D53" s="116"/>
    </row>
    <row r="54" spans="3:30" x14ac:dyDescent="0.2"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D54" s="116"/>
    </row>
    <row r="55" spans="3:30" x14ac:dyDescent="0.2"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D55" s="116"/>
    </row>
    <row r="56" spans="3:30" x14ac:dyDescent="0.2">
      <c r="L56" s="116"/>
      <c r="T56" s="116"/>
      <c r="V56" s="116"/>
      <c r="X56" s="116"/>
    </row>
    <row r="57" spans="3:30" x14ac:dyDescent="0.2">
      <c r="L57" s="116"/>
      <c r="N57" s="116"/>
      <c r="T57" s="178"/>
      <c r="V57" s="178"/>
      <c r="X57" s="178"/>
    </row>
    <row r="58" spans="3:30" x14ac:dyDescent="0.2"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D58" s="116"/>
    </row>
    <row r="60" spans="3:30" x14ac:dyDescent="0.2">
      <c r="F60" s="116"/>
      <c r="H60" s="116"/>
      <c r="J60" s="116"/>
      <c r="L60" s="116"/>
      <c r="N60" s="116"/>
      <c r="P60" s="116"/>
      <c r="R60" s="116"/>
      <c r="T60" s="116"/>
      <c r="V60" s="116"/>
      <c r="X60" s="116"/>
      <c r="Z60" s="116"/>
      <c r="AB60" s="116"/>
      <c r="AD60" s="116"/>
    </row>
    <row r="61" spans="3:30" x14ac:dyDescent="0.2">
      <c r="F61" s="8"/>
      <c r="H61" s="8"/>
      <c r="J61" s="8"/>
      <c r="L61" s="8"/>
      <c r="N61" s="8"/>
      <c r="P61" s="8"/>
      <c r="R61" s="8"/>
      <c r="T61" s="8"/>
      <c r="V61" s="8"/>
      <c r="X61" s="8"/>
      <c r="Z61" s="8"/>
      <c r="AB61" s="8"/>
      <c r="AD61" s="9"/>
    </row>
    <row r="62" spans="3:30" x14ac:dyDescent="0.2">
      <c r="F62" s="8"/>
      <c r="H62" s="8"/>
      <c r="J62" s="8"/>
      <c r="L62" s="8"/>
      <c r="N62" s="8"/>
      <c r="P62" s="8"/>
      <c r="R62" s="8"/>
      <c r="T62" s="8"/>
      <c r="V62" s="8"/>
      <c r="X62" s="8"/>
      <c r="Z62" s="8"/>
      <c r="AB62" s="8"/>
      <c r="AD62" s="9"/>
    </row>
    <row r="63" spans="3:30" x14ac:dyDescent="0.2">
      <c r="F63" s="8"/>
      <c r="H63" s="8"/>
      <c r="J63" s="8"/>
      <c r="L63" s="8"/>
      <c r="N63" s="8"/>
      <c r="P63" s="8"/>
      <c r="R63" s="8"/>
      <c r="T63" s="8"/>
      <c r="V63" s="8"/>
      <c r="X63" s="8"/>
      <c r="Z63" s="8"/>
      <c r="AB63" s="8"/>
      <c r="AD63" s="9"/>
    </row>
    <row r="66" spans="6:30" x14ac:dyDescent="0.2">
      <c r="P66" s="116"/>
      <c r="R66" s="116"/>
      <c r="T66" s="116"/>
      <c r="V66" s="116"/>
      <c r="X66" s="116"/>
      <c r="Z66" s="116"/>
      <c r="AB66" s="116"/>
    </row>
    <row r="67" spans="6:30" x14ac:dyDescent="0.2">
      <c r="F67" s="116"/>
      <c r="H67" s="116"/>
      <c r="J67" s="116"/>
      <c r="L67" s="116"/>
      <c r="N67" s="116"/>
      <c r="AD67" s="10"/>
    </row>
  </sheetData>
  <pageMargins left="0.5" right="0.5" top="1" bottom="1" header="0.5" footer="0.5"/>
  <pageSetup scale="82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Cover page</vt:lpstr>
      <vt:lpstr>Summary (SI)</vt:lpstr>
      <vt:lpstr>EGC (SII)</vt:lpstr>
      <vt:lpstr>Actual Adjustment (IV)</vt:lpstr>
      <vt:lpstr>EXAMPLE Actual Adjustment (SIV)</vt:lpstr>
      <vt:lpstr>SCH III B&amp;S Oil FloydCo A-S-O</vt:lpstr>
      <vt:lpstr>FUTURE BA (SV)</vt:lpstr>
      <vt:lpstr>SCH III B&amp;S Oil FloydCo N-D-J</vt:lpstr>
      <vt:lpstr>Purchases</vt:lpstr>
      <vt:lpstr>Sales</vt:lpstr>
      <vt:lpstr>'Actual Adjustment (IV)'!Print_Area</vt:lpstr>
      <vt:lpstr>'EXAMPLE Actual Adjustment (SIV)'!Print_Area</vt:lpstr>
      <vt:lpstr>'FUTURE BA (SV)'!Print_Area</vt:lpstr>
      <vt:lpstr>Purchases!Print_Area</vt:lpstr>
      <vt:lpstr>Sales!Print_Area</vt:lpstr>
      <vt:lpstr>'Actual Adjustment (IV)'!Print_Titles</vt:lpstr>
      <vt:lpstr>'EXAMPLE Actual Adjustment (SIV)'!Print_Titles</vt:lpstr>
      <vt:lpstr>'FUTURE BA (SV)'!Print_Titles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Hartline</dc:creator>
  <cp:lastModifiedBy>INGLE, KERRY</cp:lastModifiedBy>
  <cp:lastPrinted>2021-10-01T03:16:03Z</cp:lastPrinted>
  <dcterms:created xsi:type="dcterms:W3CDTF">2021-09-30T01:07:57Z</dcterms:created>
  <dcterms:modified xsi:type="dcterms:W3CDTF">2022-01-07T17:46:41Z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-1182653207</vt:i4>
  </property>
  <property fmtid="{D5CDD505-2E9C-101B-9397-08002B2CF9AE}" pid="3" name="_NewReviewCycle">
    <vt:lpwstr/>
  </property>
  <property fmtid="{D5CDD505-2E9C-101B-9397-08002B2CF9AE}" pid="4" name="_EmailSubject">
    <vt:lpwstr>20220107_Navitas KY NG LLC - Read First Cover Letter - Quarterly Gas Cost Recovery Rate Filing.DOCX</vt:lpwstr>
  </property>
  <property fmtid="{D5CDD505-2E9C-101B-9397-08002B2CF9AE}" pid="5" name="_AuthorEmail">
    <vt:lpwstr>Evan.Buckley@DINSMORE.COM</vt:lpwstr>
  </property>
  <property fmtid="{D5CDD505-2E9C-101B-9397-08002B2CF9AE}" pid="6" name="_AuthorEmailDisplayName">
    <vt:lpwstr>Buckley, Evan</vt:lpwstr>
  </property>
  <property fmtid="{D5CDD505-2E9C-101B-9397-08002B2CF9AE}" pid="7" name="_ReviewingToolsShownOnce">
    <vt:lpwstr/>
  </property>
</Properties>
</file>