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Carroll Co\"/>
    </mc:Choice>
  </mc:AlternateContent>
  <xr:revisionPtr revIDLastSave="0" documentId="13_ncr:1_{4D656443-0A4A-46B1-92EE-3A4454B518FA}" xr6:coauthVersionLast="47" xr6:coauthVersionMax="47" xr10:uidLastSave="{00000000-0000-0000-0000-000000000000}"/>
  <bookViews>
    <workbookView xWindow="-120" yWindow="-120" windowWidth="29040" windowHeight="15840" xr2:uid="{8430FB2E-F604-4C2F-8F58-F612FDC28941}"/>
  </bookViews>
  <sheets>
    <sheet name="Al_Plt" sheetId="23" r:id="rId1"/>
    <sheet name="Al_Dep" sheetId="20" r:id="rId2"/>
    <sheet name="Mtrx" sheetId="22" r:id="rId3"/>
    <sheet name="AlocOM" sheetId="17" r:id="rId4"/>
    <sheet name="AlocSum" sheetId="18" r:id="rId5"/>
    <sheet name="Units" sheetId="26" r:id="rId6"/>
    <sheet name="CalcRates" sheetId="19" r:id="rId7"/>
    <sheet name="Rates" sheetId="2" r:id="rId8"/>
    <sheet name="Usage" sheetId="24" r:id="rId9"/>
  </sheets>
  <definedNames>
    <definedName name="_xlnm.Print_Area" localSheetId="1">Al_Dep!$B$2:$H$29</definedName>
    <definedName name="_xlnm.Print_Area" localSheetId="0">Al_Plt!$B$2:$H$28</definedName>
    <definedName name="_xlnm.Print_Area" localSheetId="3">AlocOM!$B$2:$I$36</definedName>
    <definedName name="_xlnm.Print_Area" localSheetId="4">AlocSum!$B$2:$I$23</definedName>
    <definedName name="_xlnm.Print_Area" localSheetId="6">CalcRates!$B$2:$H$43</definedName>
    <definedName name="_xlnm.Print_Area" localSheetId="7">Rates!$B$2:$M$38</definedName>
    <definedName name="_xlnm.Print_Area" localSheetId="5">Units!$B$2:$K$36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2" l="1"/>
  <c r="D25" i="26"/>
  <c r="M32" i="26" l="1"/>
  <c r="M34" i="26" s="1"/>
  <c r="M38" i="26"/>
  <c r="M39" i="26" s="1"/>
  <c r="M41" i="26" s="1"/>
  <c r="N38" i="26"/>
  <c r="N39" i="26" s="1"/>
  <c r="N41" i="26" s="1"/>
  <c r="N32" i="26"/>
  <c r="N34" i="26" s="1"/>
  <c r="M43" i="26" l="1"/>
  <c r="N43" i="26"/>
  <c r="T10" i="24" l="1"/>
  <c r="T12" i="24"/>
  <c r="S12" i="24"/>
  <c r="S10" i="24"/>
  <c r="H47" i="22" l="1"/>
  <c r="G47" i="22"/>
  <c r="F47" i="22"/>
  <c r="E47" i="22"/>
  <c r="H42" i="22"/>
  <c r="G42" i="22"/>
  <c r="F42" i="22"/>
  <c r="F38" i="22"/>
  <c r="E38" i="22"/>
  <c r="G35" i="22"/>
  <c r="F35" i="22"/>
  <c r="E35" i="22"/>
  <c r="J4" i="22"/>
  <c r="E34" i="26" l="1"/>
  <c r="E40" i="19" s="1"/>
  <c r="E33" i="26"/>
  <c r="E39" i="19" s="1"/>
  <c r="E32" i="26"/>
  <c r="E38" i="19" s="1"/>
  <c r="E31" i="26"/>
  <c r="E37" i="19" s="1"/>
  <c r="E30" i="26"/>
  <c r="F24" i="26"/>
  <c r="G10" i="19" s="1"/>
  <c r="G21" i="19" s="1"/>
  <c r="J17" i="26"/>
  <c r="D17" i="26"/>
  <c r="F17" i="26"/>
  <c r="E15" i="26"/>
  <c r="F13" i="26"/>
  <c r="E13" i="26"/>
  <c r="E12" i="26"/>
  <c r="G12" i="26" s="1"/>
  <c r="H12" i="26" s="1"/>
  <c r="N12" i="26" s="1"/>
  <c r="G16" i="26"/>
  <c r="E14" i="26"/>
  <c r="G14" i="26" s="1"/>
  <c r="H14" i="26" s="1"/>
  <c r="E11" i="26"/>
  <c r="G11" i="26" s="1"/>
  <c r="H11" i="26" s="1"/>
  <c r="E10" i="26"/>
  <c r="Q19" i="24"/>
  <c r="Q12" i="24"/>
  <c r="C29" i="24"/>
  <c r="C28" i="24"/>
  <c r="P19" i="24"/>
  <c r="P12" i="24"/>
  <c r="O19" i="24"/>
  <c r="O12" i="24"/>
  <c r="Q6" i="24"/>
  <c r="K27" i="24"/>
  <c r="E27" i="24"/>
  <c r="C27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J25" i="24"/>
  <c r="K25" i="24"/>
  <c r="M23" i="24"/>
  <c r="P23" i="24" s="1"/>
  <c r="L23" i="24"/>
  <c r="M22" i="24"/>
  <c r="L22" i="24"/>
  <c r="N22" i="24" s="1"/>
  <c r="M21" i="24"/>
  <c r="L21" i="24"/>
  <c r="N21" i="24" s="1"/>
  <c r="M20" i="24"/>
  <c r="L20" i="24"/>
  <c r="N20" i="24" s="1"/>
  <c r="M19" i="24"/>
  <c r="L19" i="24"/>
  <c r="M18" i="24"/>
  <c r="L18" i="24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M9" i="24"/>
  <c r="L9" i="24"/>
  <c r="M8" i="24"/>
  <c r="L8" i="24"/>
  <c r="M7" i="24"/>
  <c r="L7" i="24"/>
  <c r="M6" i="24"/>
  <c r="L6" i="24"/>
  <c r="I25" i="24"/>
  <c r="H25" i="24"/>
  <c r="G25" i="24"/>
  <c r="F25" i="24"/>
  <c r="G27" i="24" s="1"/>
  <c r="E25" i="24"/>
  <c r="D25" i="24"/>
  <c r="C5" i="24"/>
  <c r="M5" i="24" s="1"/>
  <c r="B5" i="24"/>
  <c r="L5" i="24" s="1"/>
  <c r="E36" i="19" l="1"/>
  <c r="N23" i="24"/>
  <c r="I27" i="24"/>
  <c r="O23" i="24"/>
  <c r="Q23" i="24" s="1"/>
  <c r="E17" i="26"/>
  <c r="G13" i="26"/>
  <c r="I13" i="26" s="1"/>
  <c r="G10" i="26"/>
  <c r="G15" i="26"/>
  <c r="I15" i="26" s="1"/>
  <c r="I17" i="26" s="1"/>
  <c r="E23" i="26" s="1"/>
  <c r="F23" i="26" s="1"/>
  <c r="F10" i="19" s="1"/>
  <c r="F21" i="19" s="1"/>
  <c r="M25" i="24"/>
  <c r="O6" i="24"/>
  <c r="L25" i="24"/>
  <c r="P6" i="24"/>
  <c r="P25" i="24" s="1"/>
  <c r="C25" i="24"/>
  <c r="B25" i="24"/>
  <c r="G16" i="18"/>
  <c r="K16" i="18" s="1"/>
  <c r="H24" i="17"/>
  <c r="G24" i="17"/>
  <c r="F24" i="17"/>
  <c r="E24" i="17"/>
  <c r="H23" i="17"/>
  <c r="F23" i="17"/>
  <c r="E23" i="17"/>
  <c r="H22" i="17"/>
  <c r="E22" i="17"/>
  <c r="H21" i="17"/>
  <c r="G21" i="17"/>
  <c r="F21" i="17"/>
  <c r="E21" i="17"/>
  <c r="H20" i="17"/>
  <c r="G20" i="17"/>
  <c r="J20" i="17" s="1"/>
  <c r="F20" i="17"/>
  <c r="E20" i="17"/>
  <c r="H19" i="17"/>
  <c r="G19" i="17"/>
  <c r="F19" i="17"/>
  <c r="E19" i="17"/>
  <c r="J19" i="17" s="1"/>
  <c r="H15" i="17"/>
  <c r="G15" i="17"/>
  <c r="F15" i="17"/>
  <c r="E15" i="17"/>
  <c r="H14" i="17"/>
  <c r="G14" i="17"/>
  <c r="F14" i="17"/>
  <c r="E14" i="17"/>
  <c r="H13" i="17"/>
  <c r="G13" i="17"/>
  <c r="F13" i="17"/>
  <c r="E13" i="17"/>
  <c r="H12" i="17"/>
  <c r="G12" i="17"/>
  <c r="F12" i="17"/>
  <c r="E12" i="17"/>
  <c r="J12" i="17" s="1"/>
  <c r="H10" i="17"/>
  <c r="G10" i="17"/>
  <c r="F10" i="17"/>
  <c r="E10" i="17"/>
  <c r="I47" i="22"/>
  <c r="I46" i="22"/>
  <c r="I45" i="22"/>
  <c r="I43" i="22"/>
  <c r="I42" i="22"/>
  <c r="I41" i="22"/>
  <c r="I40" i="22"/>
  <c r="I39" i="22"/>
  <c r="I38" i="22"/>
  <c r="I37" i="22"/>
  <c r="I35" i="22"/>
  <c r="I34" i="22"/>
  <c r="I33" i="22"/>
  <c r="I32" i="22"/>
  <c r="I30" i="22"/>
  <c r="D44" i="22"/>
  <c r="D20" i="22"/>
  <c r="D7" i="22"/>
  <c r="H5" i="22"/>
  <c r="H44" i="22" s="1"/>
  <c r="G5" i="22"/>
  <c r="G7" i="22" s="1"/>
  <c r="F5" i="22"/>
  <c r="E5" i="22"/>
  <c r="D5" i="22"/>
  <c r="D26" i="20"/>
  <c r="D25" i="23"/>
  <c r="F8" i="23"/>
  <c r="E17" i="23"/>
  <c r="D17" i="23"/>
  <c r="D27" i="23" s="1"/>
  <c r="G16" i="23"/>
  <c r="G15" i="23"/>
  <c r="G17" i="23" s="1"/>
  <c r="F14" i="23"/>
  <c r="F13" i="23"/>
  <c r="F12" i="23"/>
  <c r="F11" i="23"/>
  <c r="F10" i="23"/>
  <c r="F9" i="23"/>
  <c r="J24" i="17" l="1"/>
  <c r="J13" i="17"/>
  <c r="J14" i="17"/>
  <c r="O25" i="24"/>
  <c r="J10" i="17"/>
  <c r="J21" i="17"/>
  <c r="J15" i="17"/>
  <c r="G17" i="26"/>
  <c r="H10" i="26"/>
  <c r="H17" i="26" s="1"/>
  <c r="E22" i="26" s="1"/>
  <c r="E20" i="22"/>
  <c r="E7" i="22"/>
  <c r="F20" i="22"/>
  <c r="E44" i="22"/>
  <c r="G20" i="22"/>
  <c r="F44" i="22"/>
  <c r="F7" i="22"/>
  <c r="H20" i="22"/>
  <c r="G44" i="22"/>
  <c r="G22" i="17" s="1"/>
  <c r="H7" i="22"/>
  <c r="F17" i="23"/>
  <c r="G18" i="23"/>
  <c r="G24" i="23" s="1"/>
  <c r="G20" i="23"/>
  <c r="G23" i="23"/>
  <c r="G21" i="23"/>
  <c r="E18" i="23"/>
  <c r="I17" i="23"/>
  <c r="F18" i="23"/>
  <c r="I9" i="2"/>
  <c r="J10" i="2"/>
  <c r="J17" i="2"/>
  <c r="J18" i="2"/>
  <c r="J23" i="2"/>
  <c r="I27" i="2"/>
  <c r="J28" i="2"/>
  <c r="I32" i="2"/>
  <c r="J33" i="2"/>
  <c r="I36" i="2"/>
  <c r="F22" i="17" l="1"/>
  <c r="J22" i="17" s="1"/>
  <c r="I44" i="22"/>
  <c r="J45" i="22" s="1"/>
  <c r="F22" i="26"/>
  <c r="E25" i="26"/>
  <c r="G22" i="23"/>
  <c r="F22" i="23"/>
  <c r="F20" i="23"/>
  <c r="F24" i="23"/>
  <c r="F21" i="23"/>
  <c r="F23" i="23"/>
  <c r="E22" i="23"/>
  <c r="E24" i="23"/>
  <c r="E23" i="23"/>
  <c r="E21" i="23"/>
  <c r="E20" i="23"/>
  <c r="E25" i="23"/>
  <c r="F25" i="26" l="1"/>
  <c r="D10" i="19" s="1"/>
  <c r="E10" i="19"/>
  <c r="E21" i="19" s="1"/>
  <c r="J21" i="19" s="1"/>
  <c r="G25" i="23"/>
  <c r="G27" i="23" s="1"/>
  <c r="F25" i="23"/>
  <c r="F27" i="23" s="1"/>
  <c r="E27" i="23"/>
  <c r="I27" i="23" s="1"/>
  <c r="I25" i="23" l="1"/>
  <c r="H36" i="22" l="1"/>
  <c r="I36" i="22" s="1"/>
  <c r="J39" i="19" l="1"/>
  <c r="J40" i="19" l="1"/>
  <c r="G34" i="26"/>
  <c r="J38" i="19"/>
  <c r="G32" i="26"/>
  <c r="G33" i="26"/>
  <c r="J37" i="19" l="1"/>
  <c r="G31" i="26"/>
  <c r="H11" i="18" l="1"/>
  <c r="E11" i="18"/>
  <c r="F11" i="18"/>
  <c r="K11" i="18" l="1"/>
  <c r="H24" i="22" l="1"/>
  <c r="G24" i="22"/>
  <c r="F24" i="22"/>
  <c r="E24" i="22"/>
  <c r="E17" i="17" l="1"/>
  <c r="J17" i="17" s="1"/>
  <c r="E18" i="17"/>
  <c r="J18" i="17" s="1"/>
  <c r="F15" i="20" l="1"/>
  <c r="G17" i="20" l="1"/>
  <c r="D18" i="20"/>
  <c r="D28" i="20" s="1"/>
  <c r="H16" i="17" l="1"/>
  <c r="J16" i="17" s="1"/>
  <c r="F12" i="20"/>
  <c r="G16" i="20"/>
  <c r="G23" i="17"/>
  <c r="J23" i="17" s="1"/>
  <c r="G18" i="20" l="1"/>
  <c r="F14" i="20"/>
  <c r="F13" i="20"/>
  <c r="F10" i="20"/>
  <c r="G29" i="22" l="1"/>
  <c r="G9" i="17" s="1"/>
  <c r="F29" i="22"/>
  <c r="H29" i="22"/>
  <c r="H9" i="17" s="1"/>
  <c r="E29" i="22"/>
  <c r="D29" i="22"/>
  <c r="G19" i="20"/>
  <c r="F11" i="20"/>
  <c r="F18" i="20" s="1"/>
  <c r="E18" i="20"/>
  <c r="J10" i="19"/>
  <c r="E14" i="19"/>
  <c r="E11" i="19"/>
  <c r="J36" i="19" l="1"/>
  <c r="G30" i="26"/>
  <c r="G35" i="26" s="1"/>
  <c r="E31" i="19" s="1"/>
  <c r="F35" i="26"/>
  <c r="D31" i="19" s="1"/>
  <c r="F9" i="17"/>
  <c r="E9" i="17"/>
  <c r="I29" i="22"/>
  <c r="E19" i="20"/>
  <c r="F19" i="20"/>
  <c r="I18" i="20"/>
  <c r="G21" i="20"/>
  <c r="G25" i="20"/>
  <c r="G24" i="20"/>
  <c r="G22" i="20"/>
  <c r="G23" i="20"/>
  <c r="J9" i="17" l="1"/>
  <c r="D31" i="22"/>
  <c r="H31" i="22"/>
  <c r="F31" i="22"/>
  <c r="F48" i="22" s="1"/>
  <c r="G31" i="22"/>
  <c r="E31" i="22"/>
  <c r="C48" i="22"/>
  <c r="C50" i="22" s="1"/>
  <c r="F21" i="20"/>
  <c r="F23" i="20"/>
  <c r="F22" i="20"/>
  <c r="F24" i="20"/>
  <c r="F25" i="20"/>
  <c r="E22" i="20"/>
  <c r="E21" i="20"/>
  <c r="E23" i="20"/>
  <c r="E25" i="20"/>
  <c r="E24" i="20"/>
  <c r="G26" i="20"/>
  <c r="G28" i="20" s="1"/>
  <c r="G25" i="17" s="1"/>
  <c r="O25" i="17" s="1"/>
  <c r="G14" i="19"/>
  <c r="F50" i="22" l="1"/>
  <c r="E26" i="20"/>
  <c r="E28" i="20" s="1"/>
  <c r="E25" i="17" s="1"/>
  <c r="F11" i="17"/>
  <c r="E48" i="22"/>
  <c r="G48" i="22"/>
  <c r="G11" i="17"/>
  <c r="H48" i="22"/>
  <c r="H11" i="17"/>
  <c r="E11" i="17"/>
  <c r="I31" i="22"/>
  <c r="I48" i="22" s="1"/>
  <c r="D48" i="22"/>
  <c r="F26" i="20"/>
  <c r="F28" i="20" s="1"/>
  <c r="F25" i="17" s="1"/>
  <c r="J25" i="17" s="1"/>
  <c r="G27" i="17"/>
  <c r="E50" i="22" l="1"/>
  <c r="E27" i="17"/>
  <c r="O27" i="17"/>
  <c r="N25" i="17"/>
  <c r="N27" i="17" s="1"/>
  <c r="J48" i="22"/>
  <c r="F27" i="17"/>
  <c r="J11" i="17"/>
  <c r="K27" i="17" s="1"/>
  <c r="I28" i="20"/>
  <c r="F11" i="19"/>
  <c r="F14" i="19"/>
  <c r="D14" i="19" s="1"/>
  <c r="E15" i="19" s="1"/>
  <c r="D27" i="17" l="1"/>
  <c r="H27" i="17"/>
  <c r="J27" i="17" s="1"/>
  <c r="G11" i="19"/>
  <c r="F15" i="19"/>
  <c r="D11" i="19" l="1"/>
  <c r="J11" i="19"/>
  <c r="D28" i="17"/>
  <c r="D29" i="17" s="1"/>
  <c r="G15" i="19"/>
  <c r="D15" i="19" l="1"/>
  <c r="F31" i="17"/>
  <c r="E31" i="17"/>
  <c r="G31" i="17"/>
  <c r="G33" i="17" l="1"/>
  <c r="F33" i="17"/>
  <c r="F35" i="17" s="1"/>
  <c r="F10" i="18" s="1"/>
  <c r="D31" i="17"/>
  <c r="E33" i="17"/>
  <c r="G35" i="17" l="1"/>
  <c r="N33" i="17"/>
  <c r="N35" i="17" s="1"/>
  <c r="G10" i="18" s="1"/>
  <c r="G12" i="18" s="1"/>
  <c r="O33" i="17"/>
  <c r="O35" i="17" s="1"/>
  <c r="F12" i="18"/>
  <c r="E35" i="17"/>
  <c r="D33" i="17"/>
  <c r="D35" i="17" s="1"/>
  <c r="D10" i="18" s="1"/>
  <c r="D12" i="18" s="1"/>
  <c r="P35" i="17" l="1"/>
  <c r="H10" i="18"/>
  <c r="D20" i="18"/>
  <c r="G13" i="18"/>
  <c r="F13" i="18"/>
  <c r="J35" i="17"/>
  <c r="E10" i="18"/>
  <c r="K10" i="18" s="1"/>
  <c r="J10" i="18" l="1"/>
  <c r="H12" i="18"/>
  <c r="H13" i="18" s="1"/>
  <c r="H17" i="18" s="1"/>
  <c r="F17" i="18"/>
  <c r="F15" i="18"/>
  <c r="F18" i="18"/>
  <c r="G17" i="18"/>
  <c r="G15" i="18"/>
  <c r="G18" i="18"/>
  <c r="E12" i="18"/>
  <c r="E13" i="18" l="1"/>
  <c r="E17" i="18" s="1"/>
  <c r="K17" i="18" s="1"/>
  <c r="K12" i="18"/>
  <c r="H15" i="18"/>
  <c r="H18" i="18"/>
  <c r="G20" i="18"/>
  <c r="D30" i="19" s="1"/>
  <c r="F20" i="18"/>
  <c r="E18" i="18" l="1"/>
  <c r="K18" i="18" s="1"/>
  <c r="E15" i="18"/>
  <c r="K15" i="18" s="1"/>
  <c r="D32" i="19"/>
  <c r="D36" i="19" s="1"/>
  <c r="H20" i="18"/>
  <c r="E30" i="19" s="1"/>
  <c r="E32" i="19" s="1"/>
  <c r="F39" i="19" s="1"/>
  <c r="D18" i="19"/>
  <c r="L20" i="18" l="1"/>
  <c r="E20" i="18"/>
  <c r="D17" i="19" s="1"/>
  <c r="G17" i="19" s="1"/>
  <c r="D39" i="19"/>
  <c r="G39" i="19" s="1"/>
  <c r="K39" i="19" s="1"/>
  <c r="D38" i="19"/>
  <c r="D37" i="19"/>
  <c r="D40" i="19"/>
  <c r="I30" i="19"/>
  <c r="F37" i="19"/>
  <c r="F36" i="19"/>
  <c r="G36" i="19" s="1"/>
  <c r="K36" i="19" s="1"/>
  <c r="F38" i="19"/>
  <c r="F40" i="19"/>
  <c r="E18" i="19"/>
  <c r="G18" i="19"/>
  <c r="F18" i="19"/>
  <c r="D19" i="19"/>
  <c r="F17" i="19"/>
  <c r="E17" i="19" l="1"/>
  <c r="E19" i="19" s="1"/>
  <c r="E25" i="19" s="1"/>
  <c r="G38" i="19"/>
  <c r="K38" i="19" s="1"/>
  <c r="G37" i="19"/>
  <c r="K37" i="19" s="1"/>
  <c r="K20" i="18"/>
  <c r="F29" i="18"/>
  <c r="G40" i="19"/>
  <c r="K40" i="19" s="1"/>
  <c r="F19" i="19"/>
  <c r="F25" i="19" s="1"/>
  <c r="J18" i="19"/>
  <c r="G19" i="19"/>
  <c r="J17" i="19" l="1"/>
  <c r="K41" i="19"/>
  <c r="G23" i="19"/>
  <c r="G25" i="19"/>
  <c r="L13" i="2" s="1"/>
  <c r="E23" i="19"/>
  <c r="F23" i="19"/>
  <c r="L12" i="2"/>
  <c r="J19" i="19" l="1"/>
  <c r="M41" i="19" s="1"/>
  <c r="L20" i="2"/>
  <c r="L10" i="2"/>
  <c r="L11" i="2"/>
  <c r="L19" i="2"/>
  <c r="L25" i="2" l="1"/>
  <c r="L24" i="2"/>
  <c r="L18" i="2"/>
  <c r="L17" i="2"/>
  <c r="D24" i="22"/>
  <c r="I24" i="22" s="1"/>
  <c r="C24" i="22"/>
  <c r="L30" i="2" l="1"/>
  <c r="L29" i="2"/>
  <c r="L33" i="2"/>
  <c r="L28" i="2"/>
  <c r="L23" i="2"/>
  <c r="L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AlanV</author>
  </authors>
  <commentList>
    <comment ref="H11" authorId="0" shapeId="0" xr:uid="{903D4562-D746-4F34-969E-B105828F9848}">
      <text>
        <r>
          <rPr>
            <b/>
            <sz val="9"/>
            <color indexed="81"/>
            <rFont val="Tahoma"/>
            <family val="2"/>
          </rPr>
          <t>AlanV:</t>
        </r>
        <r>
          <rPr>
            <sz val="9"/>
            <color indexed="81"/>
            <rFont val="Tahoma"/>
            <family val="2"/>
          </rPr>
          <t xml:space="preserve">
based on allocation of plant.  Value of meters and services percentage of total</t>
        </r>
      </text>
    </comment>
  </commentList>
</comments>
</file>

<file path=xl/sharedStrings.xml><?xml version="1.0" encoding="utf-8"?>
<sst xmlns="http://schemas.openxmlformats.org/spreadsheetml/2006/main" count="407" uniqueCount="191">
  <si>
    <t>TOTALS</t>
  </si>
  <si>
    <t>Service</t>
  </si>
  <si>
    <t>Cost</t>
  </si>
  <si>
    <t>Depr. Exp.</t>
  </si>
  <si>
    <t>Adjustment</t>
  </si>
  <si>
    <t>Less:</t>
  </si>
  <si>
    <t>Purchased Power</t>
  </si>
  <si>
    <t>Depreciation</t>
  </si>
  <si>
    <t>Totals</t>
  </si>
  <si>
    <t>TOTAL</t>
  </si>
  <si>
    <t>ALLOCATION OF DEPRECIATION EXPENSE</t>
  </si>
  <si>
    <t>Pro forma</t>
  </si>
  <si>
    <t>Admin. &amp;</t>
  </si>
  <si>
    <t>Commodity</t>
  </si>
  <si>
    <t>Demand</t>
  </si>
  <si>
    <t>Customer</t>
  </si>
  <si>
    <t>General</t>
  </si>
  <si>
    <t xml:space="preserve">     TOTALS</t>
  </si>
  <si>
    <t>Table D</t>
  </si>
  <si>
    <t>Total</t>
  </si>
  <si>
    <t>Values</t>
  </si>
  <si>
    <t>Salaries &amp; Wages</t>
  </si>
  <si>
    <t>Employee Benefits + Taxes</t>
  </si>
  <si>
    <t>Materials &amp; Supplies</t>
  </si>
  <si>
    <t>Contr. Services - Acct. &amp; Legal</t>
  </si>
  <si>
    <t>Contr. Services - Water Testing</t>
  </si>
  <si>
    <t>Transportation Expense</t>
  </si>
  <si>
    <t>Bad Debt</t>
  </si>
  <si>
    <t>Misc. Expense</t>
  </si>
  <si>
    <t xml:space="preserve">     Less Admin. &amp; General</t>
  </si>
  <si>
    <t>Percentages w/o A &amp; G</t>
  </si>
  <si>
    <t>Allocation of Admin. &amp; General</t>
  </si>
  <si>
    <t>Total O &amp; M Expense Allocations</t>
  </si>
  <si>
    <t>Table E</t>
  </si>
  <si>
    <t>Operation &amp; Maintenance Expenses</t>
  </si>
  <si>
    <t>Revenue Required from Retail Rates</t>
  </si>
  <si>
    <t>First</t>
  </si>
  <si>
    <t>Next</t>
  </si>
  <si>
    <t>Over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</si>
  <si>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</si>
  <si>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</si>
  <si>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</si>
  <si>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</si>
  <si>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</si>
  <si>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</si>
  <si>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</si>
  <si>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Hydrants</t>
  </si>
  <si>
    <t>ALLOCATION OF OPERATION &amp; MAINTENANCE EXPENSE</t>
  </si>
  <si>
    <t xml:space="preserve">    Forfeited Discounts &amp; Service Revenue</t>
  </si>
  <si>
    <t>CALCULATED USAGE RATES</t>
  </si>
  <si>
    <t>CALCULATION OF USAGE CHARGES:</t>
  </si>
  <si>
    <t>gallons</t>
  </si>
  <si>
    <t>Minimum Bill</t>
  </si>
  <si>
    <t>per 1,000 gallons</t>
  </si>
  <si>
    <t>Gallons</t>
  </si>
  <si>
    <t>PROPOSED USAGE RATES</t>
  </si>
  <si>
    <t>Table C</t>
  </si>
  <si>
    <t>SUMMARY OF ALLOCATIONS</t>
  </si>
  <si>
    <t>Total Expenses</t>
  </si>
  <si>
    <t>CURRENT RATE SCHEDULE</t>
  </si>
  <si>
    <t>CURRENT AND PROPOSED RATES</t>
  </si>
  <si>
    <t>Pro Forma</t>
  </si>
  <si>
    <t>Chemicals</t>
  </si>
  <si>
    <t>Insurance</t>
  </si>
  <si>
    <t>Structures &amp; Improvements</t>
  </si>
  <si>
    <t>Pumping Equipment</t>
  </si>
  <si>
    <t>Water Treatment Equipment</t>
  </si>
  <si>
    <t>Meters &amp; Meter Installations</t>
  </si>
  <si>
    <t>Office Furniture &amp; Equipment</t>
  </si>
  <si>
    <t>Transportation Equipment</t>
  </si>
  <si>
    <t>Power Operated Equipment</t>
  </si>
  <si>
    <t>Salaries - Officers</t>
  </si>
  <si>
    <t>Sal &amp; Wages - Empl</t>
  </si>
  <si>
    <t>Sal &amp; Wages - Comm</t>
  </si>
  <si>
    <t>Empl. Pen &amp; Bene</t>
  </si>
  <si>
    <t>Purch Water</t>
  </si>
  <si>
    <t>Purch Power</t>
  </si>
  <si>
    <t>Mat'ls &amp; Supplies</t>
  </si>
  <si>
    <t>Contr Serv - Acct.</t>
  </si>
  <si>
    <t>Contr Serv - Legal</t>
  </si>
  <si>
    <t>Contr Serv - Testing</t>
  </si>
  <si>
    <t>Contr Serv - Other</t>
  </si>
  <si>
    <t>Rentals - Bldg</t>
  </si>
  <si>
    <t>Rentals - Equip</t>
  </si>
  <si>
    <t>Transportation</t>
  </si>
  <si>
    <t>Ins - Gen Liab</t>
  </si>
  <si>
    <t>Ins - Workers Comp</t>
  </si>
  <si>
    <t>Ins -  Other</t>
  </si>
  <si>
    <t>Miscellaneous</t>
  </si>
  <si>
    <t>Treatment</t>
  </si>
  <si>
    <t>Trans &amp; Dist</t>
  </si>
  <si>
    <t>Admin</t>
  </si>
  <si>
    <t>Supply</t>
  </si>
  <si>
    <t>Carroll County Water District #1</t>
  </si>
  <si>
    <t>Purchased Water</t>
  </si>
  <si>
    <t>Rental of Building/Real Property</t>
  </si>
  <si>
    <t>Rental of Equipment</t>
  </si>
  <si>
    <t>Wells &amp; Springs</t>
  </si>
  <si>
    <t>Transmission &amp; Distribution Mains</t>
  </si>
  <si>
    <t>Services</t>
  </si>
  <si>
    <t>Other Tangible Plant</t>
  </si>
  <si>
    <t>Distribution Reservoirs &amp; Standpipes</t>
  </si>
  <si>
    <t>5/8" x 3/4" Meters</t>
  </si>
  <si>
    <t>1" Meters</t>
  </si>
  <si>
    <t>2" Meters</t>
  </si>
  <si>
    <t>3" Meters</t>
  </si>
  <si>
    <t>4" Meters</t>
  </si>
  <si>
    <t xml:space="preserve">   All Water Purchased</t>
  </si>
  <si>
    <t>Wholesale Water Rate</t>
  </si>
  <si>
    <t>Land and Land Rights</t>
  </si>
  <si>
    <t xml:space="preserve">     SUBTOTALS</t>
  </si>
  <si>
    <t>Allocation Percentages</t>
  </si>
  <si>
    <t>ALLOCATION OF PLANT VALUE</t>
  </si>
  <si>
    <t>Contr. Services - Other</t>
  </si>
  <si>
    <t xml:space="preserve">     Allocation %'s</t>
  </si>
  <si>
    <t>PRO FORMA</t>
  </si>
  <si>
    <t>Empl. Pen &amp; Ben + Taxes</t>
  </si>
  <si>
    <t>Total w/o Admin. &amp; General</t>
  </si>
  <si>
    <t>Table F</t>
  </si>
  <si>
    <t xml:space="preserve">     Interest Income</t>
  </si>
  <si>
    <t xml:space="preserve">     Other Water Rev. &amp; Unmetered</t>
  </si>
  <si>
    <t xml:space="preserve">    Sales for Resale (w/ rate increase)</t>
  </si>
  <si>
    <t>Up to:</t>
  </si>
  <si>
    <t>5/8/ x 3/4" Meters</t>
  </si>
  <si>
    <t>2' Meters</t>
  </si>
  <si>
    <t>Bills</t>
  </si>
  <si>
    <t>Usage</t>
  </si>
  <si>
    <t>over</t>
  </si>
  <si>
    <t>Avg.</t>
  </si>
  <si>
    <t>Adjustment for Minimum Bill Usage:</t>
  </si>
  <si>
    <t>Meter</t>
  </si>
  <si>
    <t>Size</t>
  </si>
  <si>
    <t>Allowed</t>
  </si>
  <si>
    <t>Used</t>
  </si>
  <si>
    <t>Not Used</t>
  </si>
  <si>
    <t>Gallons Not Used By Block</t>
  </si>
  <si>
    <t>0 - 10</t>
  </si>
  <si>
    <t>10 - 50</t>
  </si>
  <si>
    <t>50 - 400</t>
  </si>
  <si>
    <t>5/8 x 3/4"</t>
  </si>
  <si>
    <t>1"</t>
  </si>
  <si>
    <t>2"</t>
  </si>
  <si>
    <t>3"</t>
  </si>
  <si>
    <t>4"</t>
  </si>
  <si>
    <t>No. of</t>
  </si>
  <si>
    <t>Min. Bills</t>
  </si>
  <si>
    <t>Water Usage By Block:</t>
  </si>
  <si>
    <t xml:space="preserve"> 0 - 10</t>
  </si>
  <si>
    <t>Block</t>
  </si>
  <si>
    <t>Annual</t>
  </si>
  <si>
    <t>Sales</t>
  </si>
  <si>
    <t>for Min.</t>
  </si>
  <si>
    <t>Adjusted</t>
  </si>
  <si>
    <t>Number of Services and Equivalents:</t>
  </si>
  <si>
    <t>Ratio</t>
  </si>
  <si>
    <t>Service Bills</t>
  </si>
  <si>
    <t>Equivalents</t>
  </si>
  <si>
    <t>Operations</t>
  </si>
  <si>
    <t>Capital</t>
  </si>
  <si>
    <t>operations</t>
  </si>
  <si>
    <t>capital</t>
  </si>
  <si>
    <t xml:space="preserve">     Allocation Percentages</t>
  </si>
  <si>
    <t>Adjusted Commodity Sales</t>
  </si>
  <si>
    <t>Adjusted Gallons Sold (x 1,000)</t>
  </si>
  <si>
    <t>UNIT COSTS OF SERVICE</t>
  </si>
  <si>
    <t>CALCULATION OF CUSTOMER CHARGES:</t>
  </si>
  <si>
    <t>Expenses to be Allocated</t>
  </si>
  <si>
    <t>No. of Bills or Equivalents</t>
  </si>
  <si>
    <t>Unit Cost of Service</t>
  </si>
  <si>
    <t>Meter Size</t>
  </si>
  <si>
    <t>Charge</t>
  </si>
  <si>
    <t>Customer Exp. Categories:</t>
  </si>
  <si>
    <t>PROPOSED RATE SCHEDULE</t>
  </si>
  <si>
    <t>no. of min. bills:</t>
  </si>
  <si>
    <t>revenue</t>
  </si>
  <si>
    <t>total revenue recovered</t>
  </si>
  <si>
    <t>Mat'l. Cost</t>
  </si>
  <si>
    <t>Totals w/o PRV</t>
  </si>
  <si>
    <t>Totals w/ PRV</t>
  </si>
  <si>
    <t>Averages</t>
  </si>
  <si>
    <t>Over 50</t>
  </si>
  <si>
    <t>Debt Service &amp; Coverage *</t>
  </si>
  <si>
    <t xml:space="preserve">                * Allocation of Debt Service and Coverage is based on Allocation of Plant Value - Table C.</t>
  </si>
  <si>
    <t>Ratio *</t>
  </si>
  <si>
    <t xml:space="preserve">   * Service ratio is the ratio of material cost for larger meters vs. the material cost for a 5/8 x 3/4".</t>
  </si>
  <si>
    <t>(adjusted per the Proposed Billing Analysis to result in required revenue)</t>
  </si>
  <si>
    <t>Table G</t>
  </si>
  <si>
    <t>UNITS OF SERVICE</t>
  </si>
  <si>
    <t>Table H</t>
  </si>
  <si>
    <t>AS REPORTED w/ REVISED ALLOCATIONS:</t>
  </si>
  <si>
    <t>MATERIAL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</si>
</sst>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8" formatCode="_(* #,##0_);_(* \(#,##0\);_(* &quot;-&quot;??_);_(@_)"/>
    <numFmt numFmtId="169" formatCode="&quot;$&quot;#,##0.00"/>
    <numFmt numFmtId="170" formatCode="0.0%"/>
    <numFmt numFmtId="171" formatCode="_(* #,##0.0_);_(* \(#,##0.0\);_(* &quot;-&quot;??_);_(@_)"/>
    <numFmt numFmtId="173" formatCode="_(* #,##0.00000_);_(* \(#,##0.00000\);_(* &quot;-&quot;??_);_(@_)"/>
  </numFmts>
  <fonts count="25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Arial"/>
      <family val="2"/>
    </font>
    <font>
      <b/>
      <u val="singleAccounting"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u val="singleAccounting"/>
      <sz val="11"/>
      <name val="Calibri"/>
      <family val="2"/>
    </font>
    <font>
      <b/>
      <sz val="12"/>
      <name val="Calibri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 applyBorder="1"/>
    <xf numFmtId="168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168" fontId="4" fillId="0" borderId="0" xfId="5" applyNumberFormat="1" applyFont="1"/>
    <xf numFmtId="168" fontId="4" fillId="0" borderId="1" xfId="5" applyNumberFormat="1" applyFont="1" applyBorder="1"/>
    <xf numFmtId="0" fontId="4" fillId="0" borderId="1" xfId="0" applyFont="1" applyBorder="1"/>
    <xf numFmtId="0" fontId="9" fillId="0" borderId="0" xfId="0" applyFont="1"/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8" fontId="7" fillId="0" borderId="0" xfId="5" applyNumberFormat="1" applyFont="1"/>
    <xf numFmtId="168" fontId="4" fillId="0" borderId="0" xfId="0" applyNumberFormat="1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7" xfId="0" applyFont="1" applyBorder="1"/>
    <xf numFmtId="168" fontId="7" fillId="0" borderId="0" xfId="1" applyNumberFormat="1" applyFont="1"/>
    <xf numFmtId="168" fontId="4" fillId="0" borderId="0" xfId="1" applyNumberFormat="1" applyFont="1" applyAlignment="1">
      <alignment horizontal="right"/>
    </xf>
    <xf numFmtId="43" fontId="4" fillId="0" borderId="0" xfId="0" applyNumberFormat="1" applyFont="1"/>
    <xf numFmtId="168" fontId="4" fillId="0" borderId="0" xfId="5" applyNumberFormat="1" applyFont="1" applyBorder="1"/>
    <xf numFmtId="168" fontId="4" fillId="0" borderId="0" xfId="0" applyNumberFormat="1" applyFont="1"/>
    <xf numFmtId="10" fontId="4" fillId="0" borderId="0" xfId="3" applyNumberFormat="1" applyFont="1"/>
    <xf numFmtId="168" fontId="4" fillId="0" borderId="1" xfId="1" applyNumberFormat="1" applyFont="1" applyBorder="1"/>
    <xf numFmtId="3" fontId="8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0" fontId="4" fillId="0" borderId="0" xfId="0" applyFont="1" applyBorder="1" applyAlignment="1">
      <alignment horizontal="centerContinuous"/>
    </xf>
    <xf numFmtId="168" fontId="4" fillId="0" borderId="2" xfId="5" applyNumberFormat="1" applyFont="1" applyBorder="1"/>
    <xf numFmtId="168" fontId="6" fillId="0" borderId="0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168" fontId="4" fillId="0" borderId="6" xfId="5" applyNumberFormat="1" applyFont="1" applyBorder="1"/>
    <xf numFmtId="168" fontId="3" fillId="0" borderId="0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8" fontId="11" fillId="0" borderId="0" xfId="5" applyNumberFormat="1" applyFont="1" applyBorder="1" applyAlignment="1">
      <alignment horizontal="center"/>
    </xf>
    <xf numFmtId="168" fontId="4" fillId="0" borderId="0" xfId="5" applyNumberFormat="1" applyFont="1" applyBorder="1" applyAlignment="1"/>
    <xf numFmtId="168" fontId="7" fillId="0" borderId="0" xfId="5" applyNumberFormat="1" applyFont="1" applyBorder="1"/>
    <xf numFmtId="10" fontId="4" fillId="0" borderId="0" xfId="6" applyNumberFormat="1" applyFont="1" applyBorder="1"/>
    <xf numFmtId="3" fontId="8" fillId="0" borderId="6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8" fontId="8" fillId="0" borderId="0" xfId="5" applyNumberFormat="1" applyFont="1" applyBorder="1" applyAlignment="1">
      <alignment horizontal="center" vertical="center"/>
    </xf>
    <xf numFmtId="168" fontId="8" fillId="0" borderId="6" xfId="5" applyNumberFormat="1" applyFont="1" applyBorder="1" applyAlignment="1">
      <alignment horizontal="center" vertical="center"/>
    </xf>
    <xf numFmtId="168" fontId="11" fillId="0" borderId="6" xfId="5" applyNumberFormat="1" applyFont="1" applyBorder="1" applyAlignment="1">
      <alignment horizontal="center"/>
    </xf>
    <xf numFmtId="165" fontId="4" fillId="0" borderId="0" xfId="4" applyNumberFormat="1" applyFont="1" applyBorder="1"/>
    <xf numFmtId="168" fontId="7" fillId="0" borderId="6" xfId="5" applyNumberFormat="1" applyFont="1" applyBorder="1"/>
    <xf numFmtId="168" fontId="8" fillId="0" borderId="0" xfId="5" applyNumberFormat="1" applyFont="1" applyBorder="1" applyAlignment="1">
      <alignment horizontal="center" vertical="center"/>
    </xf>
    <xf numFmtId="168" fontId="4" fillId="0" borderId="6" xfId="5" applyNumberFormat="1" applyFont="1" applyBorder="1" applyAlignment="1">
      <alignment horizontal="center"/>
    </xf>
    <xf numFmtId="168" fontId="7" fillId="0" borderId="6" xfId="5" quotePrefix="1" applyNumberFormat="1" applyFont="1" applyBorder="1" applyAlignment="1">
      <alignment horizontal="center"/>
    </xf>
    <xf numFmtId="10" fontId="4" fillId="0" borderId="6" xfId="6" applyNumberFormat="1" applyFont="1" applyBorder="1"/>
    <xf numFmtId="43" fontId="4" fillId="0" borderId="0" xfId="5" applyNumberFormat="1" applyFont="1" applyBorder="1"/>
    <xf numFmtId="43" fontId="4" fillId="0" borderId="6" xfId="5" applyNumberFormat="1" applyFont="1" applyBorder="1"/>
    <xf numFmtId="169" fontId="4" fillId="0" borderId="0" xfId="5" applyNumberFormat="1" applyFont="1" applyBorder="1"/>
    <xf numFmtId="169" fontId="4" fillId="0" borderId="6" xfId="5" applyNumberFormat="1" applyFont="1" applyBorder="1"/>
    <xf numFmtId="169" fontId="3" fillId="0" borderId="0" xfId="5" applyNumberFormat="1" applyFont="1" applyBorder="1"/>
    <xf numFmtId="43" fontId="4" fillId="0" borderId="0" xfId="5" applyFont="1" applyBorder="1"/>
    <xf numFmtId="169" fontId="4" fillId="0" borderId="8" xfId="5" applyNumberFormat="1" applyFont="1" applyBorder="1"/>
    <xf numFmtId="168" fontId="4" fillId="0" borderId="0" xfId="5" applyNumberFormat="1" applyFont="1" applyFill="1" applyBorder="1"/>
    <xf numFmtId="168" fontId="4" fillId="0" borderId="0" xfId="1" applyNumberFormat="1" applyFont="1" applyBorder="1" applyAlignment="1"/>
    <xf numFmtId="0" fontId="4" fillId="0" borderId="0" xfId="0" applyNumberFormat="1" applyFont="1" applyAlignment="1"/>
    <xf numFmtId="9" fontId="4" fillId="0" borderId="0" xfId="3" applyFont="1"/>
    <xf numFmtId="3" fontId="10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Continuous"/>
    </xf>
    <xf numFmtId="3" fontId="13" fillId="0" borderId="0" xfId="0" applyNumberFormat="1" applyFont="1" applyBorder="1" applyAlignment="1">
      <alignment horizontal="centerContinuous" vertical="center"/>
    </xf>
    <xf numFmtId="43" fontId="4" fillId="0" borderId="0" xfId="1" applyNumberFormat="1" applyFont="1" applyAlignment="1">
      <alignment vertical="center"/>
    </xf>
    <xf numFmtId="43" fontId="4" fillId="0" borderId="0" xfId="1" applyFont="1"/>
    <xf numFmtId="173" fontId="4" fillId="0" borderId="0" xfId="5" applyNumberFormat="1" applyFont="1"/>
    <xf numFmtId="169" fontId="4" fillId="0" borderId="0" xfId="0" applyNumberFormat="1" applyFont="1"/>
    <xf numFmtId="0" fontId="0" fillId="0" borderId="0" xfId="0" applyBorder="1"/>
    <xf numFmtId="168" fontId="7" fillId="0" borderId="0" xfId="1" applyNumberFormat="1" applyFont="1" applyAlignment="1">
      <alignment horizontal="center"/>
    </xf>
    <xf numFmtId="43" fontId="4" fillId="0" borderId="0" xfId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4" fontId="4" fillId="0" borderId="0" xfId="4" applyFont="1" applyBorder="1" applyAlignment="1"/>
    <xf numFmtId="43" fontId="4" fillId="0" borderId="0" xfId="5" applyFont="1" applyBorder="1" applyAlignment="1"/>
    <xf numFmtId="168" fontId="4" fillId="0" borderId="1" xfId="5" applyNumberFormat="1" applyFont="1" applyBorder="1" applyAlignment="1"/>
    <xf numFmtId="0" fontId="4" fillId="0" borderId="8" xfId="0" applyFont="1" applyBorder="1"/>
    <xf numFmtId="168" fontId="9" fillId="0" borderId="0" xfId="5" applyNumberFormat="1" applyFont="1" applyAlignment="1"/>
    <xf numFmtId="3" fontId="10" fillId="0" borderId="6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left"/>
    </xf>
    <xf numFmtId="168" fontId="3" fillId="0" borderId="0" xfId="1" applyNumberFormat="1" applyFont="1" applyBorder="1" applyAlignment="1"/>
    <xf numFmtId="168" fontId="4" fillId="0" borderId="3" xfId="1" applyNumberFormat="1" applyFont="1" applyBorder="1"/>
    <xf numFmtId="168" fontId="4" fillId="0" borderId="4" xfId="1" applyNumberFormat="1" applyFont="1" applyBorder="1"/>
    <xf numFmtId="168" fontId="4" fillId="0" borderId="5" xfId="1" applyNumberFormat="1" applyFont="1" applyBorder="1"/>
    <xf numFmtId="168" fontId="4" fillId="0" borderId="2" xfId="1" applyNumberFormat="1" applyFont="1" applyBorder="1"/>
    <xf numFmtId="168" fontId="4" fillId="0" borderId="6" xfId="1" applyNumberFormat="1" applyFont="1" applyBorder="1"/>
    <xf numFmtId="168" fontId="6" fillId="0" borderId="0" xfId="1" applyNumberFormat="1" applyFont="1" applyBorder="1" applyAlignment="1">
      <alignment horizontal="center"/>
    </xf>
    <xf numFmtId="168" fontId="6" fillId="0" borderId="6" xfId="1" applyNumberFormat="1" applyFont="1" applyBorder="1" applyAlignment="1">
      <alignment horizontal="center"/>
    </xf>
    <xf numFmtId="168" fontId="7" fillId="0" borderId="0" xfId="1" applyNumberFormat="1" applyFont="1" applyBorder="1"/>
    <xf numFmtId="168" fontId="7" fillId="0" borderId="6" xfId="1" applyNumberFormat="1" applyFont="1" applyBorder="1"/>
    <xf numFmtId="168" fontId="3" fillId="0" borderId="0" xfId="1" applyNumberFormat="1" applyFont="1" applyBorder="1"/>
    <xf numFmtId="170" fontId="3" fillId="0" borderId="0" xfId="3" applyNumberFormat="1" applyFont="1" applyBorder="1"/>
    <xf numFmtId="170" fontId="3" fillId="0" borderId="6" xfId="3" applyNumberFormat="1" applyFont="1" applyBorder="1"/>
    <xf numFmtId="168" fontId="4" fillId="0" borderId="7" xfId="1" applyNumberFormat="1" applyFont="1" applyBorder="1"/>
    <xf numFmtId="168" fontId="4" fillId="0" borderId="8" xfId="1" applyNumberFormat="1" applyFont="1" applyBorder="1"/>
    <xf numFmtId="168" fontId="12" fillId="0" borderId="0" xfId="5" applyNumberFormat="1" applyFont="1" applyBorder="1" applyAlignment="1">
      <alignment horizontal="centerContinuous"/>
    </xf>
    <xf numFmtId="168" fontId="8" fillId="0" borderId="6" xfId="1" applyNumberFormat="1" applyFont="1" applyBorder="1" applyAlignment="1">
      <alignment horizontal="center"/>
    </xf>
    <xf numFmtId="168" fontId="12" fillId="0" borderId="6" xfId="5" applyNumberFormat="1" applyFont="1" applyBorder="1" applyAlignment="1">
      <alignment horizontal="centerContinuous"/>
    </xf>
    <xf numFmtId="168" fontId="10" fillId="0" borderId="6" xfId="1" applyNumberFormat="1" applyFont="1" applyBorder="1" applyAlignment="1">
      <alignment horizontal="center"/>
    </xf>
    <xf numFmtId="168" fontId="6" fillId="0" borderId="0" xfId="1" applyNumberFormat="1" applyFont="1"/>
    <xf numFmtId="168" fontId="4" fillId="0" borderId="0" xfId="1" applyNumberFormat="1" applyFont="1" applyFill="1"/>
    <xf numFmtId="168" fontId="7" fillId="0" borderId="0" xfId="1" applyNumberFormat="1" applyFont="1" applyFill="1"/>
    <xf numFmtId="168" fontId="17" fillId="0" borderId="0" xfId="1" applyNumberFormat="1" applyFont="1"/>
    <xf numFmtId="168" fontId="6" fillId="0" borderId="0" xfId="1" applyNumberFormat="1" applyFont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168" fontId="6" fillId="0" borderId="0" xfId="1" quotePrefix="1" applyNumberFormat="1" applyFont="1" applyBorder="1" applyAlignment="1">
      <alignment horizontal="center"/>
    </xf>
    <xf numFmtId="43" fontId="4" fillId="0" borderId="0" xfId="1" applyNumberFormat="1" applyFont="1"/>
    <xf numFmtId="168" fontId="4" fillId="0" borderId="1" xfId="1" applyNumberFormat="1" applyFont="1" applyBorder="1" applyAlignment="1">
      <alignment horizontal="right"/>
    </xf>
    <xf numFmtId="168" fontId="4" fillId="0" borderId="0" xfId="1" applyNumberFormat="1" applyFont="1" applyBorder="1" applyAlignment="1">
      <alignment horizontal="right"/>
    </xf>
    <xf numFmtId="168" fontId="18" fillId="0" borderId="0" xfId="1" applyNumberFormat="1" applyFont="1"/>
    <xf numFmtId="168" fontId="20" fillId="0" borderId="0" xfId="1" quotePrefix="1" applyNumberFormat="1" applyFont="1" applyAlignment="1">
      <alignment horizontal="center"/>
    </xf>
    <xf numFmtId="168" fontId="21" fillId="0" borderId="0" xfId="1" applyNumberFormat="1" applyFont="1"/>
    <xf numFmtId="168" fontId="11" fillId="0" borderId="0" xfId="5" applyNumberFormat="1" applyFont="1" applyFill="1" applyBorder="1" applyAlignment="1">
      <alignment horizontal="center"/>
    </xf>
    <xf numFmtId="10" fontId="4" fillId="0" borderId="0" xfId="3" applyNumberFormat="1" applyFont="1" applyBorder="1"/>
    <xf numFmtId="171" fontId="4" fillId="0" borderId="0" xfId="5" applyNumberFormat="1" applyFont="1" applyBorder="1"/>
    <xf numFmtId="171" fontId="4" fillId="0" borderId="0" xfId="1" applyNumberFormat="1" applyFont="1"/>
    <xf numFmtId="169" fontId="4" fillId="0" borderId="0" xfId="2" applyNumberFormat="1" applyFont="1" applyBorder="1"/>
    <xf numFmtId="169" fontId="3" fillId="0" borderId="0" xfId="2" applyNumberFormat="1" applyFont="1" applyBorder="1" applyAlignment="1">
      <alignment horizontal="center"/>
    </xf>
    <xf numFmtId="169" fontId="3" fillId="0" borderId="0" xfId="5" applyNumberFormat="1" applyFont="1" applyBorder="1" applyAlignment="1">
      <alignment horizontal="center"/>
    </xf>
    <xf numFmtId="169" fontId="5" fillId="0" borderId="0" xfId="2" applyNumberFormat="1" applyFont="1" applyBorder="1" applyAlignment="1">
      <alignment horizontal="right"/>
    </xf>
    <xf numFmtId="43" fontId="4" fillId="0" borderId="0" xfId="1" applyFont="1" applyBorder="1"/>
    <xf numFmtId="168" fontId="3" fillId="0" borderId="0" xfId="5" applyNumberFormat="1" applyFont="1" applyBorder="1" applyAlignment="1">
      <alignment horizontal="center"/>
    </xf>
    <xf numFmtId="10" fontId="4" fillId="0" borderId="5" xfId="3" applyNumberFormat="1" applyFont="1" applyBorder="1"/>
    <xf numFmtId="0" fontId="11" fillId="0" borderId="0" xfId="0" applyFont="1" applyBorder="1" applyAlignment="1">
      <alignment horizontal="center"/>
    </xf>
    <xf numFmtId="10" fontId="11" fillId="0" borderId="6" xfId="3" applyNumberFormat="1" applyFont="1" applyBorder="1"/>
    <xf numFmtId="0" fontId="0" fillId="0" borderId="2" xfId="0" applyBorder="1"/>
    <xf numFmtId="10" fontId="4" fillId="0" borderId="6" xfId="3" applyNumberFormat="1" applyFont="1" applyBorder="1"/>
    <xf numFmtId="0" fontId="18" fillId="0" borderId="2" xfId="0" applyFont="1" applyBorder="1"/>
    <xf numFmtId="168" fontId="4" fillId="0" borderId="6" xfId="0" applyNumberFormat="1" applyFont="1" applyBorder="1"/>
    <xf numFmtId="0" fontId="0" fillId="0" borderId="7" xfId="0" applyBorder="1"/>
    <xf numFmtId="168" fontId="3" fillId="0" borderId="3" xfId="5" applyNumberFormat="1" applyFont="1" applyBorder="1"/>
    <xf numFmtId="168" fontId="4" fillId="2" borderId="0" xfId="0" applyNumberFormat="1" applyFont="1" applyFill="1"/>
    <xf numFmtId="168" fontId="20" fillId="0" borderId="0" xfId="1" applyNumberFormat="1" applyFont="1" applyAlignment="1">
      <alignment horizontal="center"/>
    </xf>
    <xf numFmtId="43" fontId="18" fillId="0" borderId="0" xfId="1" applyFont="1"/>
    <xf numFmtId="43" fontId="21" fillId="0" borderId="0" xfId="1" applyFont="1"/>
    <xf numFmtId="168" fontId="14" fillId="0" borderId="0" xfId="5" applyNumberFormat="1" applyFont="1" applyBorder="1" applyAlignment="1">
      <alignment horizontal="left" vertical="center"/>
    </xf>
    <xf numFmtId="44" fontId="4" fillId="0" borderId="0" xfId="2" applyFont="1" applyBorder="1"/>
    <xf numFmtId="0" fontId="13" fillId="0" borderId="0" xfId="0" applyFont="1" applyBorder="1" applyAlignment="1">
      <alignment horizontal="center"/>
    </xf>
    <xf numFmtId="168" fontId="18" fillId="0" borderId="0" xfId="1" quotePrefix="1" applyNumberFormat="1" applyFont="1" applyBorder="1" applyAlignment="1">
      <alignment horizontal="right"/>
    </xf>
    <xf numFmtId="168" fontId="18" fillId="0" borderId="0" xfId="1" applyNumberFormat="1" applyFont="1" applyBorder="1" applyAlignment="1">
      <alignment horizontal="right"/>
    </xf>
    <xf numFmtId="168" fontId="3" fillId="2" borderId="12" xfId="5" applyNumberFormat="1" applyFont="1" applyFill="1" applyBorder="1"/>
    <xf numFmtId="168" fontId="4" fillId="2" borderId="13" xfId="5" applyNumberFormat="1" applyFont="1" applyFill="1" applyBorder="1"/>
    <xf numFmtId="44" fontId="4" fillId="2" borderId="13" xfId="2" applyFont="1" applyFill="1" applyBorder="1"/>
    <xf numFmtId="44" fontId="4" fillId="2" borderId="14" xfId="2" applyFont="1" applyFill="1" applyBorder="1"/>
    <xf numFmtId="169" fontId="3" fillId="2" borderId="11" xfId="5" applyNumberFormat="1" applyFont="1" applyFill="1" applyBorder="1" applyAlignment="1">
      <alignment horizontal="center"/>
    </xf>
    <xf numFmtId="169" fontId="3" fillId="2" borderId="10" xfId="5" applyNumberFormat="1" applyFont="1" applyFill="1" applyBorder="1" applyAlignment="1">
      <alignment horizontal="center"/>
    </xf>
    <xf numFmtId="168" fontId="6" fillId="2" borderId="10" xfId="5" applyNumberFormat="1" applyFont="1" applyFill="1" applyBorder="1" applyAlignment="1">
      <alignment horizontal="center"/>
    </xf>
    <xf numFmtId="44" fontId="4" fillId="2" borderId="10" xfId="2" applyFont="1" applyFill="1" applyBorder="1"/>
    <xf numFmtId="43" fontId="4" fillId="2" borderId="10" xfId="1" applyFont="1" applyFill="1" applyBorder="1"/>
    <xf numFmtId="43" fontId="4" fillId="2" borderId="9" xfId="1" applyFont="1" applyFill="1" applyBorder="1"/>
    <xf numFmtId="3" fontId="8" fillId="0" borderId="0" xfId="0" applyNumberFormat="1" applyFont="1" applyBorder="1" applyAlignment="1">
      <alignment horizontal="center"/>
    </xf>
    <xf numFmtId="168" fontId="10" fillId="0" borderId="0" xfId="1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8" fontId="20" fillId="0" borderId="0" xfId="1" applyNumberFormat="1" applyFont="1" applyAlignment="1">
      <alignment horizontal="center"/>
    </xf>
    <xf numFmtId="168" fontId="10" fillId="0" borderId="6" xfId="1" applyNumberFormat="1" applyFont="1" applyBorder="1" applyAlignment="1">
      <alignment horizontal="center"/>
    </xf>
    <xf numFmtId="43" fontId="19" fillId="0" borderId="1" xfId="1" applyFont="1" applyBorder="1" applyAlignment="1">
      <alignment horizontal="left"/>
    </xf>
    <xf numFmtId="168" fontId="18" fillId="0" borderId="1" xfId="1" applyNumberFormat="1" applyFont="1" applyBorder="1"/>
    <xf numFmtId="168" fontId="18" fillId="0" borderId="3" xfId="1" applyNumberFormat="1" applyFont="1" applyBorder="1"/>
    <xf numFmtId="168" fontId="18" fillId="0" borderId="4" xfId="1" applyNumberFormat="1" applyFont="1" applyBorder="1"/>
    <xf numFmtId="168" fontId="18" fillId="0" borderId="5" xfId="1" applyNumberFormat="1" applyFont="1" applyBorder="1"/>
    <xf numFmtId="168" fontId="18" fillId="0" borderId="7" xfId="1" applyNumberFormat="1" applyFont="1" applyBorder="1"/>
    <xf numFmtId="168" fontId="18" fillId="0" borderId="8" xfId="1" applyNumberFormat="1" applyFont="1" applyBorder="1"/>
    <xf numFmtId="168" fontId="18" fillId="0" borderId="0" xfId="1" applyNumberFormat="1" applyFont="1" applyBorder="1"/>
    <xf numFmtId="168" fontId="18" fillId="0" borderId="2" xfId="1" applyNumberFormat="1" applyFont="1" applyBorder="1"/>
    <xf numFmtId="168" fontId="18" fillId="0" borderId="6" xfId="1" applyNumberFormat="1" applyFont="1" applyBorder="1"/>
    <xf numFmtId="168" fontId="19" fillId="0" borderId="0" xfId="1" applyNumberFormat="1" applyFont="1" applyBorder="1" applyAlignment="1">
      <alignment horizontal="center"/>
    </xf>
    <xf numFmtId="168" fontId="20" fillId="0" borderId="6" xfId="1" applyNumberFormat="1" applyFont="1" applyBorder="1" applyAlignment="1">
      <alignment horizontal="center"/>
    </xf>
    <xf numFmtId="168" fontId="20" fillId="0" borderId="0" xfId="1" applyNumberFormat="1" applyFont="1" applyBorder="1" applyAlignment="1">
      <alignment horizontal="center"/>
    </xf>
    <xf numFmtId="168" fontId="20" fillId="0" borderId="0" xfId="1" quotePrefix="1" applyNumberFormat="1" applyFont="1" applyBorder="1" applyAlignment="1">
      <alignment horizontal="center"/>
    </xf>
    <xf numFmtId="168" fontId="20" fillId="0" borderId="6" xfId="1" quotePrefix="1" applyNumberFormat="1" applyFont="1" applyBorder="1" applyAlignment="1">
      <alignment horizontal="center"/>
    </xf>
    <xf numFmtId="168" fontId="18" fillId="0" borderId="0" xfId="1" quotePrefix="1" applyNumberFormat="1" applyFont="1" applyBorder="1" applyAlignment="1">
      <alignment horizontal="center"/>
    </xf>
    <xf numFmtId="168" fontId="18" fillId="0" borderId="0" xfId="1" applyNumberFormat="1" applyFont="1" applyBorder="1" applyAlignment="1">
      <alignment horizontal="center"/>
    </xf>
    <xf numFmtId="168" fontId="21" fillId="0" borderId="0" xfId="1" applyNumberFormat="1" applyFont="1" applyBorder="1"/>
    <xf numFmtId="168" fontId="21" fillId="0" borderId="6" xfId="1" applyNumberFormat="1" applyFont="1" applyBorder="1"/>
    <xf numFmtId="168" fontId="19" fillId="0" borderId="0" xfId="1" applyNumberFormat="1" applyFont="1" applyBorder="1" applyAlignment="1">
      <alignment horizontal="right"/>
    </xf>
    <xf numFmtId="168" fontId="18" fillId="0" borderId="0" xfId="1" quotePrefix="1" applyNumberFormat="1" applyFont="1" applyBorder="1"/>
    <xf numFmtId="168" fontId="19" fillId="0" borderId="0" xfId="1" applyNumberFormat="1" applyFont="1" applyBorder="1"/>
    <xf numFmtId="165" fontId="18" fillId="0" borderId="0" xfId="2" applyNumberFormat="1" applyFont="1" applyBorder="1"/>
    <xf numFmtId="43" fontId="18" fillId="0" borderId="0" xfId="1" applyNumberFormat="1" applyFont="1" applyBorder="1"/>
    <xf numFmtId="43" fontId="22" fillId="0" borderId="1" xfId="1" applyFont="1" applyBorder="1" applyAlignment="1">
      <alignment horizontal="left"/>
    </xf>
    <xf numFmtId="168" fontId="22" fillId="0" borderId="1" xfId="1" applyNumberFormat="1" applyFont="1" applyBorder="1"/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168" fontId="10" fillId="0" borderId="0" xfId="1" applyNumberFormat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168" fontId="19" fillId="0" borderId="0" xfId="1" applyNumberFormat="1" applyFont="1" applyBorder="1" applyAlignment="1">
      <alignment horizontal="center"/>
    </xf>
    <xf numFmtId="168" fontId="14" fillId="0" borderId="0" xfId="5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168" fontId="6" fillId="0" borderId="2" xfId="1" quotePrefix="1" applyNumberFormat="1" applyFont="1" applyBorder="1" applyAlignment="1">
      <alignment horizontal="center"/>
    </xf>
    <xf numFmtId="168" fontId="6" fillId="0" borderId="0" xfId="1" quotePrefix="1" applyNumberFormat="1" applyFont="1" applyBorder="1" applyAlignment="1">
      <alignment horizontal="center"/>
    </xf>
    <xf numFmtId="168" fontId="6" fillId="0" borderId="0" xfId="1" quotePrefix="1" applyNumberFormat="1" applyFont="1" applyAlignment="1">
      <alignment horizontal="center"/>
    </xf>
    <xf numFmtId="43" fontId="6" fillId="0" borderId="0" xfId="1" applyFont="1" applyAlignment="1">
      <alignment horizontal="left"/>
    </xf>
    <xf numFmtId="168" fontId="23" fillId="0" borderId="0" xfId="1" applyNumberFormat="1" applyFont="1"/>
    <xf numFmtId="168" fontId="24" fillId="0" borderId="0" xfId="1" applyNumberFormat="1" applyFont="1"/>
    <xf numFmtId="10" fontId="23" fillId="0" borderId="0" xfId="3" applyNumberFormat="1" applyFont="1"/>
    <xf numFmtId="168" fontId="20" fillId="0" borderId="0" xfId="1" applyNumberFormat="1" applyFont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6187-F376-49FF-9AFA-3EE2C5732A7A}">
  <dimension ref="B2:I33"/>
  <sheetViews>
    <sheetView tabSelected="1" workbookViewId="0"/>
  </sheetViews>
  <sheetFormatPr defaultColWidth="8.88671875" defaultRowHeight="15" x14ac:dyDescent="0.25"/>
  <cols>
    <col min="1" max="1" width="8.88671875" style="2"/>
    <col min="2" max="2" width="0.88671875" style="2" customWidth="1"/>
    <col min="3" max="3" width="27.21875" style="2" customWidth="1"/>
    <col min="4" max="7" width="10.77734375" style="2" customWidth="1"/>
    <col min="8" max="8" width="0.88671875" style="2" customWidth="1"/>
    <col min="9" max="9" width="11.109375" style="2" customWidth="1"/>
    <col min="10" max="16384" width="8.88671875" style="2"/>
  </cols>
  <sheetData>
    <row r="2" spans="2:8" x14ac:dyDescent="0.25">
      <c r="B2" s="91"/>
      <c r="C2" s="92"/>
      <c r="D2" s="92"/>
      <c r="E2" s="92"/>
      <c r="F2" s="92"/>
      <c r="G2" s="92"/>
      <c r="H2" s="93"/>
    </row>
    <row r="3" spans="2:8" ht="18.75" x14ac:dyDescent="0.3">
      <c r="B3" s="94"/>
      <c r="C3" s="194" t="s">
        <v>56</v>
      </c>
      <c r="D3" s="194"/>
      <c r="E3" s="194"/>
      <c r="F3" s="194"/>
      <c r="G3" s="194"/>
      <c r="H3" s="106"/>
    </row>
    <row r="4" spans="2:8" ht="18.75" x14ac:dyDescent="0.3">
      <c r="B4" s="94"/>
      <c r="C4" s="105" t="s">
        <v>112</v>
      </c>
      <c r="D4" s="105"/>
      <c r="E4" s="105"/>
      <c r="F4" s="105"/>
      <c r="G4" s="105"/>
      <c r="H4" s="107"/>
    </row>
    <row r="5" spans="2:8" ht="15.75" x14ac:dyDescent="0.25">
      <c r="B5" s="94"/>
      <c r="C5" s="193" t="s">
        <v>93</v>
      </c>
      <c r="D5" s="193"/>
      <c r="E5" s="193"/>
      <c r="F5" s="193"/>
      <c r="G5" s="193"/>
      <c r="H5" s="108"/>
    </row>
    <row r="6" spans="2:8" x14ac:dyDescent="0.25">
      <c r="B6" s="94"/>
      <c r="C6" s="4"/>
      <c r="D6" s="4"/>
      <c r="E6" s="4"/>
      <c r="F6" s="4"/>
      <c r="G6" s="4"/>
      <c r="H6" s="95"/>
    </row>
    <row r="7" spans="2:8" ht="17.25" x14ac:dyDescent="0.4">
      <c r="B7" s="94"/>
      <c r="C7" s="4"/>
      <c r="D7" s="96" t="s">
        <v>19</v>
      </c>
      <c r="E7" s="96" t="s">
        <v>13</v>
      </c>
      <c r="F7" s="96" t="s">
        <v>14</v>
      </c>
      <c r="G7" s="96" t="s">
        <v>15</v>
      </c>
      <c r="H7" s="97"/>
    </row>
    <row r="8" spans="2:8" x14ac:dyDescent="0.25">
      <c r="B8" s="94"/>
      <c r="C8" s="89" t="s">
        <v>109</v>
      </c>
      <c r="D8" s="4">
        <v>311460</v>
      </c>
      <c r="E8" s="4">
        <v>212159</v>
      </c>
      <c r="F8" s="4">
        <f>D8-E8</f>
        <v>99301</v>
      </c>
      <c r="G8" s="4"/>
      <c r="H8" s="95"/>
    </row>
    <row r="9" spans="2:8" x14ac:dyDescent="0.25">
      <c r="B9" s="94"/>
      <c r="C9" s="65" t="s">
        <v>64</v>
      </c>
      <c r="D9" s="4">
        <v>346602</v>
      </c>
      <c r="E9" s="4"/>
      <c r="F9" s="4">
        <f>D9</f>
        <v>346602</v>
      </c>
      <c r="G9" s="4"/>
      <c r="H9" s="95"/>
    </row>
    <row r="10" spans="2:8" x14ac:dyDescent="0.25">
      <c r="B10" s="94"/>
      <c r="C10" s="65" t="s">
        <v>97</v>
      </c>
      <c r="D10" s="4">
        <v>539913</v>
      </c>
      <c r="E10" s="4"/>
      <c r="F10" s="4">
        <f>D10</f>
        <v>539913</v>
      </c>
      <c r="G10" s="4"/>
      <c r="H10" s="95"/>
    </row>
    <row r="11" spans="2:8" x14ac:dyDescent="0.25">
      <c r="B11" s="94"/>
      <c r="C11" s="65" t="s">
        <v>65</v>
      </c>
      <c r="D11" s="4">
        <v>1163351</v>
      </c>
      <c r="E11" s="4"/>
      <c r="F11" s="4">
        <f t="shared" ref="F11:F14" si="0">D11</f>
        <v>1163351</v>
      </c>
      <c r="G11" s="4"/>
      <c r="H11" s="95"/>
    </row>
    <row r="12" spans="2:8" x14ac:dyDescent="0.25">
      <c r="B12" s="94"/>
      <c r="C12" s="65" t="s">
        <v>66</v>
      </c>
      <c r="D12" s="4">
        <v>690271</v>
      </c>
      <c r="E12" s="4"/>
      <c r="F12" s="4">
        <f t="shared" si="0"/>
        <v>690271</v>
      </c>
      <c r="G12" s="4"/>
      <c r="H12" s="95"/>
    </row>
    <row r="13" spans="2:8" x14ac:dyDescent="0.25">
      <c r="B13" s="94"/>
      <c r="C13" s="65" t="s">
        <v>101</v>
      </c>
      <c r="D13" s="4">
        <v>2576262</v>
      </c>
      <c r="E13" s="4"/>
      <c r="F13" s="4">
        <f t="shared" si="0"/>
        <v>2576262</v>
      </c>
      <c r="G13" s="4"/>
      <c r="H13" s="95"/>
    </row>
    <row r="14" spans="2:8" x14ac:dyDescent="0.25">
      <c r="B14" s="94"/>
      <c r="C14" s="65" t="s">
        <v>98</v>
      </c>
      <c r="D14" s="4">
        <v>9320694</v>
      </c>
      <c r="E14" s="4"/>
      <c r="F14" s="4">
        <f t="shared" si="0"/>
        <v>9320694</v>
      </c>
      <c r="G14" s="4"/>
      <c r="H14" s="95"/>
    </row>
    <row r="15" spans="2:8" x14ac:dyDescent="0.25">
      <c r="B15" s="94"/>
      <c r="C15" s="65" t="s">
        <v>99</v>
      </c>
      <c r="D15" s="4">
        <v>429317</v>
      </c>
      <c r="E15" s="4"/>
      <c r="F15" s="4"/>
      <c r="G15" s="4">
        <f>D15</f>
        <v>429317</v>
      </c>
      <c r="H15" s="95"/>
    </row>
    <row r="16" spans="2:8" ht="17.25" x14ac:dyDescent="0.4">
      <c r="B16" s="94"/>
      <c r="C16" s="65" t="s">
        <v>67</v>
      </c>
      <c r="D16" s="98">
        <v>1130361</v>
      </c>
      <c r="E16" s="98">
        <v>0</v>
      </c>
      <c r="F16" s="98">
        <v>0</v>
      </c>
      <c r="G16" s="98">
        <f>D16</f>
        <v>1130361</v>
      </c>
      <c r="H16" s="99"/>
    </row>
    <row r="17" spans="2:9" x14ac:dyDescent="0.25">
      <c r="B17" s="94"/>
      <c r="C17" s="65" t="s">
        <v>110</v>
      </c>
      <c r="D17" s="4">
        <f>SUM(D8:D16)</f>
        <v>16508231</v>
      </c>
      <c r="E17" s="4">
        <f t="shared" ref="E17:G17" si="1">SUM(E8:E16)</f>
        <v>212159</v>
      </c>
      <c r="F17" s="4">
        <f t="shared" si="1"/>
        <v>14736394</v>
      </c>
      <c r="G17" s="4">
        <f t="shared" si="1"/>
        <v>1559678</v>
      </c>
      <c r="H17" s="95"/>
      <c r="I17" s="2">
        <f>SUM(E17:G17)</f>
        <v>16508231</v>
      </c>
    </row>
    <row r="18" spans="2:9" x14ac:dyDescent="0.25">
      <c r="B18" s="94"/>
      <c r="C18" s="90" t="s">
        <v>111</v>
      </c>
      <c r="D18" s="100"/>
      <c r="E18" s="101">
        <f>E17/$D$17</f>
        <v>1.2851710155982188E-2</v>
      </c>
      <c r="F18" s="101">
        <f t="shared" ref="F18:G18" si="2">F17/$D$17</f>
        <v>0.89266948106069022</v>
      </c>
      <c r="G18" s="101">
        <f t="shared" si="2"/>
        <v>9.4478808783327539E-2</v>
      </c>
      <c r="H18" s="102"/>
    </row>
    <row r="19" spans="2:9" x14ac:dyDescent="0.25">
      <c r="B19" s="94"/>
      <c r="C19" s="65"/>
      <c r="D19" s="4"/>
      <c r="E19" s="4"/>
      <c r="F19" s="4"/>
      <c r="G19" s="4"/>
      <c r="H19" s="95"/>
    </row>
    <row r="20" spans="2:9" x14ac:dyDescent="0.25">
      <c r="B20" s="94"/>
      <c r="C20" s="65" t="s">
        <v>46</v>
      </c>
      <c r="D20" s="4">
        <v>19654</v>
      </c>
      <c r="E20" s="4">
        <f>$D20*E$18</f>
        <v>252.58751140567392</v>
      </c>
      <c r="F20" s="4">
        <f t="shared" ref="F20:G24" si="3">$D20*F$18</f>
        <v>17544.525980766804</v>
      </c>
      <c r="G20" s="4">
        <f t="shared" si="3"/>
        <v>1856.8865078275194</v>
      </c>
      <c r="H20" s="95"/>
    </row>
    <row r="21" spans="2:9" x14ac:dyDescent="0.25">
      <c r="B21" s="94"/>
      <c r="C21" s="65" t="s">
        <v>68</v>
      </c>
      <c r="D21" s="4">
        <v>65830</v>
      </c>
      <c r="E21" s="4">
        <f t="shared" ref="E21:E24" si="4">$D21*E$18</f>
        <v>846.02807956830748</v>
      </c>
      <c r="F21" s="4">
        <f t="shared" si="3"/>
        <v>58764.431938225236</v>
      </c>
      <c r="G21" s="4">
        <f t="shared" si="3"/>
        <v>6219.5399822064519</v>
      </c>
      <c r="H21" s="95"/>
    </row>
    <row r="22" spans="2:9" x14ac:dyDescent="0.25">
      <c r="B22" s="94"/>
      <c r="C22" s="65" t="s">
        <v>69</v>
      </c>
      <c r="D22" s="4">
        <v>288380</v>
      </c>
      <c r="E22" s="4">
        <f t="shared" si="4"/>
        <v>3706.1761747821433</v>
      </c>
      <c r="F22" s="4">
        <f t="shared" si="3"/>
        <v>257428.02494828185</v>
      </c>
      <c r="G22" s="4">
        <f t="shared" si="3"/>
        <v>27245.798876935994</v>
      </c>
      <c r="H22" s="95"/>
    </row>
    <row r="23" spans="2:9" x14ac:dyDescent="0.25">
      <c r="B23" s="94"/>
      <c r="C23" s="65" t="s">
        <v>70</v>
      </c>
      <c r="D23" s="4">
        <v>185540</v>
      </c>
      <c r="E23" s="4">
        <f t="shared" si="4"/>
        <v>2384.5063023409352</v>
      </c>
      <c r="F23" s="4">
        <f t="shared" si="3"/>
        <v>165625.89551600046</v>
      </c>
      <c r="G23" s="4">
        <f t="shared" si="3"/>
        <v>17529.598181658592</v>
      </c>
      <c r="H23" s="95"/>
    </row>
    <row r="24" spans="2:9" ht="17.25" x14ac:dyDescent="0.4">
      <c r="B24" s="94"/>
      <c r="C24" s="65" t="s">
        <v>100</v>
      </c>
      <c r="D24" s="98">
        <v>303787</v>
      </c>
      <c r="E24" s="98">
        <f t="shared" si="4"/>
        <v>3904.1824731553611</v>
      </c>
      <c r="F24" s="98">
        <f t="shared" si="3"/>
        <v>271181.38364298391</v>
      </c>
      <c r="G24" s="98">
        <f t="shared" si="3"/>
        <v>28701.433883860722</v>
      </c>
      <c r="H24" s="99"/>
    </row>
    <row r="25" spans="2:9" x14ac:dyDescent="0.25">
      <c r="B25" s="94"/>
      <c r="C25" s="65" t="s">
        <v>110</v>
      </c>
      <c r="D25" s="4">
        <f>SUM(D20:D24)</f>
        <v>863191</v>
      </c>
      <c r="E25" s="4">
        <f t="shared" ref="E25:G25" si="5">SUM(E20:E24)</f>
        <v>11093.48054125242</v>
      </c>
      <c r="F25" s="4">
        <f t="shared" si="5"/>
        <v>770544.26202625828</v>
      </c>
      <c r="G25" s="4">
        <f t="shared" si="5"/>
        <v>81553.257432489278</v>
      </c>
      <c r="H25" s="95"/>
      <c r="I25" s="2">
        <f>SUM(E25:G25)</f>
        <v>863191</v>
      </c>
    </row>
    <row r="26" spans="2:9" x14ac:dyDescent="0.25">
      <c r="B26" s="94"/>
      <c r="C26" s="65"/>
      <c r="D26" s="4"/>
      <c r="E26" s="4"/>
      <c r="F26" s="4"/>
      <c r="G26" s="4"/>
      <c r="H26" s="95"/>
    </row>
    <row r="27" spans="2:9" x14ac:dyDescent="0.25">
      <c r="B27" s="94"/>
      <c r="C27" s="90" t="s">
        <v>0</v>
      </c>
      <c r="D27" s="4">
        <f>D17+D25</f>
        <v>17371422</v>
      </c>
      <c r="E27" s="4">
        <f t="shared" ref="E27:G27" si="6">E17+E25</f>
        <v>223252.48054125241</v>
      </c>
      <c r="F27" s="4">
        <f t="shared" si="6"/>
        <v>15506938.262026258</v>
      </c>
      <c r="G27" s="4">
        <f t="shared" si="6"/>
        <v>1641231.2574324892</v>
      </c>
      <c r="H27" s="95"/>
      <c r="I27" s="2">
        <f>SUM(E27:G27)</f>
        <v>17371422</v>
      </c>
    </row>
    <row r="28" spans="2:9" x14ac:dyDescent="0.25">
      <c r="B28" s="103"/>
      <c r="C28" s="27"/>
      <c r="D28" s="27"/>
      <c r="E28" s="27"/>
      <c r="F28" s="27"/>
      <c r="G28" s="27"/>
      <c r="H28" s="104"/>
    </row>
    <row r="33" spans="3:3" x14ac:dyDescent="0.25">
      <c r="C33" s="26"/>
    </row>
  </sheetData>
  <mergeCells count="2">
    <mergeCell ref="C5:G5"/>
    <mergeCell ref="C3:G3"/>
  </mergeCells>
  <printOptions horizontalCentered="1"/>
  <pageMargins left="0.7" right="0.7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G60"/>
  <sheetViews>
    <sheetView workbookViewId="0"/>
  </sheetViews>
  <sheetFormatPr defaultRowHeight="15" x14ac:dyDescent="0.2"/>
  <cols>
    <col min="1" max="1" width="4.5546875" customWidth="1"/>
    <col min="2" max="2" width="1.109375" customWidth="1"/>
    <col min="3" max="3" width="30.21875" customWidth="1"/>
    <col min="4" max="7" width="9.5546875" customWidth="1"/>
    <col min="8" max="8" width="1" customWidth="1"/>
  </cols>
  <sheetData>
    <row r="2" spans="1:16" ht="15.75" x14ac:dyDescent="0.25">
      <c r="A2" s="9"/>
      <c r="B2" s="30"/>
      <c r="C2" s="31"/>
      <c r="D2" s="31"/>
      <c r="E2" s="31"/>
      <c r="F2" s="31"/>
      <c r="G2" s="31"/>
      <c r="H2" s="32"/>
      <c r="I2" s="9"/>
    </row>
    <row r="3" spans="1:16" ht="18.75" x14ac:dyDescent="0.3">
      <c r="A3" s="9"/>
      <c r="B3" s="34"/>
      <c r="C3" s="192" t="s">
        <v>18</v>
      </c>
      <c r="D3" s="192"/>
      <c r="E3" s="192"/>
      <c r="F3" s="192"/>
      <c r="G3" s="192"/>
      <c r="H3" s="37"/>
      <c r="I3" s="9"/>
    </row>
    <row r="4" spans="1:16" ht="18.75" x14ac:dyDescent="0.3">
      <c r="A4" s="9"/>
      <c r="B4" s="34"/>
      <c r="C4" s="69" t="s">
        <v>10</v>
      </c>
      <c r="D4" s="33"/>
      <c r="E4" s="33"/>
      <c r="F4" s="33"/>
      <c r="G4" s="33"/>
      <c r="H4" s="37"/>
      <c r="I4" s="9"/>
    </row>
    <row r="5" spans="1:16" ht="15.75" x14ac:dyDescent="0.25">
      <c r="A5" s="9"/>
      <c r="B5" s="34"/>
      <c r="C5" s="193" t="s">
        <v>93</v>
      </c>
      <c r="D5" s="193"/>
      <c r="E5" s="193"/>
      <c r="F5" s="193"/>
      <c r="G5" s="193"/>
      <c r="H5" s="87"/>
      <c r="I5" s="68"/>
      <c r="J5" s="68"/>
      <c r="K5" s="68"/>
      <c r="L5" s="68"/>
      <c r="M5" s="68"/>
      <c r="N5" s="68"/>
      <c r="O5" s="68"/>
      <c r="P5" s="68"/>
    </row>
    <row r="6" spans="1:16" ht="15.75" x14ac:dyDescent="0.25">
      <c r="A6" s="9"/>
      <c r="B6" s="34"/>
      <c r="C6" s="70"/>
      <c r="D6" s="33"/>
      <c r="E6" s="33"/>
      <c r="F6" s="33"/>
      <c r="G6" s="33"/>
      <c r="H6" s="37"/>
      <c r="I6" s="9"/>
    </row>
    <row r="7" spans="1:16" ht="15.75" x14ac:dyDescent="0.25">
      <c r="A7" s="9"/>
      <c r="B7" s="34"/>
      <c r="C7" s="24"/>
      <c r="D7" s="36" t="s">
        <v>11</v>
      </c>
      <c r="E7" s="36"/>
      <c r="F7" s="36"/>
      <c r="G7" s="36"/>
      <c r="H7" s="37"/>
      <c r="I7" s="9"/>
    </row>
    <row r="8" spans="1:16" ht="15.75" x14ac:dyDescent="0.25">
      <c r="A8" s="9"/>
      <c r="B8" s="34"/>
      <c r="C8" s="24"/>
      <c r="D8" s="36" t="s">
        <v>3</v>
      </c>
      <c r="E8" s="36" t="s">
        <v>13</v>
      </c>
      <c r="F8" s="36" t="s">
        <v>14</v>
      </c>
      <c r="G8" s="36" t="s">
        <v>15</v>
      </c>
      <c r="H8" s="37"/>
      <c r="I8" s="9"/>
    </row>
    <row r="9" spans="1:16" ht="15.75" x14ac:dyDescent="0.25">
      <c r="A9" s="9"/>
      <c r="B9" s="34"/>
      <c r="C9" s="24"/>
      <c r="D9" s="24"/>
      <c r="E9" s="24"/>
      <c r="F9" s="24"/>
      <c r="G9" s="24"/>
      <c r="H9" s="37"/>
      <c r="I9" s="9"/>
    </row>
    <row r="10" spans="1:16" ht="15.75" x14ac:dyDescent="0.25">
      <c r="A10" s="9"/>
      <c r="B10" s="34"/>
      <c r="C10" s="65" t="s">
        <v>64</v>
      </c>
      <c r="D10" s="24">
        <v>9012.0355555555561</v>
      </c>
      <c r="E10" s="75"/>
      <c r="F10" s="24">
        <f>D10</f>
        <v>9012.0355555555561</v>
      </c>
      <c r="G10" s="24"/>
      <c r="H10" s="37"/>
      <c r="I10" s="9"/>
      <c r="K10" s="24"/>
    </row>
    <row r="11" spans="1:16" ht="15.75" x14ac:dyDescent="0.25">
      <c r="A11" s="9"/>
      <c r="B11" s="34"/>
      <c r="C11" s="65" t="s">
        <v>97</v>
      </c>
      <c r="D11" s="24">
        <v>18229.333333333336</v>
      </c>
      <c r="E11" s="24"/>
      <c r="F11" s="24">
        <f>D11</f>
        <v>18229.333333333336</v>
      </c>
      <c r="G11" s="75"/>
      <c r="H11" s="37"/>
      <c r="I11" s="9"/>
      <c r="K11" s="24"/>
    </row>
    <row r="12" spans="1:16" ht="15.75" x14ac:dyDescent="0.25">
      <c r="A12" s="9"/>
      <c r="B12" s="34"/>
      <c r="C12" s="65" t="s">
        <v>65</v>
      </c>
      <c r="D12" s="24">
        <v>27231.3</v>
      </c>
      <c r="E12" s="24"/>
      <c r="F12" s="24">
        <f>D12</f>
        <v>27231.3</v>
      </c>
      <c r="G12" s="24"/>
      <c r="H12" s="37"/>
      <c r="I12" s="9"/>
      <c r="K12" s="24"/>
    </row>
    <row r="13" spans="1:16" ht="15.75" x14ac:dyDescent="0.25">
      <c r="A13" s="9"/>
      <c r="B13" s="34"/>
      <c r="C13" s="65" t="s">
        <v>66</v>
      </c>
      <c r="D13" s="24">
        <v>2651.3523809523813</v>
      </c>
      <c r="E13" s="75"/>
      <c r="F13" s="24">
        <f>D13</f>
        <v>2651.3523809523813</v>
      </c>
      <c r="G13" s="75"/>
      <c r="H13" s="37"/>
      <c r="I13" s="9"/>
      <c r="K13" s="24"/>
    </row>
    <row r="14" spans="1:16" ht="15.75" x14ac:dyDescent="0.25">
      <c r="A14" s="9"/>
      <c r="B14" s="34"/>
      <c r="C14" s="65" t="s">
        <v>101</v>
      </c>
      <c r="D14" s="24">
        <v>60484.2</v>
      </c>
      <c r="E14" s="75"/>
      <c r="F14" s="24">
        <f>D14</f>
        <v>60484.2</v>
      </c>
      <c r="G14" s="24"/>
      <c r="H14" s="37"/>
      <c r="I14" s="9"/>
      <c r="K14" s="24"/>
    </row>
    <row r="15" spans="1:16" ht="15.75" x14ac:dyDescent="0.25">
      <c r="A15" s="9"/>
      <c r="B15" s="34"/>
      <c r="C15" s="65" t="s">
        <v>98</v>
      </c>
      <c r="D15" s="24">
        <v>160162.56254545454</v>
      </c>
      <c r="E15" s="24"/>
      <c r="F15" s="24">
        <f>D15</f>
        <v>160162.56254545454</v>
      </c>
      <c r="G15" s="75"/>
      <c r="H15" s="37"/>
      <c r="I15" s="9"/>
      <c r="K15" s="24"/>
    </row>
    <row r="16" spans="1:16" ht="15.75" x14ac:dyDescent="0.25">
      <c r="A16" s="9"/>
      <c r="B16" s="34"/>
      <c r="C16" s="65" t="s">
        <v>99</v>
      </c>
      <c r="D16" s="24">
        <v>10505.825000000001</v>
      </c>
      <c r="E16" s="24"/>
      <c r="F16" s="24"/>
      <c r="G16" s="24">
        <f>D16</f>
        <v>10505.825000000001</v>
      </c>
      <c r="H16" s="37"/>
      <c r="I16" s="9"/>
      <c r="K16" s="24"/>
    </row>
    <row r="17" spans="1:33" ht="18" x14ac:dyDescent="0.4">
      <c r="A17" s="9"/>
      <c r="B17" s="34"/>
      <c r="C17" s="65" t="s">
        <v>67</v>
      </c>
      <c r="D17" s="43">
        <v>51475.444444444445</v>
      </c>
      <c r="E17" s="43">
        <v>0</v>
      </c>
      <c r="F17" s="43">
        <v>0</v>
      </c>
      <c r="G17" s="43">
        <f>D17</f>
        <v>51475.444444444445</v>
      </c>
      <c r="H17" s="37"/>
      <c r="I17" s="9"/>
      <c r="K17" s="43"/>
    </row>
    <row r="18" spans="1:33" ht="15.75" x14ac:dyDescent="0.25">
      <c r="A18" s="9"/>
      <c r="B18" s="34"/>
      <c r="C18" s="65" t="s">
        <v>110</v>
      </c>
      <c r="D18" s="4">
        <f>SUM(D10:D17)</f>
        <v>339752.05325974023</v>
      </c>
      <c r="E18" s="4">
        <f>SUM(E10:E17)</f>
        <v>0</v>
      </c>
      <c r="F18" s="4">
        <f>SUM(F10:F17)</f>
        <v>277770.78381529578</v>
      </c>
      <c r="G18" s="4">
        <f>SUM(G10:G17)</f>
        <v>61981.26944444445</v>
      </c>
      <c r="H18" s="37"/>
      <c r="I18" s="9">
        <f>SUM(E18:G18)</f>
        <v>339752.05325974023</v>
      </c>
    </row>
    <row r="19" spans="1:33" ht="15.75" x14ac:dyDescent="0.25">
      <c r="A19" s="9"/>
      <c r="B19" s="34"/>
      <c r="C19" s="90" t="s">
        <v>111</v>
      </c>
      <c r="D19" s="100"/>
      <c r="E19" s="101">
        <f>E18/$D$18</f>
        <v>0</v>
      </c>
      <c r="F19" s="101">
        <f t="shared" ref="F19:G19" si="0">F18/$D$18</f>
        <v>0.8175691100325454</v>
      </c>
      <c r="G19" s="101">
        <f t="shared" si="0"/>
        <v>0.1824308899674546</v>
      </c>
      <c r="H19" s="37"/>
      <c r="I19" s="9"/>
    </row>
    <row r="20" spans="1:33" ht="15.75" x14ac:dyDescent="0.25">
      <c r="A20" s="9"/>
      <c r="B20" s="34"/>
      <c r="C20" s="65"/>
      <c r="D20" s="24"/>
      <c r="E20" s="24"/>
      <c r="F20" s="24"/>
      <c r="G20" s="24"/>
      <c r="H20" s="37"/>
      <c r="I20" s="9"/>
    </row>
    <row r="21" spans="1:33" ht="15.75" x14ac:dyDescent="0.25">
      <c r="A21" s="9"/>
      <c r="B21" s="34"/>
      <c r="C21" s="65" t="s">
        <v>46</v>
      </c>
      <c r="D21" s="24">
        <v>393.08</v>
      </c>
      <c r="E21" s="24">
        <f t="shared" ref="E21:E22" si="1">$D21*E$19</f>
        <v>0</v>
      </c>
      <c r="F21" s="24">
        <f t="shared" ref="F21:G25" si="2">$D21*F$19</f>
        <v>321.37006577159292</v>
      </c>
      <c r="G21" s="24">
        <f t="shared" si="2"/>
        <v>71.70993422840705</v>
      </c>
      <c r="H21" s="37"/>
      <c r="I21" s="9"/>
      <c r="K21" s="24"/>
    </row>
    <row r="22" spans="1:33" ht="15.75" x14ac:dyDescent="0.25">
      <c r="A22" s="9"/>
      <c r="B22" s="34"/>
      <c r="C22" s="65" t="s">
        <v>68</v>
      </c>
      <c r="D22" s="24">
        <v>3249.7</v>
      </c>
      <c r="E22" s="24">
        <f t="shared" si="1"/>
        <v>0</v>
      </c>
      <c r="F22" s="24">
        <f t="shared" si="2"/>
        <v>2656.8543368727628</v>
      </c>
      <c r="G22" s="24">
        <f t="shared" si="2"/>
        <v>592.84566312723723</v>
      </c>
      <c r="H22" s="37"/>
      <c r="I22" s="9"/>
      <c r="K22" s="24"/>
    </row>
    <row r="23" spans="1:33" ht="15.75" x14ac:dyDescent="0.25">
      <c r="A23" s="9"/>
      <c r="B23" s="34"/>
      <c r="C23" s="65" t="s">
        <v>69</v>
      </c>
      <c r="D23" s="24">
        <v>27425.142857142859</v>
      </c>
      <c r="E23" s="24">
        <f>$D23*E$19</f>
        <v>0</v>
      </c>
      <c r="F23" s="24">
        <f t="shared" si="2"/>
        <v>22421.949638229707</v>
      </c>
      <c r="G23" s="24">
        <f t="shared" si="2"/>
        <v>5003.1932189131521</v>
      </c>
      <c r="H23" s="37"/>
      <c r="I23" s="9"/>
      <c r="K23" s="24"/>
    </row>
    <row r="24" spans="1:33" ht="15.75" x14ac:dyDescent="0.25">
      <c r="A24" s="9"/>
      <c r="B24" s="34"/>
      <c r="C24" s="65" t="s">
        <v>70</v>
      </c>
      <c r="D24" s="24">
        <v>6915.44</v>
      </c>
      <c r="E24" s="24">
        <f t="shared" ref="E24:E25" si="3">$D24*E$19</f>
        <v>0</v>
      </c>
      <c r="F24" s="24">
        <f t="shared" si="2"/>
        <v>5653.8501262834652</v>
      </c>
      <c r="G24" s="24">
        <f t="shared" si="2"/>
        <v>1261.5898737165342</v>
      </c>
      <c r="H24" s="37"/>
      <c r="I24" s="9"/>
      <c r="K24" s="24"/>
    </row>
    <row r="25" spans="1:33" ht="18" x14ac:dyDescent="0.4">
      <c r="A25" s="9"/>
      <c r="B25" s="34"/>
      <c r="C25" s="65" t="s">
        <v>100</v>
      </c>
      <c r="D25" s="43">
        <v>11725.711746031748</v>
      </c>
      <c r="E25" s="43">
        <f t="shared" si="3"/>
        <v>0</v>
      </c>
      <c r="F25" s="43">
        <f t="shared" si="2"/>
        <v>9586.5797167013407</v>
      </c>
      <c r="G25" s="43">
        <f t="shared" si="2"/>
        <v>2139.1320293304079</v>
      </c>
      <c r="H25" s="37"/>
      <c r="I25" s="9"/>
      <c r="K25" s="43"/>
    </row>
    <row r="26" spans="1:33" ht="15.75" x14ac:dyDescent="0.25">
      <c r="A26" s="9"/>
      <c r="B26" s="34"/>
      <c r="C26" s="65" t="s">
        <v>110</v>
      </c>
      <c r="D26" s="4">
        <f>SUM(D21:D25)</f>
        <v>49709.074603174602</v>
      </c>
      <c r="E26" s="4">
        <f t="shared" ref="E26:G26" si="4">SUM(E21:E25)</f>
        <v>0</v>
      </c>
      <c r="F26" s="4">
        <f t="shared" si="4"/>
        <v>40640.603883858872</v>
      </c>
      <c r="G26" s="4">
        <f t="shared" si="4"/>
        <v>9068.4707193157392</v>
      </c>
      <c r="H26" s="37"/>
      <c r="I26" s="9"/>
    </row>
    <row r="27" spans="1:33" ht="15.75" x14ac:dyDescent="0.25">
      <c r="A27" s="9"/>
      <c r="B27" s="34"/>
      <c r="C27" s="24"/>
      <c r="D27" s="24"/>
      <c r="E27" s="24"/>
      <c r="F27" s="24"/>
      <c r="G27" s="24"/>
      <c r="H27" s="37"/>
      <c r="I27" s="9"/>
    </row>
    <row r="28" spans="1:33" ht="15.75" x14ac:dyDescent="0.25">
      <c r="A28" s="9"/>
      <c r="B28" s="34"/>
      <c r="C28" s="38" t="s">
        <v>17</v>
      </c>
      <c r="D28" s="38">
        <f>D18+D26</f>
        <v>389461.12786291481</v>
      </c>
      <c r="E28" s="38">
        <f t="shared" ref="E28:G28" si="5">E18+E26</f>
        <v>0</v>
      </c>
      <c r="F28" s="38">
        <f t="shared" si="5"/>
        <v>318411.38769915467</v>
      </c>
      <c r="G28" s="38">
        <f t="shared" si="5"/>
        <v>71049.740163760187</v>
      </c>
      <c r="H28" s="37"/>
      <c r="I28" s="9">
        <f>SUM(E28:G28)</f>
        <v>389461.12786291487</v>
      </c>
    </row>
    <row r="29" spans="1:33" ht="15.75" x14ac:dyDescent="0.25">
      <c r="A29" s="9"/>
      <c r="B29" s="39"/>
      <c r="C29" s="10"/>
      <c r="D29" s="10"/>
      <c r="E29" s="10"/>
      <c r="F29" s="10"/>
      <c r="G29" s="10"/>
      <c r="H29" s="40"/>
      <c r="I29" s="9"/>
    </row>
    <row r="30" spans="1:33" ht="15.75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33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x14ac:dyDescent="0.25">
      <c r="A32" s="1"/>
      <c r="B32" s="1"/>
      <c r="C32" s="14"/>
      <c r="D32" s="25"/>
      <c r="E32" s="25"/>
      <c r="F32" s="25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x14ac:dyDescent="0.25">
      <c r="A33" s="1"/>
      <c r="B33" s="1"/>
      <c r="C33" s="1"/>
      <c r="D33" s="1"/>
      <c r="E33" s="26"/>
      <c r="F33" s="26"/>
      <c r="G33" s="2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x14ac:dyDescent="0.25">
      <c r="A34" s="1"/>
      <c r="B34" s="1"/>
      <c r="C34" s="1"/>
      <c r="D34" s="1"/>
      <c r="E34" s="6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</sheetData>
  <mergeCells count="2">
    <mergeCell ref="C3:G3"/>
    <mergeCell ref="C5:G5"/>
  </mergeCells>
  <printOptions horizontalCentered="1"/>
  <pageMargins left="0.7" right="0.7" top="1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1E53-4129-40ED-874B-305DE2975B53}">
  <dimension ref="B2:J50"/>
  <sheetViews>
    <sheetView workbookViewId="0"/>
  </sheetViews>
  <sheetFormatPr defaultColWidth="8.88671875" defaultRowHeight="15" x14ac:dyDescent="0.25"/>
  <cols>
    <col min="1" max="1" width="8.88671875" style="2"/>
    <col min="2" max="2" width="18.5546875" style="2" customWidth="1"/>
    <col min="3" max="3" width="10.5546875" style="2" customWidth="1"/>
    <col min="4" max="9" width="9.77734375" style="2" customWidth="1"/>
    <col min="10" max="16384" width="8.88671875" style="2"/>
  </cols>
  <sheetData>
    <row r="2" spans="2:10" ht="17.25" x14ac:dyDescent="0.4">
      <c r="B2" s="207" t="s">
        <v>189</v>
      </c>
      <c r="C2" s="207"/>
    </row>
    <row r="3" spans="2:10" ht="17.25" x14ac:dyDescent="0.4">
      <c r="C3" s="76" t="s">
        <v>19</v>
      </c>
      <c r="D3" s="76" t="s">
        <v>92</v>
      </c>
      <c r="E3" s="76" t="s">
        <v>89</v>
      </c>
      <c r="F3" s="76" t="s">
        <v>90</v>
      </c>
      <c r="G3" s="76" t="s">
        <v>15</v>
      </c>
      <c r="H3" s="76" t="s">
        <v>91</v>
      </c>
      <c r="I3" s="76"/>
    </row>
    <row r="4" spans="2:10" x14ac:dyDescent="0.25">
      <c r="B4" s="2" t="s">
        <v>72</v>
      </c>
      <c r="C4" s="2">
        <v>478016</v>
      </c>
      <c r="E4" s="2">
        <v>38046</v>
      </c>
      <c r="F4" s="2">
        <v>234627</v>
      </c>
      <c r="G4" s="2">
        <v>97558</v>
      </c>
      <c r="H4" s="2">
        <v>107785</v>
      </c>
      <c r="J4" s="2">
        <f>SUM(D4:H4)</f>
        <v>478016</v>
      </c>
    </row>
    <row r="5" spans="2:10" x14ac:dyDescent="0.25">
      <c r="B5" s="208" t="s">
        <v>114</v>
      </c>
      <c r="C5" s="209"/>
      <c r="D5" s="210">
        <f>D4/$C4</f>
        <v>0</v>
      </c>
      <c r="E5" s="210">
        <f t="shared" ref="E5:H5" si="0">E4/$C4</f>
        <v>7.9591478109519345E-2</v>
      </c>
      <c r="F5" s="210">
        <f t="shared" si="0"/>
        <v>0.4908350348105503</v>
      </c>
      <c r="G5" s="210">
        <f t="shared" si="0"/>
        <v>0.20408940286517607</v>
      </c>
      <c r="H5" s="210">
        <f t="shared" si="0"/>
        <v>0.22548408421475433</v>
      </c>
    </row>
    <row r="6" spans="2:10" x14ac:dyDescent="0.25">
      <c r="B6" s="2" t="s">
        <v>73</v>
      </c>
      <c r="C6" s="2">
        <v>16050</v>
      </c>
      <c r="H6" s="2">
        <v>16050</v>
      </c>
    </row>
    <row r="7" spans="2:10" x14ac:dyDescent="0.25">
      <c r="B7" s="2" t="s">
        <v>74</v>
      </c>
      <c r="C7" s="2">
        <v>368079</v>
      </c>
      <c r="D7" s="2">
        <f>$C7*D$5</f>
        <v>0</v>
      </c>
      <c r="E7" s="2">
        <f t="shared" ref="E7:H7" si="1">$C7*E$5</f>
        <v>29295.95167107377</v>
      </c>
      <c r="F7" s="2">
        <f t="shared" si="1"/>
        <v>180666.06877803255</v>
      </c>
      <c r="G7" s="2">
        <f t="shared" si="1"/>
        <v>75121.023317211148</v>
      </c>
      <c r="H7" s="2">
        <f t="shared" si="1"/>
        <v>82995.956233682562</v>
      </c>
    </row>
    <row r="8" spans="2:10" x14ac:dyDescent="0.25">
      <c r="B8" s="2" t="s">
        <v>75</v>
      </c>
      <c r="C8" s="2">
        <v>4910</v>
      </c>
      <c r="D8" s="2">
        <v>4910</v>
      </c>
    </row>
    <row r="9" spans="2:10" x14ac:dyDescent="0.25">
      <c r="B9" s="2" t="s">
        <v>76</v>
      </c>
      <c r="C9" s="2">
        <v>164482</v>
      </c>
      <c r="D9" s="2">
        <v>54376</v>
      </c>
      <c r="E9" s="2">
        <v>86978</v>
      </c>
      <c r="F9" s="2">
        <v>19035</v>
      </c>
      <c r="H9" s="2">
        <v>4093</v>
      </c>
    </row>
    <row r="10" spans="2:10" x14ac:dyDescent="0.25">
      <c r="B10" s="2" t="s">
        <v>62</v>
      </c>
      <c r="C10" s="2">
        <v>8134</v>
      </c>
      <c r="E10" s="2">
        <v>8134</v>
      </c>
    </row>
    <row r="11" spans="2:10" x14ac:dyDescent="0.25">
      <c r="B11" s="2" t="s">
        <v>77</v>
      </c>
      <c r="C11" s="2">
        <v>87761</v>
      </c>
      <c r="E11" s="2">
        <v>13170</v>
      </c>
      <c r="F11" s="2">
        <v>47897</v>
      </c>
      <c r="G11" s="2">
        <v>26694</v>
      </c>
      <c r="H11" s="2">
        <v>0</v>
      </c>
    </row>
    <row r="12" spans="2:10" x14ac:dyDescent="0.25">
      <c r="B12" s="2" t="s">
        <v>78</v>
      </c>
      <c r="C12" s="2">
        <v>13220</v>
      </c>
      <c r="H12" s="2">
        <v>13220</v>
      </c>
    </row>
    <row r="13" spans="2:10" x14ac:dyDescent="0.25">
      <c r="B13" s="2" t="s">
        <v>79</v>
      </c>
      <c r="C13" s="2">
        <v>3345</v>
      </c>
      <c r="H13" s="2">
        <v>3345</v>
      </c>
    </row>
    <row r="14" spans="2:10" x14ac:dyDescent="0.25">
      <c r="B14" s="2" t="s">
        <v>80</v>
      </c>
      <c r="C14" s="2">
        <v>11167</v>
      </c>
      <c r="E14" s="2">
        <v>4122</v>
      </c>
      <c r="F14" s="2">
        <v>7045</v>
      </c>
    </row>
    <row r="15" spans="2:10" x14ac:dyDescent="0.25">
      <c r="B15" s="2" t="s">
        <v>81</v>
      </c>
      <c r="C15" s="2">
        <v>40115</v>
      </c>
      <c r="D15" s="2">
        <v>16551</v>
      </c>
      <c r="F15" s="2">
        <v>4930</v>
      </c>
      <c r="G15" s="2">
        <v>7560</v>
      </c>
      <c r="H15" s="2">
        <v>11074</v>
      </c>
    </row>
    <row r="16" spans="2:10" x14ac:dyDescent="0.25">
      <c r="B16" s="2" t="s">
        <v>82</v>
      </c>
      <c r="C16" s="2">
        <v>151</v>
      </c>
      <c r="H16" s="2">
        <v>151</v>
      </c>
    </row>
    <row r="17" spans="2:9" x14ac:dyDescent="0.25">
      <c r="B17" s="2" t="s">
        <v>83</v>
      </c>
      <c r="C17" s="2">
        <v>4668</v>
      </c>
      <c r="F17" s="2">
        <v>4668</v>
      </c>
    </row>
    <row r="18" spans="2:9" x14ac:dyDescent="0.25">
      <c r="B18" s="2" t="s">
        <v>84</v>
      </c>
      <c r="C18" s="2">
        <v>22980</v>
      </c>
      <c r="F18" s="2">
        <v>10853</v>
      </c>
      <c r="G18" s="2">
        <v>10852</v>
      </c>
      <c r="H18" s="2">
        <v>1275</v>
      </c>
    </row>
    <row r="19" spans="2:9" x14ac:dyDescent="0.25">
      <c r="B19" s="2" t="s">
        <v>85</v>
      </c>
      <c r="C19" s="2">
        <v>25282</v>
      </c>
      <c r="H19" s="2">
        <v>25282</v>
      </c>
    </row>
    <row r="20" spans="2:9" x14ac:dyDescent="0.25">
      <c r="B20" s="2" t="s">
        <v>86</v>
      </c>
      <c r="C20" s="2">
        <v>8420</v>
      </c>
      <c r="D20" s="2">
        <f>$C20*D$5</f>
        <v>0</v>
      </c>
      <c r="E20" s="2">
        <f t="shared" ref="E20:H20" si="2">$C20*E$5</f>
        <v>670.16024568215289</v>
      </c>
      <c r="F20" s="2">
        <f t="shared" si="2"/>
        <v>4132.8309931048334</v>
      </c>
      <c r="G20" s="2">
        <f t="shared" si="2"/>
        <v>1718.4327721247826</v>
      </c>
      <c r="H20" s="2">
        <f t="shared" si="2"/>
        <v>1898.5759890882314</v>
      </c>
    </row>
    <row r="21" spans="2:9" x14ac:dyDescent="0.25">
      <c r="B21" s="2" t="s">
        <v>87</v>
      </c>
      <c r="C21" s="2">
        <v>2101</v>
      </c>
      <c r="H21" s="2">
        <v>2101</v>
      </c>
    </row>
    <row r="22" spans="2:9" x14ac:dyDescent="0.25">
      <c r="B22" s="2" t="s">
        <v>27</v>
      </c>
      <c r="C22" s="2">
        <v>22772</v>
      </c>
      <c r="G22" s="2">
        <v>22772</v>
      </c>
    </row>
    <row r="23" spans="2:9" ht="17.25" x14ac:dyDescent="0.4">
      <c r="B23" s="2" t="s">
        <v>88</v>
      </c>
      <c r="C23" s="21">
        <v>25493</v>
      </c>
      <c r="D23" s="21">
        <v>0</v>
      </c>
      <c r="E23" s="21">
        <v>1545</v>
      </c>
      <c r="F23" s="21">
        <v>2160</v>
      </c>
      <c r="G23" s="21">
        <v>13162</v>
      </c>
      <c r="H23" s="21">
        <v>8626</v>
      </c>
    </row>
    <row r="24" spans="2:9" x14ac:dyDescent="0.25">
      <c r="B24" s="2" t="s">
        <v>9</v>
      </c>
      <c r="C24" s="2">
        <f t="shared" ref="C24:H24" si="3">SUM(C4:C23)</f>
        <v>1307146</v>
      </c>
      <c r="D24" s="2">
        <f t="shared" si="3"/>
        <v>75837</v>
      </c>
      <c r="E24" s="2">
        <f t="shared" si="3"/>
        <v>181961.19150823404</v>
      </c>
      <c r="F24" s="2">
        <f t="shared" si="3"/>
        <v>516014.39060617221</v>
      </c>
      <c r="G24" s="2">
        <f t="shared" si="3"/>
        <v>255437.66017873876</v>
      </c>
      <c r="H24" s="2">
        <f t="shared" si="3"/>
        <v>277896.75770685502</v>
      </c>
      <c r="I24" s="2">
        <f>SUM(D24:H24)</f>
        <v>1307147</v>
      </c>
    </row>
    <row r="27" spans="2:9" ht="17.25" x14ac:dyDescent="0.4">
      <c r="B27" s="109" t="s">
        <v>115</v>
      </c>
    </row>
    <row r="28" spans="2:9" ht="17.25" x14ac:dyDescent="0.4">
      <c r="C28" s="76" t="s">
        <v>19</v>
      </c>
      <c r="D28" s="76" t="s">
        <v>92</v>
      </c>
      <c r="E28" s="76" t="s">
        <v>89</v>
      </c>
      <c r="F28" s="76" t="s">
        <v>90</v>
      </c>
      <c r="G28" s="76" t="s">
        <v>15</v>
      </c>
      <c r="H28" s="76" t="s">
        <v>91</v>
      </c>
      <c r="I28" s="76"/>
    </row>
    <row r="29" spans="2:9" x14ac:dyDescent="0.25">
      <c r="B29" s="2" t="s">
        <v>72</v>
      </c>
      <c r="C29" s="2">
        <v>507649.40149999998</v>
      </c>
      <c r="D29" s="110">
        <f>$C29*D$5</f>
        <v>0</v>
      </c>
      <c r="E29" s="110">
        <f t="shared" ref="E29:H29" si="4">$C29*E$5</f>
        <v>40404.566226797848</v>
      </c>
      <c r="F29" s="110">
        <f t="shared" si="4"/>
        <v>249172.11165680751</v>
      </c>
      <c r="G29" s="110">
        <f t="shared" si="4"/>
        <v>103605.86321699902</v>
      </c>
      <c r="H29" s="110">
        <f t="shared" si="4"/>
        <v>114466.86039939562</v>
      </c>
      <c r="I29" s="112">
        <f>SUM(D29:H29)</f>
        <v>507649.40149999998</v>
      </c>
    </row>
    <row r="30" spans="2:9" x14ac:dyDescent="0.25">
      <c r="B30" s="2" t="s">
        <v>73</v>
      </c>
      <c r="C30" s="2">
        <v>16050</v>
      </c>
      <c r="D30" s="110"/>
      <c r="E30" s="110"/>
      <c r="F30" s="110"/>
      <c r="G30" s="110"/>
      <c r="H30" s="110">
        <v>16050</v>
      </c>
      <c r="I30" s="2">
        <f>SUM(D30:H30)</f>
        <v>16050</v>
      </c>
    </row>
    <row r="31" spans="2:9" x14ac:dyDescent="0.25">
      <c r="B31" s="2" t="s">
        <v>116</v>
      </c>
      <c r="C31" s="2">
        <v>231347.36571899999</v>
      </c>
      <c r="D31" s="110">
        <f>$C31*D$5</f>
        <v>0</v>
      </c>
      <c r="E31" s="110">
        <f t="shared" ref="E31:H31" si="5">$C31*E$5</f>
        <v>18413.278794318754</v>
      </c>
      <c r="F31" s="110">
        <f t="shared" si="5"/>
        <v>113553.39230601447</v>
      </c>
      <c r="G31" s="110">
        <f t="shared" si="5"/>
        <v>47215.545724022217</v>
      </c>
      <c r="H31" s="110">
        <f t="shared" si="5"/>
        <v>52165.148894644561</v>
      </c>
      <c r="I31" s="112">
        <f>SUM(D31:H31)</f>
        <v>231347.36571899999</v>
      </c>
    </row>
    <row r="32" spans="2:9" x14ac:dyDescent="0.25">
      <c r="B32" s="2" t="s">
        <v>75</v>
      </c>
      <c r="C32" s="2">
        <v>4910</v>
      </c>
      <c r="D32" s="110">
        <v>4910</v>
      </c>
      <c r="E32" s="110"/>
      <c r="F32" s="110"/>
      <c r="G32" s="110"/>
      <c r="H32" s="110"/>
      <c r="I32" s="2">
        <f t="shared" ref="I32:I47" si="6">SUM(D32:H32)</f>
        <v>4910</v>
      </c>
    </row>
    <row r="33" spans="2:10" x14ac:dyDescent="0.25">
      <c r="B33" s="2" t="s">
        <v>76</v>
      </c>
      <c r="C33" s="2">
        <v>164482</v>
      </c>
      <c r="D33" s="110">
        <v>141354</v>
      </c>
      <c r="E33" s="110"/>
      <c r="F33" s="110">
        <v>19035</v>
      </c>
      <c r="G33" s="110"/>
      <c r="H33" s="110">
        <v>4093</v>
      </c>
      <c r="I33" s="2">
        <f t="shared" si="6"/>
        <v>164482</v>
      </c>
    </row>
    <row r="34" spans="2:10" x14ac:dyDescent="0.25">
      <c r="B34" s="2" t="s">
        <v>62</v>
      </c>
      <c r="C34" s="2">
        <v>8134</v>
      </c>
      <c r="D34" s="110"/>
      <c r="E34" s="110">
        <v>8134</v>
      </c>
      <c r="F34" s="110"/>
      <c r="G34" s="110"/>
      <c r="H34" s="110"/>
      <c r="I34" s="2">
        <f t="shared" si="6"/>
        <v>8134</v>
      </c>
    </row>
    <row r="35" spans="2:10" x14ac:dyDescent="0.25">
      <c r="B35" s="2" t="s">
        <v>77</v>
      </c>
      <c r="C35" s="2">
        <v>87761</v>
      </c>
      <c r="D35" s="110"/>
      <c r="E35" s="110">
        <f>E11</f>
        <v>13170</v>
      </c>
      <c r="F35" s="110">
        <f t="shared" ref="F35:G35" si="7">F11</f>
        <v>47897</v>
      </c>
      <c r="G35" s="110">
        <f t="shared" si="7"/>
        <v>26694</v>
      </c>
      <c r="H35" s="110">
        <v>0</v>
      </c>
      <c r="I35" s="2">
        <f t="shared" si="6"/>
        <v>87761</v>
      </c>
    </row>
    <row r="36" spans="2:10" x14ac:dyDescent="0.25">
      <c r="B36" s="2" t="s">
        <v>78</v>
      </c>
      <c r="C36" s="2">
        <v>16186.666666666701</v>
      </c>
      <c r="D36" s="110"/>
      <c r="E36" s="110"/>
      <c r="F36" s="110"/>
      <c r="G36" s="110"/>
      <c r="H36" s="110">
        <f>C36</f>
        <v>16186.666666666701</v>
      </c>
      <c r="I36" s="2">
        <f t="shared" si="6"/>
        <v>16186.666666666701</v>
      </c>
    </row>
    <row r="37" spans="2:10" x14ac:dyDescent="0.25">
      <c r="B37" s="2" t="s">
        <v>79</v>
      </c>
      <c r="C37" s="2">
        <v>3345</v>
      </c>
      <c r="D37" s="110"/>
      <c r="E37" s="110"/>
      <c r="F37" s="110"/>
      <c r="G37" s="110"/>
      <c r="H37" s="110">
        <v>3345</v>
      </c>
      <c r="I37" s="2">
        <f t="shared" si="6"/>
        <v>3345</v>
      </c>
    </row>
    <row r="38" spans="2:10" x14ac:dyDescent="0.25">
      <c r="B38" s="2" t="s">
        <v>80</v>
      </c>
      <c r="C38" s="2">
        <v>11167</v>
      </c>
      <c r="D38" s="110"/>
      <c r="E38" s="110">
        <f>E14</f>
        <v>4122</v>
      </c>
      <c r="F38" s="110">
        <f>F14</f>
        <v>7045</v>
      </c>
      <c r="G38" s="110"/>
      <c r="H38" s="110"/>
      <c r="I38" s="2">
        <f t="shared" si="6"/>
        <v>11167</v>
      </c>
    </row>
    <row r="39" spans="2:10" x14ac:dyDescent="0.25">
      <c r="B39" s="2" t="s">
        <v>81</v>
      </c>
      <c r="C39" s="2">
        <v>40115</v>
      </c>
      <c r="D39" s="110">
        <v>16551</v>
      </c>
      <c r="E39" s="110"/>
      <c r="F39" s="110">
        <v>4930</v>
      </c>
      <c r="G39" s="110">
        <v>7560</v>
      </c>
      <c r="H39" s="110">
        <v>11074</v>
      </c>
      <c r="I39" s="2">
        <f t="shared" si="6"/>
        <v>40115</v>
      </c>
    </row>
    <row r="40" spans="2:10" x14ac:dyDescent="0.25">
      <c r="B40" s="2" t="s">
        <v>82</v>
      </c>
      <c r="C40" s="2">
        <v>151</v>
      </c>
      <c r="D40" s="110"/>
      <c r="E40" s="110"/>
      <c r="F40" s="110"/>
      <c r="G40" s="110"/>
      <c r="H40" s="110">
        <v>151</v>
      </c>
      <c r="I40" s="2">
        <f t="shared" si="6"/>
        <v>151</v>
      </c>
    </row>
    <row r="41" spans="2:10" x14ac:dyDescent="0.25">
      <c r="B41" s="2" t="s">
        <v>83</v>
      </c>
      <c r="C41" s="2">
        <v>4668</v>
      </c>
      <c r="D41" s="110"/>
      <c r="E41" s="110"/>
      <c r="F41" s="110">
        <v>4668</v>
      </c>
      <c r="G41" s="110"/>
      <c r="H41" s="110"/>
      <c r="I41" s="2">
        <f t="shared" si="6"/>
        <v>4668</v>
      </c>
    </row>
    <row r="42" spans="2:10" x14ac:dyDescent="0.25">
      <c r="B42" s="2" t="s">
        <v>84</v>
      </c>
      <c r="C42" s="2">
        <v>22980</v>
      </c>
      <c r="D42" s="110"/>
      <c r="E42" s="110"/>
      <c r="F42" s="110">
        <f>F18</f>
        <v>10853</v>
      </c>
      <c r="G42" s="110">
        <f>G18</f>
        <v>10852</v>
      </c>
      <c r="H42" s="110">
        <f>H18</f>
        <v>1275</v>
      </c>
      <c r="I42" s="2">
        <f t="shared" si="6"/>
        <v>22980</v>
      </c>
    </row>
    <row r="43" spans="2:10" x14ac:dyDescent="0.25">
      <c r="B43" s="2" t="s">
        <v>85</v>
      </c>
      <c r="C43" s="2">
        <v>25282</v>
      </c>
      <c r="D43" s="110"/>
      <c r="E43" s="110"/>
      <c r="F43" s="110"/>
      <c r="G43" s="110"/>
      <c r="H43" s="110">
        <v>25282</v>
      </c>
      <c r="I43" s="2">
        <f t="shared" si="6"/>
        <v>25282</v>
      </c>
    </row>
    <row r="44" spans="2:10" x14ac:dyDescent="0.25">
      <c r="B44" s="2" t="s">
        <v>86</v>
      </c>
      <c r="C44" s="2">
        <v>8420</v>
      </c>
      <c r="D44" s="110">
        <f>$C44*D$5</f>
        <v>0</v>
      </c>
      <c r="E44" s="110">
        <f t="shared" ref="E44:H44" si="8">$C44*E$5</f>
        <v>670.16024568215289</v>
      </c>
      <c r="F44" s="110">
        <f t="shared" si="8"/>
        <v>4132.8309931048334</v>
      </c>
      <c r="G44" s="110">
        <f t="shared" si="8"/>
        <v>1718.4327721247826</v>
      </c>
      <c r="H44" s="110">
        <f t="shared" si="8"/>
        <v>1898.5759890882314</v>
      </c>
      <c r="I44" s="112">
        <f t="shared" si="6"/>
        <v>8420</v>
      </c>
    </row>
    <row r="45" spans="2:10" x14ac:dyDescent="0.25">
      <c r="B45" s="2" t="s">
        <v>87</v>
      </c>
      <c r="C45" s="2">
        <v>2101</v>
      </c>
      <c r="D45" s="110"/>
      <c r="E45" s="110"/>
      <c r="F45" s="110"/>
      <c r="G45" s="110"/>
      <c r="H45" s="110">
        <v>2101</v>
      </c>
      <c r="I45" s="2">
        <f t="shared" si="6"/>
        <v>2101</v>
      </c>
      <c r="J45" s="2">
        <f>SUM(I43:I45)</f>
        <v>35803</v>
      </c>
    </row>
    <row r="46" spans="2:10" x14ac:dyDescent="0.25">
      <c r="B46" s="2" t="s">
        <v>27</v>
      </c>
      <c r="C46" s="2">
        <v>22772</v>
      </c>
      <c r="D46" s="110"/>
      <c r="E46" s="110"/>
      <c r="F46" s="110"/>
      <c r="G46" s="110">
        <v>22772</v>
      </c>
      <c r="H46" s="110"/>
      <c r="I46" s="2">
        <f t="shared" si="6"/>
        <v>22772</v>
      </c>
    </row>
    <row r="47" spans="2:10" ht="17.25" x14ac:dyDescent="0.4">
      <c r="B47" s="2" t="s">
        <v>88</v>
      </c>
      <c r="C47" s="21">
        <v>25493</v>
      </c>
      <c r="D47" s="111">
        <v>0</v>
      </c>
      <c r="E47" s="111">
        <f>E23</f>
        <v>1545</v>
      </c>
      <c r="F47" s="111">
        <f t="shared" ref="F47:H47" si="9">F23</f>
        <v>2160</v>
      </c>
      <c r="G47" s="111">
        <f t="shared" si="9"/>
        <v>13162</v>
      </c>
      <c r="H47" s="111">
        <f t="shared" si="9"/>
        <v>8626</v>
      </c>
      <c r="I47" s="21">
        <f t="shared" si="6"/>
        <v>25493</v>
      </c>
    </row>
    <row r="48" spans="2:10" x14ac:dyDescent="0.25">
      <c r="B48" s="2" t="s">
        <v>9</v>
      </c>
      <c r="C48" s="2">
        <f t="shared" ref="C48:H48" si="10">SUM(C29:C47)</f>
        <v>1203014.4338856668</v>
      </c>
      <c r="D48" s="2">
        <f t="shared" si="10"/>
        <v>162815</v>
      </c>
      <c r="E48" s="2">
        <f t="shared" si="10"/>
        <v>86459.005266798762</v>
      </c>
      <c r="F48" s="2">
        <f t="shared" si="10"/>
        <v>463446.33495592681</v>
      </c>
      <c r="G48" s="2">
        <f t="shared" si="10"/>
        <v>233579.84171314602</v>
      </c>
      <c r="H48" s="2">
        <f t="shared" si="10"/>
        <v>256714.25194979511</v>
      </c>
      <c r="I48" s="2">
        <f>SUM(I29:I47)</f>
        <v>1203014.4338856668</v>
      </c>
      <c r="J48" s="2">
        <f>SUM(D48:H48)</f>
        <v>1203014.4338856668</v>
      </c>
    </row>
    <row r="49" spans="3:6" ht="17.25" x14ac:dyDescent="0.4">
      <c r="C49" s="21">
        <v>389461.12786291499</v>
      </c>
    </row>
    <row r="50" spans="3:6" x14ac:dyDescent="0.25">
      <c r="C50" s="2">
        <f>C48+C49</f>
        <v>1592475.5617485817</v>
      </c>
      <c r="E50" s="2">
        <f>D48+E48</f>
        <v>249274.00526679878</v>
      </c>
      <c r="F50" s="2">
        <f>SUM(D29:E47)</f>
        <v>249274.00526679875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40"/>
  <sheetViews>
    <sheetView workbookViewId="0"/>
  </sheetViews>
  <sheetFormatPr defaultRowHeight="15.75" x14ac:dyDescent="0.25"/>
  <cols>
    <col min="2" max="2" width="1.77734375" customWidth="1"/>
    <col min="3" max="3" width="26.109375" customWidth="1"/>
    <col min="4" max="4" width="10.21875" bestFit="1" customWidth="1"/>
    <col min="6" max="8" width="9" bestFit="1" customWidth="1"/>
    <col min="9" max="9" width="1.77734375" customWidth="1"/>
    <col min="10" max="10" width="10.21875" style="2" bestFit="1" customWidth="1"/>
  </cols>
  <sheetData>
    <row r="2" spans="2:23" x14ac:dyDescent="0.25">
      <c r="B2" s="30"/>
      <c r="C2" s="31"/>
      <c r="D2" s="31"/>
      <c r="E2" s="31"/>
      <c r="F2" s="31"/>
      <c r="G2" s="31"/>
      <c r="H2" s="31"/>
      <c r="I2" s="32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8.75" x14ac:dyDescent="0.3">
      <c r="B3" s="34"/>
      <c r="C3" s="192" t="s">
        <v>33</v>
      </c>
      <c r="D3" s="192"/>
      <c r="E3" s="192"/>
      <c r="F3" s="192"/>
      <c r="G3" s="192"/>
      <c r="H3" s="192"/>
      <c r="I3" s="37"/>
      <c r="K3" s="9"/>
      <c r="L3" s="9"/>
      <c r="M3" s="9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8.75" x14ac:dyDescent="0.3">
      <c r="B4" s="34"/>
      <c r="C4" s="195" t="s">
        <v>47</v>
      </c>
      <c r="D4" s="195"/>
      <c r="E4" s="195"/>
      <c r="F4" s="195"/>
      <c r="G4" s="195"/>
      <c r="H4" s="195"/>
      <c r="I4" s="37"/>
      <c r="K4" s="9"/>
      <c r="L4" s="9"/>
      <c r="M4" s="9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x14ac:dyDescent="0.25">
      <c r="B5" s="88"/>
      <c r="C5" s="193" t="s">
        <v>93</v>
      </c>
      <c r="D5" s="193"/>
      <c r="E5" s="193"/>
      <c r="F5" s="193"/>
      <c r="G5" s="193"/>
      <c r="H5" s="193"/>
      <c r="I5" s="87"/>
      <c r="L5" s="9"/>
      <c r="M5" s="9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25">
      <c r="B6" s="34"/>
      <c r="C6" s="24"/>
      <c r="D6" s="24"/>
      <c r="E6" s="24"/>
      <c r="F6" s="24"/>
      <c r="G6" s="24"/>
      <c r="H6" s="24"/>
      <c r="I6" s="37"/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25">
      <c r="B7" s="34"/>
      <c r="C7" s="24"/>
      <c r="D7" s="41" t="s">
        <v>61</v>
      </c>
      <c r="E7" s="41"/>
      <c r="F7" s="41"/>
      <c r="G7" s="41"/>
      <c r="H7" s="41" t="s">
        <v>12</v>
      </c>
      <c r="I7" s="37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25">
      <c r="B8" s="34"/>
      <c r="C8" s="24"/>
      <c r="D8" s="41" t="s">
        <v>8</v>
      </c>
      <c r="E8" s="41" t="s">
        <v>13</v>
      </c>
      <c r="F8" s="41" t="s">
        <v>14</v>
      </c>
      <c r="G8" s="41" t="s">
        <v>15</v>
      </c>
      <c r="H8" s="41" t="s">
        <v>16</v>
      </c>
      <c r="I8" s="37"/>
      <c r="K8" s="9"/>
      <c r="L8" s="9"/>
      <c r="M8" s="9"/>
      <c r="N8" s="1"/>
      <c r="O8" s="1"/>
      <c r="Q8" s="1"/>
      <c r="R8" s="1"/>
      <c r="S8" s="1"/>
      <c r="T8" s="1"/>
      <c r="U8" s="1"/>
      <c r="V8" s="1"/>
      <c r="W8" s="1"/>
    </row>
    <row r="9" spans="2:23" x14ac:dyDescent="0.25">
      <c r="B9" s="34"/>
      <c r="C9" s="42" t="s">
        <v>21</v>
      </c>
      <c r="D9" s="24">
        <v>507649.40150000004</v>
      </c>
      <c r="E9" s="24">
        <f>Mtrx!D29</f>
        <v>0</v>
      </c>
      <c r="F9" s="24">
        <f>Mtrx!E29+Mtrx!F29</f>
        <v>289576.67788360536</v>
      </c>
      <c r="G9" s="24">
        <f>Mtrx!G29</f>
        <v>103605.86321699902</v>
      </c>
      <c r="H9" s="24">
        <f>Mtrx!H29</f>
        <v>114466.86039939562</v>
      </c>
      <c r="I9" s="37"/>
      <c r="J9" s="2">
        <f t="shared" ref="J9:J21" si="0">SUM(E9:H9)</f>
        <v>507649.40149999998</v>
      </c>
      <c r="K9" s="71"/>
      <c r="L9" s="9"/>
      <c r="M9" s="9"/>
      <c r="N9" s="1"/>
      <c r="O9" s="1"/>
      <c r="P9" s="1"/>
      <c r="Q9" s="26"/>
      <c r="R9" s="24"/>
      <c r="S9" s="1"/>
      <c r="T9" s="1"/>
      <c r="U9" s="1"/>
      <c r="V9" s="1"/>
      <c r="W9" s="1"/>
    </row>
    <row r="10" spans="2:23" x14ac:dyDescent="0.25">
      <c r="B10" s="34"/>
      <c r="C10" s="24" t="s">
        <v>71</v>
      </c>
      <c r="D10" s="24">
        <v>16050</v>
      </c>
      <c r="E10" s="24">
        <f>Mtrx!D30</f>
        <v>0</v>
      </c>
      <c r="F10" s="24">
        <f>Mtrx!E30+Mtrx!F30</f>
        <v>0</v>
      </c>
      <c r="G10" s="24">
        <f>Mtrx!G30</f>
        <v>0</v>
      </c>
      <c r="H10" s="24">
        <f>Mtrx!H30</f>
        <v>16050</v>
      </c>
      <c r="I10" s="37"/>
      <c r="J10" s="2">
        <f t="shared" si="0"/>
        <v>16050</v>
      </c>
      <c r="K10" s="71"/>
      <c r="L10" s="9"/>
      <c r="M10" s="9"/>
      <c r="N10" s="1"/>
      <c r="O10" s="1"/>
      <c r="P10" s="1"/>
      <c r="Q10" s="26"/>
      <c r="R10" s="24"/>
      <c r="S10" s="1"/>
      <c r="T10" s="1"/>
      <c r="U10" s="1"/>
      <c r="V10" s="1"/>
      <c r="W10" s="1"/>
    </row>
    <row r="11" spans="2:23" x14ac:dyDescent="0.25">
      <c r="B11" s="34"/>
      <c r="C11" s="42" t="s">
        <v>22</v>
      </c>
      <c r="D11" s="24">
        <v>231347.36571899999</v>
      </c>
      <c r="E11" s="24">
        <f>Mtrx!D31</f>
        <v>0</v>
      </c>
      <c r="F11" s="24">
        <f>Mtrx!E31+Mtrx!F31</f>
        <v>131966.67110033322</v>
      </c>
      <c r="G11" s="24">
        <f>Mtrx!G31</f>
        <v>47215.545724022217</v>
      </c>
      <c r="H11" s="24">
        <f>Mtrx!H31</f>
        <v>52165.148894644561</v>
      </c>
      <c r="I11" s="37"/>
      <c r="J11" s="2">
        <f t="shared" si="0"/>
        <v>231347.36571899999</v>
      </c>
      <c r="K11" s="73"/>
      <c r="L11" s="9"/>
      <c r="M11" s="9"/>
      <c r="N11" s="1"/>
      <c r="O11" s="1"/>
      <c r="P11" s="1"/>
      <c r="Q11" s="26"/>
      <c r="R11" s="24"/>
      <c r="S11" s="1"/>
      <c r="T11" s="1"/>
      <c r="U11" s="1"/>
      <c r="V11" s="1"/>
      <c r="W11" s="1"/>
    </row>
    <row r="12" spans="2:23" x14ac:dyDescent="0.25">
      <c r="B12" s="34"/>
      <c r="C12" s="77" t="s">
        <v>94</v>
      </c>
      <c r="D12" s="24">
        <v>4910</v>
      </c>
      <c r="E12" s="24">
        <f>Mtrx!D32</f>
        <v>4910</v>
      </c>
      <c r="F12" s="24">
        <f>Mtrx!E32+Mtrx!F32</f>
        <v>0</v>
      </c>
      <c r="G12" s="24">
        <f>Mtrx!G32</f>
        <v>0</v>
      </c>
      <c r="H12" s="24">
        <f>Mtrx!H32</f>
        <v>0</v>
      </c>
      <c r="I12" s="37"/>
      <c r="J12" s="2">
        <f t="shared" si="0"/>
        <v>4910</v>
      </c>
      <c r="K12" s="9"/>
      <c r="L12" s="9"/>
      <c r="M12" s="9"/>
      <c r="N12" s="1"/>
      <c r="O12" s="1"/>
      <c r="P12" s="1"/>
      <c r="Q12" s="26"/>
      <c r="R12" s="24"/>
      <c r="S12" s="1"/>
      <c r="T12" s="1"/>
      <c r="U12" s="1"/>
      <c r="V12" s="1"/>
      <c r="W12" s="1"/>
    </row>
    <row r="13" spans="2:23" x14ac:dyDescent="0.25">
      <c r="B13" s="34"/>
      <c r="C13" s="24" t="s">
        <v>6</v>
      </c>
      <c r="D13" s="24">
        <v>164482</v>
      </c>
      <c r="E13" s="24">
        <f>Mtrx!D33</f>
        <v>141354</v>
      </c>
      <c r="F13" s="24">
        <f>Mtrx!E33+Mtrx!F33</f>
        <v>19035</v>
      </c>
      <c r="G13" s="24">
        <f>Mtrx!G33</f>
        <v>0</v>
      </c>
      <c r="H13" s="24">
        <f>Mtrx!H33</f>
        <v>4093</v>
      </c>
      <c r="I13" s="37"/>
      <c r="J13" s="2">
        <f t="shared" si="0"/>
        <v>164482</v>
      </c>
      <c r="K13" s="9"/>
      <c r="L13" s="9"/>
      <c r="M13" s="9"/>
      <c r="N13" s="1"/>
      <c r="O13" s="1"/>
      <c r="Q13" s="1"/>
      <c r="R13" s="24"/>
      <c r="S13" s="1"/>
      <c r="T13" s="1"/>
      <c r="U13" s="1"/>
      <c r="V13" s="1"/>
      <c r="W13" s="1"/>
    </row>
    <row r="14" spans="2:23" x14ac:dyDescent="0.25">
      <c r="B14" s="34"/>
      <c r="C14" s="24" t="s">
        <v>62</v>
      </c>
      <c r="D14" s="24">
        <v>8134</v>
      </c>
      <c r="E14" s="24">
        <f>Mtrx!D34</f>
        <v>0</v>
      </c>
      <c r="F14" s="24">
        <f>Mtrx!E34+Mtrx!F34</f>
        <v>8134</v>
      </c>
      <c r="G14" s="24">
        <f>Mtrx!G34</f>
        <v>0</v>
      </c>
      <c r="H14" s="24">
        <f>Mtrx!H34</f>
        <v>0</v>
      </c>
      <c r="I14" s="37"/>
      <c r="J14" s="2">
        <f t="shared" si="0"/>
        <v>8134</v>
      </c>
      <c r="K14" s="9"/>
      <c r="L14" s="9"/>
      <c r="M14" s="9"/>
      <c r="N14" s="1"/>
      <c r="O14" s="1"/>
      <c r="Q14" s="1"/>
      <c r="R14" s="24"/>
      <c r="S14" s="1"/>
      <c r="T14" s="1"/>
      <c r="U14" s="1"/>
      <c r="V14" s="1"/>
      <c r="W14" s="1"/>
    </row>
    <row r="15" spans="2:23" x14ac:dyDescent="0.25">
      <c r="B15" s="34"/>
      <c r="C15" s="24" t="s">
        <v>23</v>
      </c>
      <c r="D15" s="24">
        <v>87761</v>
      </c>
      <c r="E15" s="24">
        <f>Mtrx!D35</f>
        <v>0</v>
      </c>
      <c r="F15" s="24">
        <f>Mtrx!E35+Mtrx!F35</f>
        <v>61067</v>
      </c>
      <c r="G15" s="24">
        <f>Mtrx!G35</f>
        <v>26694</v>
      </c>
      <c r="H15" s="24">
        <f>Mtrx!H35</f>
        <v>0</v>
      </c>
      <c r="I15" s="37"/>
      <c r="J15" s="2">
        <f t="shared" si="0"/>
        <v>87761</v>
      </c>
      <c r="K15" s="9"/>
      <c r="L15" s="9"/>
      <c r="M15" s="9"/>
      <c r="N15" s="1"/>
      <c r="O15" s="1"/>
      <c r="P15" s="1"/>
      <c r="Q15" s="26"/>
      <c r="R15" s="24"/>
      <c r="S15" s="1"/>
      <c r="T15" s="1"/>
      <c r="U15" s="1"/>
      <c r="V15" s="1"/>
      <c r="W15" s="1"/>
    </row>
    <row r="16" spans="2:23" x14ac:dyDescent="0.25">
      <c r="B16" s="34"/>
      <c r="C16" s="42" t="s">
        <v>24</v>
      </c>
      <c r="D16" s="24">
        <v>19531.666666666668</v>
      </c>
      <c r="E16" s="24">
        <v>0</v>
      </c>
      <c r="F16" s="24">
        <v>0</v>
      </c>
      <c r="G16" s="24">
        <v>0</v>
      </c>
      <c r="H16" s="24">
        <f>D16</f>
        <v>19531.666666666668</v>
      </c>
      <c r="I16" s="37"/>
      <c r="J16" s="2">
        <f t="shared" si="0"/>
        <v>19531.666666666668</v>
      </c>
      <c r="K16" s="9"/>
      <c r="L16" s="9"/>
      <c r="M16" s="9"/>
      <c r="N16" s="1"/>
      <c r="O16" s="1"/>
      <c r="P16" s="1"/>
      <c r="Q16" s="26"/>
      <c r="R16" s="24"/>
      <c r="S16" s="1"/>
      <c r="T16" s="1"/>
      <c r="U16" s="1"/>
      <c r="V16" s="1"/>
      <c r="W16" s="1"/>
    </row>
    <row r="17" spans="2:23" x14ac:dyDescent="0.25">
      <c r="B17" s="34"/>
      <c r="C17" s="42" t="s">
        <v>25</v>
      </c>
      <c r="D17" s="24">
        <v>11167</v>
      </c>
      <c r="E17" s="24">
        <f>D17</f>
        <v>11167</v>
      </c>
      <c r="F17" s="24">
        <v>0</v>
      </c>
      <c r="G17" s="24">
        <v>0</v>
      </c>
      <c r="H17" s="24">
        <v>0</v>
      </c>
      <c r="I17" s="37"/>
      <c r="J17" s="2">
        <f t="shared" si="0"/>
        <v>11167</v>
      </c>
      <c r="K17" s="9"/>
      <c r="L17" s="9"/>
      <c r="M17" s="9"/>
      <c r="N17" s="1"/>
      <c r="O17" s="1"/>
      <c r="P17" s="1"/>
      <c r="Q17" s="1"/>
      <c r="R17" s="24"/>
      <c r="S17" s="1"/>
      <c r="T17" s="1"/>
      <c r="U17" s="1"/>
      <c r="V17" s="1"/>
      <c r="W17" s="1"/>
    </row>
    <row r="18" spans="2:23" x14ac:dyDescent="0.25">
      <c r="B18" s="34"/>
      <c r="C18" s="42" t="s">
        <v>113</v>
      </c>
      <c r="D18" s="24">
        <v>40115</v>
      </c>
      <c r="E18" s="24">
        <f>D18</f>
        <v>40115</v>
      </c>
      <c r="F18" s="24">
        <v>0</v>
      </c>
      <c r="G18" s="24">
        <v>0</v>
      </c>
      <c r="H18" s="24">
        <v>0</v>
      </c>
      <c r="I18" s="37"/>
      <c r="J18" s="2">
        <f t="shared" si="0"/>
        <v>40115</v>
      </c>
      <c r="K18" s="9"/>
      <c r="L18" s="9"/>
      <c r="M18" s="9"/>
      <c r="N18" s="1"/>
      <c r="O18" s="1"/>
      <c r="P18" s="1"/>
      <c r="Q18" s="1"/>
      <c r="R18" s="24"/>
      <c r="S18" s="1"/>
      <c r="T18" s="1"/>
      <c r="U18" s="1"/>
      <c r="V18" s="1"/>
      <c r="W18" s="1"/>
    </row>
    <row r="19" spans="2:23" x14ac:dyDescent="0.25">
      <c r="B19" s="34"/>
      <c r="C19" s="77" t="s">
        <v>95</v>
      </c>
      <c r="D19" s="24">
        <v>151</v>
      </c>
      <c r="E19" s="24">
        <f>Mtrx!D40</f>
        <v>0</v>
      </c>
      <c r="F19" s="24">
        <f>Mtrx!E40+Mtrx!F40</f>
        <v>0</v>
      </c>
      <c r="G19" s="24">
        <f>Mtrx!G40</f>
        <v>0</v>
      </c>
      <c r="H19" s="24">
        <f>Mtrx!H40</f>
        <v>151</v>
      </c>
      <c r="I19" s="37"/>
      <c r="J19" s="2">
        <f t="shared" si="0"/>
        <v>151</v>
      </c>
      <c r="K19" s="9"/>
      <c r="L19" s="9"/>
      <c r="M19" s="9"/>
      <c r="N19" s="1"/>
      <c r="O19" s="1"/>
      <c r="P19" s="1"/>
      <c r="Q19" s="1"/>
      <c r="R19" s="24"/>
      <c r="S19" s="1"/>
      <c r="T19" s="1"/>
      <c r="U19" s="1"/>
      <c r="V19" s="1"/>
      <c r="W19" s="1"/>
    </row>
    <row r="20" spans="2:23" x14ac:dyDescent="0.25">
      <c r="B20" s="34"/>
      <c r="C20" s="77" t="s">
        <v>96</v>
      </c>
      <c r="D20" s="24">
        <v>4668</v>
      </c>
      <c r="E20" s="24">
        <f>Mtrx!D41</f>
        <v>0</v>
      </c>
      <c r="F20" s="24">
        <f>Mtrx!E41+Mtrx!F41</f>
        <v>4668</v>
      </c>
      <c r="G20" s="24">
        <f>Mtrx!G41</f>
        <v>0</v>
      </c>
      <c r="H20" s="24">
        <f>Mtrx!H41</f>
        <v>0</v>
      </c>
      <c r="I20" s="37"/>
      <c r="J20" s="2">
        <f t="shared" si="0"/>
        <v>4668</v>
      </c>
      <c r="K20" s="9"/>
      <c r="L20" s="9"/>
      <c r="M20" s="9"/>
      <c r="N20" s="1"/>
      <c r="O20" s="1"/>
      <c r="P20" s="1"/>
      <c r="Q20" s="1"/>
      <c r="R20" s="24"/>
      <c r="S20" s="1"/>
      <c r="T20" s="1"/>
      <c r="U20" s="1"/>
      <c r="V20" s="1"/>
      <c r="W20" s="1"/>
    </row>
    <row r="21" spans="2:23" x14ac:dyDescent="0.25">
      <c r="B21" s="34"/>
      <c r="C21" s="24" t="s">
        <v>26</v>
      </c>
      <c r="D21" s="24">
        <v>22980</v>
      </c>
      <c r="E21" s="24">
        <f>Mtrx!D42</f>
        <v>0</v>
      </c>
      <c r="F21" s="24">
        <f>Mtrx!E42+Mtrx!F42</f>
        <v>10853</v>
      </c>
      <c r="G21" s="24">
        <f>Mtrx!G42</f>
        <v>10852</v>
      </c>
      <c r="H21" s="24">
        <f>Mtrx!H42</f>
        <v>1275</v>
      </c>
      <c r="I21" s="37"/>
      <c r="J21" s="2">
        <f t="shared" si="0"/>
        <v>22980</v>
      </c>
      <c r="K21" s="9"/>
      <c r="L21" s="9"/>
      <c r="M21" s="9"/>
      <c r="N21" s="1"/>
      <c r="O21" s="1"/>
      <c r="P21" s="1"/>
      <c r="Q21" s="1"/>
      <c r="R21" s="24"/>
      <c r="S21" s="1"/>
      <c r="T21" s="1"/>
      <c r="U21" s="1"/>
      <c r="V21" s="1"/>
      <c r="W21" s="1"/>
    </row>
    <row r="22" spans="2:23" x14ac:dyDescent="0.25">
      <c r="B22" s="34"/>
      <c r="C22" s="24" t="s">
        <v>63</v>
      </c>
      <c r="D22" s="24">
        <v>35803</v>
      </c>
      <c r="E22" s="24">
        <f>SUM(Mtrx!D43:D45)</f>
        <v>0</v>
      </c>
      <c r="F22" s="24">
        <f>SUM(Mtrx!E43:F45)</f>
        <v>4802.9912387869863</v>
      </c>
      <c r="G22" s="24">
        <f>SUM(Mtrx!G43:G45)</f>
        <v>1718.4327721247826</v>
      </c>
      <c r="H22" s="24">
        <f>SUM(Mtrx!H43:H45)</f>
        <v>29281.575989088233</v>
      </c>
      <c r="I22" s="37"/>
      <c r="J22" s="2">
        <f>SUM(E22:H22)</f>
        <v>35803</v>
      </c>
      <c r="K22" s="9"/>
      <c r="L22" s="9"/>
      <c r="M22" s="140" t="s">
        <v>171</v>
      </c>
      <c r="N22" s="79"/>
      <c r="O22" s="79"/>
      <c r="P22" s="132"/>
      <c r="Q22" s="1"/>
      <c r="R22" s="24"/>
      <c r="S22" s="1"/>
      <c r="T22" s="1"/>
      <c r="U22" s="1"/>
      <c r="V22" s="1"/>
      <c r="W22" s="1"/>
    </row>
    <row r="23" spans="2:23" x14ac:dyDescent="0.25">
      <c r="B23" s="34"/>
      <c r="C23" s="24" t="s">
        <v>27</v>
      </c>
      <c r="D23" s="24">
        <v>22772</v>
      </c>
      <c r="E23" s="24">
        <f>Mtrx!D46</f>
        <v>0</v>
      </c>
      <c r="F23" s="24">
        <f>Mtrx!E46+Mtrx!F46</f>
        <v>0</v>
      </c>
      <c r="G23" s="24">
        <f>D23</f>
        <v>22772</v>
      </c>
      <c r="H23" s="24">
        <f>Mtrx!H46</f>
        <v>0</v>
      </c>
      <c r="I23" s="37"/>
      <c r="J23" s="2">
        <f>SUM(E23:H23)</f>
        <v>22772</v>
      </c>
      <c r="K23" s="9"/>
      <c r="L23" s="9"/>
      <c r="M23" s="34"/>
      <c r="N23" s="6"/>
      <c r="O23" s="6"/>
      <c r="P23" s="136"/>
      <c r="Q23" s="1"/>
      <c r="R23" s="24"/>
      <c r="S23" s="1"/>
      <c r="T23" s="1"/>
      <c r="U23" s="1"/>
      <c r="V23" s="1"/>
      <c r="W23" s="1"/>
    </row>
    <row r="24" spans="2:23" x14ac:dyDescent="0.25">
      <c r="B24" s="34"/>
      <c r="C24" s="24" t="s">
        <v>28</v>
      </c>
      <c r="D24" s="24">
        <v>25493</v>
      </c>
      <c r="E24" s="24">
        <f>Mtrx!D47</f>
        <v>0</v>
      </c>
      <c r="F24" s="24">
        <f>Mtrx!E47+Mtrx!F47</f>
        <v>3705</v>
      </c>
      <c r="G24" s="24">
        <f>Mtrx!G47</f>
        <v>13162</v>
      </c>
      <c r="H24" s="24">
        <f>Mtrx!H47</f>
        <v>8626</v>
      </c>
      <c r="I24" s="37"/>
      <c r="J24" s="2">
        <f>SUM(E24:H24)</f>
        <v>25493</v>
      </c>
      <c r="K24" s="9"/>
      <c r="L24" s="9"/>
      <c r="M24" s="34"/>
      <c r="N24" s="133" t="s">
        <v>159</v>
      </c>
      <c r="O24" s="133" t="s">
        <v>160</v>
      </c>
      <c r="P24" s="134"/>
      <c r="Q24" s="1"/>
      <c r="R24" s="24"/>
      <c r="S24" s="1"/>
      <c r="T24" s="1"/>
      <c r="U24" s="1"/>
      <c r="V24" s="1"/>
      <c r="W24" s="1"/>
    </row>
    <row r="25" spans="2:23" x14ac:dyDescent="0.25">
      <c r="B25" s="34"/>
      <c r="C25" s="24" t="s">
        <v>7</v>
      </c>
      <c r="D25" s="24">
        <v>389461.12786291487</v>
      </c>
      <c r="E25" s="24">
        <f>Al_Dep!E28</f>
        <v>0</v>
      </c>
      <c r="F25" s="24">
        <f>Al_Dep!F28</f>
        <v>318411.38769915467</v>
      </c>
      <c r="G25" s="24">
        <f>Al_Dep!G28</f>
        <v>71049.740163760187</v>
      </c>
      <c r="H25" s="24">
        <v>0</v>
      </c>
      <c r="I25" s="37"/>
      <c r="J25" s="2">
        <f>SUM(E25:H25)</f>
        <v>389461.12786291487</v>
      </c>
      <c r="K25" s="9"/>
      <c r="L25" s="9"/>
      <c r="M25" s="135"/>
      <c r="N25" s="17">
        <f>G27-G25</f>
        <v>226019.84171314602</v>
      </c>
      <c r="O25" s="24">
        <f>G25</f>
        <v>71049.740163760187</v>
      </c>
      <c r="P25" s="136"/>
      <c r="Q25" s="1"/>
      <c r="R25" s="24"/>
      <c r="S25" s="1"/>
      <c r="T25" s="1"/>
      <c r="U25" s="1"/>
      <c r="V25" s="1"/>
      <c r="W25" s="1"/>
    </row>
    <row r="26" spans="2:23" ht="5.0999999999999996" customHeight="1" x14ac:dyDescent="0.25">
      <c r="B26" s="34"/>
      <c r="C26" s="24"/>
      <c r="D26" s="24"/>
      <c r="E26" s="24"/>
      <c r="F26" s="24"/>
      <c r="G26" s="24"/>
      <c r="H26" s="24"/>
      <c r="I26" s="37"/>
      <c r="K26" s="9"/>
      <c r="L26" s="9"/>
      <c r="M26" s="135"/>
      <c r="N26" s="6"/>
      <c r="O26" s="24"/>
      <c r="P26" s="81"/>
      <c r="Q26" s="1"/>
      <c r="R26" s="1"/>
      <c r="S26" s="1"/>
      <c r="T26" s="1"/>
      <c r="U26" s="1"/>
      <c r="V26" s="1"/>
      <c r="W26" s="1"/>
    </row>
    <row r="27" spans="2:23" x14ac:dyDescent="0.25">
      <c r="B27" s="34"/>
      <c r="C27" s="24" t="s">
        <v>8</v>
      </c>
      <c r="D27" s="24">
        <f>SUM(D9:D26)</f>
        <v>1592475.5617485815</v>
      </c>
      <c r="E27" s="24">
        <f>SUM(E9:E26)</f>
        <v>197546</v>
      </c>
      <c r="F27" s="24">
        <f>SUM(F9:F26)</f>
        <v>852219.7279218802</v>
      </c>
      <c r="G27" s="24">
        <f>SUM(G9:G26)</f>
        <v>297069.58187690622</v>
      </c>
      <c r="H27" s="24">
        <f>SUM(H9:H26)</f>
        <v>245640.25194979506</v>
      </c>
      <c r="I27" s="37"/>
      <c r="J27" s="2">
        <f>SUM(E27:H27)</f>
        <v>1592475.5617485815</v>
      </c>
      <c r="K27" s="9">
        <f>SUM(J9:J25)</f>
        <v>1592475.5617485815</v>
      </c>
      <c r="L27" s="9"/>
      <c r="M27" s="135"/>
      <c r="N27" s="123">
        <f>N25/G27</f>
        <v>0.76083131865988085</v>
      </c>
      <c r="O27" s="123">
        <f>O25/G27</f>
        <v>0.23916868134011904</v>
      </c>
      <c r="P27" s="81"/>
      <c r="Q27" s="1"/>
      <c r="R27" s="1"/>
      <c r="S27" s="1"/>
      <c r="T27" s="1"/>
      <c r="U27" s="1"/>
      <c r="V27" s="1"/>
      <c r="W27" s="1"/>
    </row>
    <row r="28" spans="2:23" ht="18" x14ac:dyDescent="0.4">
      <c r="B28" s="34"/>
      <c r="C28" s="24" t="s">
        <v>29</v>
      </c>
      <c r="D28" s="43">
        <f>H27</f>
        <v>245640.25194979506</v>
      </c>
      <c r="E28" s="24"/>
      <c r="F28" s="24"/>
      <c r="G28" s="24"/>
      <c r="H28" s="24"/>
      <c r="I28" s="37"/>
      <c r="K28" s="9"/>
      <c r="L28" s="9"/>
      <c r="M28" s="135"/>
      <c r="N28" s="6"/>
      <c r="O28" s="24"/>
      <c r="P28" s="81"/>
      <c r="Q28" s="1"/>
      <c r="R28" s="1"/>
      <c r="S28" s="1"/>
      <c r="T28" s="1"/>
      <c r="U28" s="1"/>
      <c r="V28" s="1"/>
      <c r="W28" s="1"/>
    </row>
    <row r="29" spans="2:23" x14ac:dyDescent="0.25">
      <c r="B29" s="34"/>
      <c r="C29" s="24" t="s">
        <v>117</v>
      </c>
      <c r="D29" s="24">
        <f>+D27-D28</f>
        <v>1346835.3097987864</v>
      </c>
      <c r="E29" s="24"/>
      <c r="F29" s="24"/>
      <c r="G29" s="24"/>
      <c r="H29" s="24"/>
      <c r="I29" s="37"/>
      <c r="K29" s="9"/>
      <c r="L29" s="9"/>
      <c r="M29" s="135"/>
      <c r="N29" s="6"/>
      <c r="O29" s="24"/>
      <c r="P29" s="81"/>
      <c r="Q29" s="1"/>
      <c r="R29" s="1"/>
      <c r="S29" s="1"/>
      <c r="T29" s="1"/>
      <c r="U29" s="1"/>
      <c r="V29" s="1"/>
      <c r="W29" s="1"/>
    </row>
    <row r="30" spans="2:23" ht="5.0999999999999996" customHeight="1" x14ac:dyDescent="0.25">
      <c r="B30" s="34"/>
      <c r="C30" s="24"/>
      <c r="D30" s="24"/>
      <c r="E30" s="24"/>
      <c r="F30" s="24"/>
      <c r="G30" s="24"/>
      <c r="H30" s="24"/>
      <c r="I30" s="37"/>
      <c r="K30" s="9"/>
      <c r="L30" s="9"/>
      <c r="M30" s="135"/>
      <c r="N30" s="6"/>
      <c r="O30" s="24"/>
      <c r="P30" s="81"/>
      <c r="Q30" s="1"/>
      <c r="R30" s="1"/>
      <c r="S30" s="1"/>
      <c r="T30" s="1"/>
      <c r="U30" s="1"/>
      <c r="V30" s="1"/>
      <c r="W30" s="1"/>
    </row>
    <row r="31" spans="2:23" x14ac:dyDescent="0.25">
      <c r="B31" s="34"/>
      <c r="C31" s="24" t="s">
        <v>30</v>
      </c>
      <c r="D31" s="44">
        <f>SUM(E31:G31)</f>
        <v>1</v>
      </c>
      <c r="E31" s="44">
        <f>E27/$D$29</f>
        <v>0.14667420623944946</v>
      </c>
      <c r="F31" s="44">
        <f>F27/$D$29</f>
        <v>0.63275719141132369</v>
      </c>
      <c r="G31" s="44">
        <f>G27/$D$29</f>
        <v>0.22056860234922682</v>
      </c>
      <c r="H31" s="24"/>
      <c r="I31" s="37"/>
      <c r="K31" s="9"/>
      <c r="L31" s="9"/>
      <c r="M31" s="135"/>
      <c r="N31" s="6"/>
      <c r="O31" s="24"/>
      <c r="P31" s="81"/>
      <c r="Q31" s="1"/>
      <c r="R31" s="1"/>
      <c r="S31" s="1"/>
      <c r="T31" s="1"/>
      <c r="U31" s="1"/>
      <c r="V31" s="1"/>
      <c r="W31" s="1"/>
    </row>
    <row r="32" spans="2:23" ht="5.0999999999999996" customHeight="1" x14ac:dyDescent="0.25">
      <c r="B32" s="34"/>
      <c r="C32" s="24"/>
      <c r="D32" s="24"/>
      <c r="E32" s="24"/>
      <c r="F32" s="24"/>
      <c r="G32" s="24"/>
      <c r="H32" s="24"/>
      <c r="I32" s="37"/>
      <c r="K32" s="9"/>
      <c r="L32" s="9"/>
      <c r="M32" s="135"/>
      <c r="N32" s="6"/>
      <c r="O32" s="24"/>
      <c r="P32" s="81"/>
      <c r="Q32" s="1"/>
      <c r="R32" s="1"/>
      <c r="S32" s="1"/>
      <c r="T32" s="1"/>
      <c r="U32" s="1"/>
      <c r="V32" s="1"/>
      <c r="W32" s="1"/>
    </row>
    <row r="33" spans="2:23" x14ac:dyDescent="0.25">
      <c r="B33" s="34"/>
      <c r="C33" s="24" t="s">
        <v>31</v>
      </c>
      <c r="D33" s="24">
        <f>SUM(E33:G33)</f>
        <v>245640.25194979506</v>
      </c>
      <c r="E33" s="24">
        <f>E31*$H$27</f>
        <v>36029.088975194565</v>
      </c>
      <c r="F33" s="24">
        <f>F31*$H$27</f>
        <v>155430.63592132225</v>
      </c>
      <c r="G33" s="24">
        <f>G31*$H$27</f>
        <v>54180.527053278231</v>
      </c>
      <c r="H33" s="24"/>
      <c r="I33" s="37"/>
      <c r="K33" s="9"/>
      <c r="L33" s="9"/>
      <c r="M33" s="135"/>
      <c r="N33" s="17">
        <f>N27*G33</f>
        <v>41222.241843633026</v>
      </c>
      <c r="O33" s="24">
        <f>O27*G33</f>
        <v>12958.285209645201</v>
      </c>
      <c r="P33" s="81"/>
      <c r="Q33" s="1"/>
      <c r="R33" s="1"/>
      <c r="S33" s="1"/>
      <c r="T33" s="1"/>
      <c r="U33" s="1"/>
      <c r="V33" s="1"/>
      <c r="W33" s="1"/>
    </row>
    <row r="34" spans="2:23" ht="5.0999999999999996" customHeight="1" x14ac:dyDescent="0.25">
      <c r="B34" s="34"/>
      <c r="C34" s="24"/>
      <c r="D34" s="24"/>
      <c r="E34" s="24"/>
      <c r="F34" s="24"/>
      <c r="G34" s="24"/>
      <c r="H34" s="24"/>
      <c r="I34" s="37"/>
      <c r="K34" s="9"/>
      <c r="L34" s="9"/>
      <c r="M34" s="135"/>
      <c r="N34" s="6"/>
      <c r="O34" s="24"/>
      <c r="P34" s="81"/>
      <c r="Q34" s="1"/>
      <c r="R34" s="1"/>
      <c r="S34" s="1"/>
      <c r="T34" s="1"/>
      <c r="U34" s="1"/>
      <c r="V34" s="1"/>
      <c r="W34" s="1"/>
    </row>
    <row r="35" spans="2:23" x14ac:dyDescent="0.25">
      <c r="B35" s="34"/>
      <c r="C35" s="24" t="s">
        <v>32</v>
      </c>
      <c r="D35" s="24">
        <f>D33+D29</f>
        <v>1592475.5617485815</v>
      </c>
      <c r="E35" s="24">
        <f>E33+E27</f>
        <v>233575.08897519455</v>
      </c>
      <c r="F35" s="24">
        <f>F33+F27</f>
        <v>1007650.3638432025</v>
      </c>
      <c r="G35" s="24">
        <f>G33+G27</f>
        <v>351250.10893018445</v>
      </c>
      <c r="H35" s="24"/>
      <c r="I35" s="37"/>
      <c r="J35" s="2">
        <f>SUM(E35:G35)</f>
        <v>1592475.5617485815</v>
      </c>
      <c r="K35" s="9"/>
      <c r="L35" s="9"/>
      <c r="M35" s="137" t="s">
        <v>8</v>
      </c>
      <c r="N35" s="24">
        <f>N25+N33</f>
        <v>267242.08355677902</v>
      </c>
      <c r="O35" s="24">
        <f>O25+O33</f>
        <v>84008.025373405384</v>
      </c>
      <c r="P35" s="138">
        <f>O35+N35</f>
        <v>351250.10893018439</v>
      </c>
      <c r="Q35" s="1"/>
      <c r="R35" s="1"/>
      <c r="S35" s="1"/>
      <c r="T35" s="1"/>
      <c r="U35" s="1"/>
      <c r="V35" s="1"/>
      <c r="W35" s="1"/>
    </row>
    <row r="36" spans="2:23" x14ac:dyDescent="0.25">
      <c r="B36" s="39"/>
      <c r="C36" s="10"/>
      <c r="D36" s="10"/>
      <c r="E36" s="10"/>
      <c r="F36" s="10"/>
      <c r="G36" s="10"/>
      <c r="H36" s="10"/>
      <c r="I36" s="40"/>
      <c r="K36" s="9"/>
      <c r="L36" s="9"/>
      <c r="M36" s="139"/>
      <c r="N36" s="11"/>
      <c r="O36" s="11"/>
      <c r="P36" s="85"/>
      <c r="Q36" s="1"/>
      <c r="R36" s="1"/>
      <c r="S36" s="1"/>
      <c r="T36" s="1"/>
      <c r="U36" s="1"/>
      <c r="V36" s="1"/>
      <c r="W36" s="1"/>
    </row>
    <row r="37" spans="2:23" x14ac:dyDescent="0.25">
      <c r="B37" s="9"/>
      <c r="C37" s="9"/>
      <c r="D37" s="9"/>
      <c r="E37" s="9"/>
      <c r="F37" s="9"/>
      <c r="G37" s="9"/>
      <c r="H37" s="9"/>
      <c r="I37" s="9"/>
      <c r="K37" s="9"/>
      <c r="L37" s="9"/>
      <c r="Q37" s="1"/>
      <c r="R37" s="1"/>
      <c r="S37" s="1"/>
      <c r="T37" s="1"/>
      <c r="U37" s="1"/>
      <c r="V37" s="1"/>
      <c r="W37" s="1"/>
    </row>
    <row r="38" spans="2:23" x14ac:dyDescent="0.25">
      <c r="D38" s="24"/>
      <c r="E38" s="24"/>
      <c r="F38" s="24"/>
      <c r="G38" s="24"/>
      <c r="M38" s="9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x14ac:dyDescent="0.25"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x14ac:dyDescent="0.25">
      <c r="M40" s="1"/>
      <c r="N40" s="1"/>
      <c r="O40" s="1"/>
      <c r="P40" s="1"/>
    </row>
  </sheetData>
  <mergeCells count="3">
    <mergeCell ref="C3:H3"/>
    <mergeCell ref="C4:H4"/>
    <mergeCell ref="C5:H5"/>
  </mergeCells>
  <printOptions horizontalCentered="1"/>
  <pageMargins left="0.7" right="0.7" top="1.2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29"/>
  <sheetViews>
    <sheetView workbookViewId="0"/>
  </sheetViews>
  <sheetFormatPr defaultRowHeight="15" x14ac:dyDescent="0.2"/>
  <cols>
    <col min="2" max="2" width="1.77734375" customWidth="1"/>
    <col min="3" max="3" width="31.109375" customWidth="1"/>
    <col min="4" max="4" width="10.33203125" customWidth="1"/>
    <col min="5" max="6" width="9.77734375" customWidth="1"/>
    <col min="7" max="7" width="9.77734375" bestFit="1" customWidth="1"/>
    <col min="8" max="8" width="9.77734375" customWidth="1"/>
    <col min="9" max="9" width="1.77734375" customWidth="1"/>
  </cols>
  <sheetData>
    <row r="2" spans="1:12" ht="15.75" x14ac:dyDescent="0.25">
      <c r="A2" s="9"/>
      <c r="B2" s="30"/>
      <c r="C2" s="31"/>
      <c r="D2" s="31"/>
      <c r="E2" s="31"/>
      <c r="F2" s="31"/>
      <c r="G2" s="31"/>
      <c r="H2" s="31"/>
      <c r="I2" s="32"/>
      <c r="J2" s="9"/>
      <c r="K2" s="9"/>
      <c r="L2" s="9"/>
    </row>
    <row r="3" spans="1:12" ht="18.75" x14ac:dyDescent="0.3">
      <c r="A3" s="34"/>
      <c r="B3" s="34"/>
      <c r="C3" s="192" t="s">
        <v>118</v>
      </c>
      <c r="D3" s="192"/>
      <c r="E3" s="192"/>
      <c r="F3" s="192"/>
      <c r="G3" s="192"/>
      <c r="H3" s="192"/>
      <c r="I3" s="45"/>
      <c r="J3" s="28"/>
      <c r="K3" s="9"/>
      <c r="L3" s="9"/>
    </row>
    <row r="4" spans="1:12" ht="18.75" x14ac:dyDescent="0.3">
      <c r="A4" s="34"/>
      <c r="B4" s="34"/>
      <c r="C4" s="195" t="s">
        <v>57</v>
      </c>
      <c r="D4" s="195"/>
      <c r="E4" s="195"/>
      <c r="F4" s="195"/>
      <c r="G4" s="195"/>
      <c r="H4" s="195"/>
      <c r="I4" s="46"/>
      <c r="J4" s="47"/>
      <c r="K4" s="9"/>
      <c r="L4" s="9"/>
    </row>
    <row r="5" spans="1:12" ht="15.75" x14ac:dyDescent="0.25">
      <c r="A5" s="34"/>
      <c r="B5" s="34"/>
      <c r="C5" s="193" t="s">
        <v>93</v>
      </c>
      <c r="D5" s="193"/>
      <c r="E5" s="193"/>
      <c r="F5" s="193"/>
      <c r="G5" s="193"/>
      <c r="H5" s="193"/>
      <c r="I5" s="108"/>
      <c r="J5" s="29"/>
      <c r="K5" s="29"/>
      <c r="L5" s="29"/>
    </row>
    <row r="6" spans="1:12" ht="18.75" x14ac:dyDescent="0.25">
      <c r="A6" s="24"/>
      <c r="B6" s="34"/>
      <c r="C6" s="48"/>
      <c r="D6" s="48"/>
      <c r="E6" s="48"/>
      <c r="F6" s="48"/>
      <c r="G6" s="48"/>
      <c r="H6" s="53"/>
      <c r="I6" s="49"/>
      <c r="J6" s="48"/>
      <c r="K6" s="9"/>
      <c r="L6" s="9"/>
    </row>
    <row r="7" spans="1:12" ht="18" x14ac:dyDescent="0.4">
      <c r="A7" s="9"/>
      <c r="B7" s="34"/>
      <c r="C7" s="24"/>
      <c r="D7" s="41" t="s">
        <v>19</v>
      </c>
      <c r="E7" s="41"/>
      <c r="F7" s="41"/>
      <c r="G7" s="196" t="s">
        <v>15</v>
      </c>
      <c r="H7" s="196"/>
      <c r="I7" s="50"/>
      <c r="J7" s="9"/>
      <c r="K7" s="9"/>
      <c r="L7" s="9"/>
    </row>
    <row r="8" spans="1:12" ht="15.75" x14ac:dyDescent="0.25">
      <c r="A8" s="9"/>
      <c r="B8" s="34"/>
      <c r="C8" s="24"/>
      <c r="D8" s="41" t="s">
        <v>20</v>
      </c>
      <c r="E8" s="41" t="s">
        <v>13</v>
      </c>
      <c r="F8" s="41" t="s">
        <v>14</v>
      </c>
      <c r="G8" s="122" t="s">
        <v>157</v>
      </c>
      <c r="H8" s="41" t="s">
        <v>158</v>
      </c>
      <c r="I8" s="50"/>
      <c r="J8" s="9"/>
      <c r="K8" s="9"/>
      <c r="L8" s="9"/>
    </row>
    <row r="9" spans="1:12" ht="15.75" x14ac:dyDescent="0.25">
      <c r="A9" s="9"/>
      <c r="B9" s="34"/>
      <c r="C9" s="24"/>
      <c r="D9" s="41"/>
      <c r="E9" s="41"/>
      <c r="F9" s="41"/>
      <c r="G9" s="41"/>
      <c r="H9" s="41"/>
      <c r="I9" s="50"/>
      <c r="J9" s="9"/>
      <c r="K9" s="9"/>
      <c r="L9" s="9"/>
    </row>
    <row r="10" spans="1:12" ht="15.75" x14ac:dyDescent="0.25">
      <c r="A10" s="9"/>
      <c r="B10" s="34"/>
      <c r="C10" s="24" t="s">
        <v>34</v>
      </c>
      <c r="D10" s="51">
        <f>AlocOM!D35</f>
        <v>1592475.5617485815</v>
      </c>
      <c r="E10" s="51">
        <f>AlocOM!E35</f>
        <v>233575.08897519455</v>
      </c>
      <c r="F10" s="51">
        <f>AlocOM!F35</f>
        <v>1007650.3638432025</v>
      </c>
      <c r="G10" s="51">
        <f>AlocOM!N35</f>
        <v>267242.08355677902</v>
      </c>
      <c r="H10" s="51">
        <f>AlocOM!O35</f>
        <v>84008.025373405384</v>
      </c>
      <c r="I10" s="37"/>
      <c r="J10" s="9">
        <f>G10+H10</f>
        <v>351250.10893018439</v>
      </c>
      <c r="K10" s="9">
        <f t="shared" ref="K10:K16" si="0">SUM(E10:H10)</f>
        <v>1592475.5617485812</v>
      </c>
      <c r="L10" s="9"/>
    </row>
    <row r="11" spans="1:12" ht="18" x14ac:dyDescent="0.4">
      <c r="A11" s="9"/>
      <c r="B11" s="34"/>
      <c r="C11" s="24" t="s">
        <v>181</v>
      </c>
      <c r="D11" s="43">
        <v>468303.43199999997</v>
      </c>
      <c r="E11" s="43">
        <f>$D$11*Al_Plt!E18</f>
        <v>6018.4999731157131</v>
      </c>
      <c r="F11" s="43">
        <f>$D$11*Al_Plt!F18</f>
        <v>418040.18162238022</v>
      </c>
      <c r="G11" s="43">
        <v>0</v>
      </c>
      <c r="H11" s="43">
        <f>$D$11*Al_Plt!G18</f>
        <v>44244.750404504026</v>
      </c>
      <c r="I11" s="52"/>
      <c r="J11" s="9"/>
      <c r="K11" s="9">
        <f t="shared" si="0"/>
        <v>468303.43199999991</v>
      </c>
      <c r="L11" s="9"/>
    </row>
    <row r="12" spans="1:12" ht="15.75" x14ac:dyDescent="0.25">
      <c r="A12" s="9"/>
      <c r="B12" s="34"/>
      <c r="C12" s="38" t="s">
        <v>58</v>
      </c>
      <c r="D12" s="24">
        <f>SUM(D10:D11)</f>
        <v>2060778.9937485815</v>
      </c>
      <c r="E12" s="24">
        <f>SUM(E10:E11)</f>
        <v>239593.58894831027</v>
      </c>
      <c r="F12" s="24">
        <f>SUM(F10:F11)</f>
        <v>1425690.5454655827</v>
      </c>
      <c r="G12" s="24">
        <f>SUM(G10:G11)</f>
        <v>267242.08355677902</v>
      </c>
      <c r="H12" s="24">
        <f>H11+H10</f>
        <v>128252.77577790941</v>
      </c>
      <c r="I12" s="37"/>
      <c r="J12" s="9"/>
      <c r="K12" s="9">
        <f t="shared" si="0"/>
        <v>2060778.9937485815</v>
      </c>
      <c r="L12" s="9"/>
    </row>
    <row r="13" spans="1:12" ht="15.75" x14ac:dyDescent="0.25">
      <c r="A13" s="9"/>
      <c r="B13" s="34"/>
      <c r="C13" s="24" t="s">
        <v>161</v>
      </c>
      <c r="D13" s="24"/>
      <c r="E13" s="123">
        <f>E12/$D$12</f>
        <v>0.11626360210149787</v>
      </c>
      <c r="F13" s="123">
        <f t="shared" ref="F13:H13" si="1">F12/$D$12</f>
        <v>0.69182117528878473</v>
      </c>
      <c r="G13" s="123">
        <f t="shared" si="1"/>
        <v>0.12968012793582609</v>
      </c>
      <c r="H13" s="123">
        <f t="shared" si="1"/>
        <v>6.2235094673891295E-2</v>
      </c>
      <c r="I13" s="37"/>
      <c r="J13" s="9"/>
      <c r="K13" s="9"/>
      <c r="L13" s="9"/>
    </row>
    <row r="14" spans="1:12" ht="15.75" x14ac:dyDescent="0.25">
      <c r="A14" s="9"/>
      <c r="B14" s="34"/>
      <c r="C14" s="38" t="s">
        <v>5</v>
      </c>
      <c r="D14" s="24"/>
      <c r="E14" s="24"/>
      <c r="F14" s="24"/>
      <c r="G14" s="24"/>
      <c r="H14" s="24"/>
      <c r="I14" s="37"/>
      <c r="J14" s="9"/>
      <c r="K14" s="9"/>
      <c r="L14" s="9"/>
    </row>
    <row r="15" spans="1:12" ht="15.75" x14ac:dyDescent="0.25">
      <c r="A15" s="9"/>
      <c r="B15" s="34"/>
      <c r="C15" s="24" t="s">
        <v>121</v>
      </c>
      <c r="D15" s="24">
        <v>-57809.7765</v>
      </c>
      <c r="E15" s="24">
        <f>E$13*$D15</f>
        <v>-6721.1728525725221</v>
      </c>
      <c r="F15" s="24">
        <f t="shared" ref="F15:H18" si="2">F$13*$D15</f>
        <v>-39994.027521411968</v>
      </c>
      <c r="G15" s="24">
        <f t="shared" si="2"/>
        <v>-7496.7792124615125</v>
      </c>
      <c r="H15" s="24">
        <f t="shared" si="2"/>
        <v>-3597.7969135539961</v>
      </c>
      <c r="I15" s="37"/>
      <c r="J15" s="9"/>
      <c r="K15" s="9">
        <f t="shared" si="0"/>
        <v>-57809.7765</v>
      </c>
      <c r="L15" s="9"/>
    </row>
    <row r="16" spans="1:12" ht="15.75" x14ac:dyDescent="0.25">
      <c r="A16" s="9"/>
      <c r="B16" s="34"/>
      <c r="C16" s="64" t="s">
        <v>48</v>
      </c>
      <c r="D16" s="24">
        <v>-75497</v>
      </c>
      <c r="E16" s="24"/>
      <c r="F16" s="24"/>
      <c r="G16" s="24">
        <f>D16</f>
        <v>-75497</v>
      </c>
      <c r="H16" s="24"/>
      <c r="I16" s="37"/>
      <c r="J16" s="9"/>
      <c r="K16" s="9">
        <f t="shared" si="0"/>
        <v>-75497</v>
      </c>
      <c r="L16" s="9"/>
    </row>
    <row r="17" spans="1:12" ht="15.75" x14ac:dyDescent="0.25">
      <c r="A17" s="9"/>
      <c r="B17" s="34"/>
      <c r="C17" s="13" t="s">
        <v>120</v>
      </c>
      <c r="D17" s="9">
        <v>-23168</v>
      </c>
      <c r="E17" s="24">
        <f t="shared" ref="E17:E18" si="3">E$13*$D17</f>
        <v>-2693.5951334875026</v>
      </c>
      <c r="F17" s="24">
        <f t="shared" si="2"/>
        <v>-16028.112989090565</v>
      </c>
      <c r="G17" s="24">
        <f t="shared" si="2"/>
        <v>-3004.429204017219</v>
      </c>
      <c r="H17" s="24">
        <f t="shared" si="2"/>
        <v>-1441.8626734047134</v>
      </c>
      <c r="I17" s="37"/>
      <c r="J17" s="9"/>
      <c r="K17" s="9">
        <f>SUM(E17:H17)</f>
        <v>-23168</v>
      </c>
      <c r="L17" s="9"/>
    </row>
    <row r="18" spans="1:12" ht="18" x14ac:dyDescent="0.4">
      <c r="A18" s="9"/>
      <c r="B18" s="34"/>
      <c r="C18" s="13" t="s">
        <v>119</v>
      </c>
      <c r="D18" s="16">
        <v>-30901</v>
      </c>
      <c r="E18" s="43">
        <f t="shared" si="3"/>
        <v>-3592.6615685383858</v>
      </c>
      <c r="F18" s="43">
        <f t="shared" si="2"/>
        <v>-21377.966137598738</v>
      </c>
      <c r="G18" s="43">
        <f t="shared" si="2"/>
        <v>-4007.2456333449618</v>
      </c>
      <c r="H18" s="43">
        <f t="shared" si="2"/>
        <v>-1923.1266605179148</v>
      </c>
      <c r="I18" s="52"/>
      <c r="J18" s="9"/>
      <c r="K18" s="9">
        <f>SUM(E18:H18)</f>
        <v>-30901</v>
      </c>
    </row>
    <row r="19" spans="1:12" ht="15.75" x14ac:dyDescent="0.25">
      <c r="A19" s="9"/>
      <c r="B19" s="34"/>
      <c r="C19" s="24"/>
      <c r="D19" s="24"/>
      <c r="E19" s="24"/>
      <c r="F19" s="24"/>
      <c r="G19" s="24"/>
      <c r="H19" s="24"/>
      <c r="I19" s="37"/>
      <c r="J19" s="9"/>
      <c r="K19" s="9"/>
      <c r="L19" s="9"/>
    </row>
    <row r="20" spans="1:12" ht="15.75" x14ac:dyDescent="0.25">
      <c r="A20" s="9"/>
      <c r="B20" s="34"/>
      <c r="C20" s="38" t="s">
        <v>35</v>
      </c>
      <c r="D20" s="51">
        <f>D12+SUM(D15:D18)</f>
        <v>1873403.2172485816</v>
      </c>
      <c r="E20" s="51">
        <f t="shared" ref="E20:H20" si="4">E12+SUM(E15:E18)</f>
        <v>226586.15939371186</v>
      </c>
      <c r="F20" s="51">
        <f t="shared" si="4"/>
        <v>1348290.4388174815</v>
      </c>
      <c r="G20" s="51">
        <f t="shared" si="4"/>
        <v>177236.62950695533</v>
      </c>
      <c r="H20" s="51">
        <f t="shared" si="4"/>
        <v>121289.98953043278</v>
      </c>
      <c r="I20" s="37"/>
      <c r="J20" s="9"/>
      <c r="K20" s="9">
        <f>SUM(E20:H20)</f>
        <v>1873403.2172485816</v>
      </c>
      <c r="L20" s="9">
        <f>SUM(K10:K18)-K12</f>
        <v>1873403.2172485809</v>
      </c>
    </row>
    <row r="21" spans="1:12" ht="15.75" x14ac:dyDescent="0.25">
      <c r="A21" s="9"/>
      <c r="B21" s="39"/>
      <c r="C21" s="10"/>
      <c r="D21" s="10"/>
      <c r="E21" s="10"/>
      <c r="F21" s="10"/>
      <c r="G21" s="10"/>
      <c r="H21" s="10"/>
      <c r="I21" s="40"/>
      <c r="J21" s="9"/>
      <c r="K21" s="9"/>
      <c r="L21" s="9"/>
    </row>
    <row r="22" spans="1:12" ht="15.7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.75" x14ac:dyDescent="0.25">
      <c r="A23" s="9"/>
      <c r="B23" s="9"/>
      <c r="C23" s="9" t="s">
        <v>182</v>
      </c>
      <c r="D23" s="9"/>
      <c r="E23" s="9"/>
      <c r="G23" s="9"/>
      <c r="H23" s="9"/>
      <c r="I23" s="9"/>
      <c r="J23" s="9"/>
      <c r="K23" s="9"/>
      <c r="L23" s="9"/>
    </row>
    <row r="25" spans="1:12" ht="15.75" x14ac:dyDescent="0.25">
      <c r="D25" s="51"/>
      <c r="E25" s="51"/>
      <c r="F25" s="51"/>
      <c r="G25" s="51"/>
      <c r="H25" s="51"/>
    </row>
    <row r="29" spans="1:12" ht="15.75" x14ac:dyDescent="0.25">
      <c r="F29" s="9">
        <f>F20+E20</f>
        <v>1574876.5982111935</v>
      </c>
    </row>
  </sheetData>
  <mergeCells count="4">
    <mergeCell ref="G7:H7"/>
    <mergeCell ref="C3:H3"/>
    <mergeCell ref="C4:H4"/>
    <mergeCell ref="C5:H5"/>
  </mergeCells>
  <printOptions horizontalCentered="1"/>
  <pageMargins left="0.45" right="0.45" top="1.5" bottom="0.75" header="0.3" footer="0.3"/>
  <pageSetup scale="9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83878-A333-46B1-95AA-7CE7856DCD0F}">
  <sheetPr>
    <pageSetUpPr fitToPage="1"/>
  </sheetPr>
  <dimension ref="B2:O43"/>
  <sheetViews>
    <sheetView workbookViewId="0"/>
  </sheetViews>
  <sheetFormatPr defaultColWidth="8.77734375" defaultRowHeight="15" x14ac:dyDescent="0.25"/>
  <cols>
    <col min="1" max="1" width="8.77734375" style="119"/>
    <col min="2" max="2" width="2.33203125" style="119" customWidth="1"/>
    <col min="3" max="3" width="9.77734375" style="119" customWidth="1"/>
    <col min="4" max="4" width="10.21875" style="119" bestFit="1" customWidth="1"/>
    <col min="5" max="5" width="9.33203125" style="119" customWidth="1"/>
    <col min="6" max="6" width="10.109375" style="119" customWidth="1"/>
    <col min="7" max="7" width="9.33203125" style="119" customWidth="1"/>
    <col min="8" max="8" width="8.44140625" style="119" customWidth="1"/>
    <col min="9" max="9" width="7.33203125" style="119" customWidth="1"/>
    <col min="10" max="10" width="6.44140625" style="119" customWidth="1"/>
    <col min="11" max="11" width="0.88671875" style="119" customWidth="1"/>
    <col min="12" max="16384" width="8.77734375" style="119"/>
  </cols>
  <sheetData>
    <row r="2" spans="2:14" ht="6.95" customHeight="1" x14ac:dyDescent="0.25">
      <c r="B2" s="167"/>
      <c r="C2" s="168"/>
      <c r="D2" s="168"/>
      <c r="E2" s="168"/>
      <c r="F2" s="168"/>
      <c r="G2" s="168"/>
      <c r="H2" s="168"/>
      <c r="I2" s="168"/>
      <c r="J2" s="168"/>
      <c r="K2" s="169"/>
    </row>
    <row r="3" spans="2:14" ht="18.75" x14ac:dyDescent="0.3">
      <c r="B3" s="173"/>
      <c r="C3" s="192" t="s">
        <v>186</v>
      </c>
      <c r="D3" s="192"/>
      <c r="E3" s="192"/>
      <c r="F3" s="192"/>
      <c r="G3" s="192"/>
      <c r="H3" s="192"/>
      <c r="I3" s="192"/>
      <c r="J3" s="192"/>
      <c r="K3" s="45"/>
      <c r="L3" s="160"/>
    </row>
    <row r="4" spans="2:14" ht="18.75" x14ac:dyDescent="0.3">
      <c r="B4" s="173"/>
      <c r="C4" s="195" t="s">
        <v>187</v>
      </c>
      <c r="D4" s="195"/>
      <c r="E4" s="195"/>
      <c r="F4" s="195"/>
      <c r="G4" s="195"/>
      <c r="H4" s="195"/>
      <c r="I4" s="195"/>
      <c r="J4" s="195"/>
      <c r="K4" s="46"/>
      <c r="L4" s="162"/>
    </row>
    <row r="5" spans="2:14" ht="15.75" x14ac:dyDescent="0.25">
      <c r="B5" s="173"/>
      <c r="C5" s="193" t="s">
        <v>93</v>
      </c>
      <c r="D5" s="193"/>
      <c r="E5" s="193"/>
      <c r="F5" s="193"/>
      <c r="G5" s="193"/>
      <c r="H5" s="193"/>
      <c r="I5" s="193"/>
      <c r="J5" s="193"/>
      <c r="K5" s="164"/>
      <c r="L5" s="161"/>
    </row>
    <row r="6" spans="2:14" x14ac:dyDescent="0.25">
      <c r="B6" s="173"/>
      <c r="C6" s="172"/>
      <c r="D6" s="172"/>
      <c r="E6" s="172"/>
      <c r="F6" s="172"/>
      <c r="G6" s="172"/>
      <c r="H6" s="172"/>
      <c r="I6" s="172"/>
      <c r="J6" s="172"/>
      <c r="K6" s="174"/>
    </row>
    <row r="7" spans="2:14" ht="15.75" x14ac:dyDescent="0.25">
      <c r="B7" s="173"/>
      <c r="C7" s="189" t="s">
        <v>129</v>
      </c>
      <c r="D7" s="165"/>
      <c r="E7" s="165"/>
      <c r="F7" s="172"/>
      <c r="G7" s="172"/>
      <c r="H7" s="172"/>
      <c r="I7" s="172"/>
      <c r="J7" s="172"/>
      <c r="K7" s="174"/>
    </row>
    <row r="8" spans="2:14" ht="20.100000000000001" customHeight="1" x14ac:dyDescent="0.4">
      <c r="B8" s="173"/>
      <c r="C8" s="175" t="s">
        <v>130</v>
      </c>
      <c r="D8" s="175" t="s">
        <v>144</v>
      </c>
      <c r="E8" s="175" t="s">
        <v>54</v>
      </c>
      <c r="F8" s="175" t="s">
        <v>54</v>
      </c>
      <c r="G8" s="175" t="s">
        <v>54</v>
      </c>
      <c r="H8" s="197" t="s">
        <v>135</v>
      </c>
      <c r="I8" s="197"/>
      <c r="J8" s="197"/>
      <c r="K8" s="176"/>
      <c r="L8" s="163"/>
    </row>
    <row r="9" spans="2:14" ht="17.25" x14ac:dyDescent="0.4">
      <c r="B9" s="173"/>
      <c r="C9" s="177" t="s">
        <v>131</v>
      </c>
      <c r="D9" s="177" t="s">
        <v>145</v>
      </c>
      <c r="E9" s="177" t="s">
        <v>132</v>
      </c>
      <c r="F9" s="177" t="s">
        <v>133</v>
      </c>
      <c r="G9" s="177" t="s">
        <v>134</v>
      </c>
      <c r="H9" s="178" t="s">
        <v>136</v>
      </c>
      <c r="I9" s="178" t="s">
        <v>137</v>
      </c>
      <c r="J9" s="178" t="s">
        <v>138</v>
      </c>
      <c r="K9" s="179"/>
      <c r="L9" s="120"/>
    </row>
    <row r="10" spans="2:14" x14ac:dyDescent="0.25">
      <c r="B10" s="173"/>
      <c r="C10" s="180" t="s">
        <v>139</v>
      </c>
      <c r="D10" s="172">
        <v>7746</v>
      </c>
      <c r="E10" s="172">
        <f>D10*1000</f>
        <v>7746000</v>
      </c>
      <c r="F10" s="172">
        <v>2237600</v>
      </c>
      <c r="G10" s="172">
        <f>E10-F10</f>
        <v>5508400</v>
      </c>
      <c r="H10" s="172">
        <f>G10</f>
        <v>5508400</v>
      </c>
      <c r="I10" s="172"/>
      <c r="J10" s="172"/>
      <c r="K10" s="174"/>
    </row>
    <row r="11" spans="2:14" ht="14.45" customHeight="1" x14ac:dyDescent="0.25">
      <c r="B11" s="173"/>
      <c r="C11" s="181" t="s">
        <v>140</v>
      </c>
      <c r="D11" s="172">
        <v>166</v>
      </c>
      <c r="E11" s="172">
        <f>D11*5000</f>
        <v>830000</v>
      </c>
      <c r="F11" s="172">
        <v>207300</v>
      </c>
      <c r="G11" s="172">
        <f t="shared" ref="G11:G16" si="0">E11-F11</f>
        <v>622700</v>
      </c>
      <c r="H11" s="172">
        <f>G11</f>
        <v>622700</v>
      </c>
      <c r="I11" s="172"/>
      <c r="J11" s="172"/>
      <c r="K11" s="174"/>
    </row>
    <row r="12" spans="2:14" x14ac:dyDescent="0.25">
      <c r="B12" s="173"/>
      <c r="C12" s="181" t="s">
        <v>141</v>
      </c>
      <c r="D12" s="172">
        <v>151</v>
      </c>
      <c r="E12" s="172">
        <f>D12*15000</f>
        <v>2265000</v>
      </c>
      <c r="F12" s="172">
        <v>471600</v>
      </c>
      <c r="G12" s="172">
        <f t="shared" si="0"/>
        <v>1793400</v>
      </c>
      <c r="H12" s="172">
        <f>G12</f>
        <v>1793400</v>
      </c>
      <c r="I12" s="172"/>
      <c r="J12" s="172"/>
      <c r="K12" s="174"/>
      <c r="N12" s="119">
        <f>H12/D12</f>
        <v>11876.821192052979</v>
      </c>
    </row>
    <row r="13" spans="2:14" x14ac:dyDescent="0.25">
      <c r="B13" s="173"/>
      <c r="C13" s="181"/>
      <c r="D13" s="172">
        <v>50</v>
      </c>
      <c r="E13" s="172">
        <f>D13*15000</f>
        <v>750000</v>
      </c>
      <c r="F13" s="172">
        <f>1099100-F12</f>
        <v>627500</v>
      </c>
      <c r="G13" s="172">
        <f t="shared" si="0"/>
        <v>122500</v>
      </c>
      <c r="H13" s="172"/>
      <c r="I13" s="172">
        <f>G13</f>
        <v>122500</v>
      </c>
      <c r="J13" s="172"/>
      <c r="K13" s="174"/>
    </row>
    <row r="14" spans="2:14" x14ac:dyDescent="0.25">
      <c r="B14" s="173"/>
      <c r="C14" s="181" t="s">
        <v>142</v>
      </c>
      <c r="D14" s="172">
        <v>12</v>
      </c>
      <c r="E14" s="172">
        <f>D14*30000</f>
        <v>360000</v>
      </c>
      <c r="F14" s="172">
        <v>3500</v>
      </c>
      <c r="G14" s="172">
        <f t="shared" si="0"/>
        <v>356500</v>
      </c>
      <c r="H14" s="172">
        <f>G14</f>
        <v>356500</v>
      </c>
      <c r="I14" s="172"/>
      <c r="J14" s="172"/>
      <c r="K14" s="174"/>
    </row>
    <row r="15" spans="2:14" x14ac:dyDescent="0.25">
      <c r="B15" s="173"/>
      <c r="C15" s="181"/>
      <c r="D15" s="172">
        <v>6</v>
      </c>
      <c r="E15" s="172">
        <f>D15*30000</f>
        <v>180000</v>
      </c>
      <c r="F15" s="172">
        <v>110200</v>
      </c>
      <c r="G15" s="172">
        <f t="shared" ref="G15" si="1">E15-F15</f>
        <v>69800</v>
      </c>
      <c r="H15" s="172"/>
      <c r="I15" s="172">
        <f>G15</f>
        <v>69800</v>
      </c>
      <c r="J15" s="172"/>
      <c r="K15" s="174"/>
    </row>
    <row r="16" spans="2:14" ht="17.25" x14ac:dyDescent="0.4">
      <c r="B16" s="173"/>
      <c r="C16" s="181" t="s">
        <v>143</v>
      </c>
      <c r="D16" s="182">
        <v>0</v>
      </c>
      <c r="E16" s="182">
        <v>0</v>
      </c>
      <c r="F16" s="182">
        <v>0</v>
      </c>
      <c r="G16" s="182">
        <f t="shared" si="0"/>
        <v>0</v>
      </c>
      <c r="H16" s="182">
        <v>0</v>
      </c>
      <c r="I16" s="182">
        <v>0</v>
      </c>
      <c r="J16" s="182">
        <v>0</v>
      </c>
      <c r="K16" s="183"/>
      <c r="L16" s="121"/>
    </row>
    <row r="17" spans="2:14" x14ac:dyDescent="0.25">
      <c r="B17" s="173"/>
      <c r="C17" s="184" t="s">
        <v>8</v>
      </c>
      <c r="D17" s="172">
        <f t="shared" ref="D17:J17" si="2">SUM(D10:D16)</f>
        <v>8131</v>
      </c>
      <c r="E17" s="172">
        <f t="shared" si="2"/>
        <v>12131000</v>
      </c>
      <c r="F17" s="172">
        <f t="shared" si="2"/>
        <v>3657700</v>
      </c>
      <c r="G17" s="172">
        <f t="shared" si="2"/>
        <v>8473300</v>
      </c>
      <c r="H17" s="172">
        <f t="shared" si="2"/>
        <v>8281000</v>
      </c>
      <c r="I17" s="172">
        <f t="shared" si="2"/>
        <v>192300</v>
      </c>
      <c r="J17" s="172">
        <f t="shared" si="2"/>
        <v>0</v>
      </c>
      <c r="K17" s="174"/>
    </row>
    <row r="18" spans="2:14" x14ac:dyDescent="0.25">
      <c r="B18" s="173"/>
      <c r="C18" s="172"/>
      <c r="D18" s="172"/>
      <c r="E18" s="172"/>
      <c r="F18" s="172"/>
      <c r="G18" s="172"/>
      <c r="H18" s="172"/>
      <c r="I18" s="172"/>
      <c r="J18" s="172"/>
      <c r="K18" s="174"/>
    </row>
    <row r="19" spans="2:14" ht="15.75" x14ac:dyDescent="0.25">
      <c r="B19" s="173"/>
      <c r="C19" s="190" t="s">
        <v>146</v>
      </c>
      <c r="D19" s="166"/>
      <c r="E19" s="166"/>
      <c r="F19" s="172"/>
      <c r="G19" s="172"/>
      <c r="H19" s="172"/>
      <c r="I19" s="172"/>
      <c r="J19" s="172"/>
      <c r="K19" s="174"/>
    </row>
    <row r="20" spans="2:14" ht="20.100000000000001" customHeight="1" x14ac:dyDescent="0.25">
      <c r="B20" s="173"/>
      <c r="C20" s="175" t="s">
        <v>126</v>
      </c>
      <c r="D20" s="175" t="s">
        <v>149</v>
      </c>
      <c r="E20" s="175" t="s">
        <v>4</v>
      </c>
      <c r="F20" s="175" t="s">
        <v>152</v>
      </c>
      <c r="G20" s="172"/>
      <c r="H20" s="172"/>
      <c r="I20" s="172"/>
      <c r="J20" s="172"/>
      <c r="K20" s="174"/>
    </row>
    <row r="21" spans="2:14" ht="17.25" x14ac:dyDescent="0.4">
      <c r="B21" s="173"/>
      <c r="C21" s="177" t="s">
        <v>148</v>
      </c>
      <c r="D21" s="177" t="s">
        <v>150</v>
      </c>
      <c r="E21" s="177" t="s">
        <v>151</v>
      </c>
      <c r="F21" s="177" t="s">
        <v>150</v>
      </c>
      <c r="G21" s="172"/>
      <c r="H21" s="172"/>
      <c r="I21" s="172"/>
      <c r="J21" s="172"/>
      <c r="K21" s="174"/>
    </row>
    <row r="22" spans="2:14" x14ac:dyDescent="0.25">
      <c r="B22" s="173"/>
      <c r="C22" s="185" t="s">
        <v>147</v>
      </c>
      <c r="D22" s="172">
        <v>121021900</v>
      </c>
      <c r="E22" s="172">
        <f>H17</f>
        <v>8281000</v>
      </c>
      <c r="F22" s="172">
        <f>D22+E22</f>
        <v>129302900</v>
      </c>
      <c r="G22" s="172"/>
      <c r="H22" s="172"/>
      <c r="I22" s="172"/>
      <c r="J22" s="172"/>
      <c r="K22" s="174"/>
    </row>
    <row r="23" spans="2:14" x14ac:dyDescent="0.25">
      <c r="B23" s="173"/>
      <c r="C23" s="185" t="s">
        <v>137</v>
      </c>
      <c r="D23" s="172">
        <v>32532800</v>
      </c>
      <c r="E23" s="172">
        <f>I17</f>
        <v>192300</v>
      </c>
      <c r="F23" s="172">
        <f t="shared" ref="F23:F24" si="3">D23+E23</f>
        <v>32725100</v>
      </c>
      <c r="G23" s="172"/>
      <c r="H23" s="172"/>
      <c r="I23" s="172"/>
      <c r="J23" s="172"/>
      <c r="K23" s="174"/>
    </row>
    <row r="24" spans="2:14" ht="17.25" x14ac:dyDescent="0.4">
      <c r="B24" s="173"/>
      <c r="C24" s="185" t="s">
        <v>180</v>
      </c>
      <c r="D24" s="182">
        <v>103957100</v>
      </c>
      <c r="E24" s="182">
        <v>0</v>
      </c>
      <c r="F24" s="182">
        <f t="shared" si="3"/>
        <v>103957100</v>
      </c>
      <c r="G24" s="172"/>
      <c r="H24" s="172"/>
      <c r="I24" s="172"/>
      <c r="J24" s="172"/>
      <c r="K24" s="174"/>
    </row>
    <row r="25" spans="2:14" x14ac:dyDescent="0.25">
      <c r="B25" s="173"/>
      <c r="C25" s="186" t="s">
        <v>8</v>
      </c>
      <c r="D25" s="172">
        <f>SUM(D22:D24)</f>
        <v>257511800</v>
      </c>
      <c r="E25" s="172">
        <f>SUM(E22:E24)</f>
        <v>8473300</v>
      </c>
      <c r="F25" s="172">
        <f>SUM(F22:F24)</f>
        <v>265985100</v>
      </c>
      <c r="G25" s="172"/>
      <c r="H25" s="172"/>
      <c r="I25" s="172"/>
      <c r="J25" s="172"/>
      <c r="K25" s="174"/>
    </row>
    <row r="26" spans="2:14" x14ac:dyDescent="0.25">
      <c r="B26" s="173"/>
      <c r="C26" s="186"/>
      <c r="D26" s="172"/>
      <c r="E26" s="172"/>
      <c r="F26" s="172"/>
      <c r="G26" s="172"/>
      <c r="H26" s="172"/>
      <c r="I26" s="172"/>
      <c r="J26" s="172"/>
      <c r="K26" s="174"/>
    </row>
    <row r="27" spans="2:14" ht="15.75" x14ac:dyDescent="0.25">
      <c r="B27" s="173"/>
      <c r="C27" s="190" t="s">
        <v>153</v>
      </c>
      <c r="D27" s="166"/>
      <c r="E27" s="166"/>
      <c r="F27" s="172"/>
      <c r="G27" s="172"/>
      <c r="H27" s="172"/>
      <c r="I27" s="172"/>
      <c r="J27" s="172"/>
      <c r="K27" s="174"/>
    </row>
    <row r="28" spans="2:14" ht="20.100000000000001" customHeight="1" x14ac:dyDescent="0.4">
      <c r="B28" s="173"/>
      <c r="C28" s="175" t="s">
        <v>130</v>
      </c>
      <c r="D28" s="175" t="s">
        <v>1</v>
      </c>
      <c r="E28" s="175" t="s">
        <v>1</v>
      </c>
      <c r="F28" s="175" t="s">
        <v>144</v>
      </c>
      <c r="G28" s="175" t="s">
        <v>144</v>
      </c>
      <c r="H28" s="172"/>
      <c r="I28" s="172"/>
      <c r="J28" s="172"/>
      <c r="K28" s="174"/>
      <c r="M28" s="211" t="s">
        <v>190</v>
      </c>
      <c r="N28" s="211"/>
    </row>
    <row r="29" spans="2:14" ht="17.25" x14ac:dyDescent="0.4">
      <c r="B29" s="173"/>
      <c r="C29" s="177" t="s">
        <v>131</v>
      </c>
      <c r="D29" s="177" t="s">
        <v>176</v>
      </c>
      <c r="E29" s="177" t="s">
        <v>154</v>
      </c>
      <c r="F29" s="177" t="s">
        <v>155</v>
      </c>
      <c r="G29" s="177" t="s">
        <v>156</v>
      </c>
      <c r="H29" s="172"/>
      <c r="I29" s="172"/>
      <c r="J29" s="172"/>
      <c r="K29" s="174"/>
      <c r="M29" s="120" t="s">
        <v>139</v>
      </c>
      <c r="N29" s="142" t="s">
        <v>140</v>
      </c>
    </row>
    <row r="30" spans="2:14" x14ac:dyDescent="0.25">
      <c r="B30" s="173"/>
      <c r="C30" s="180" t="s">
        <v>139</v>
      </c>
      <c r="D30" s="187">
        <v>1292.23</v>
      </c>
      <c r="E30" s="188">
        <f>D30/$D$30</f>
        <v>1</v>
      </c>
      <c r="F30" s="172">
        <v>35188</v>
      </c>
      <c r="G30" s="172">
        <f>ROUND(F30*E30,0)</f>
        <v>35188</v>
      </c>
      <c r="H30" s="172"/>
      <c r="I30" s="172"/>
      <c r="J30" s="172"/>
      <c r="K30" s="174"/>
      <c r="M30" s="143">
        <v>1423.1</v>
      </c>
      <c r="N30" s="143">
        <v>1929.86</v>
      </c>
    </row>
    <row r="31" spans="2:14" ht="17.25" x14ac:dyDescent="0.4">
      <c r="B31" s="173"/>
      <c r="C31" s="181" t="s">
        <v>140</v>
      </c>
      <c r="D31" s="172">
        <v>1655.84</v>
      </c>
      <c r="E31" s="188">
        <f t="shared" ref="E31:E34" si="4">D31/$D$30</f>
        <v>1.2813817973580555</v>
      </c>
      <c r="F31" s="172">
        <v>422</v>
      </c>
      <c r="G31" s="172">
        <f t="shared" ref="G31:G34" si="5">ROUND(F31*E31,0)</f>
        <v>541</v>
      </c>
      <c r="H31" s="172"/>
      <c r="I31" s="172"/>
      <c r="J31" s="172"/>
      <c r="K31" s="174"/>
      <c r="M31" s="144">
        <v>-259.88</v>
      </c>
      <c r="N31" s="144">
        <v>-365.28</v>
      </c>
    </row>
    <row r="32" spans="2:14" x14ac:dyDescent="0.25">
      <c r="B32" s="173"/>
      <c r="C32" s="181" t="s">
        <v>141</v>
      </c>
      <c r="D32" s="172">
        <v>16033.67</v>
      </c>
      <c r="E32" s="188">
        <f t="shared" si="4"/>
        <v>12.407752489881831</v>
      </c>
      <c r="F32" s="172">
        <v>551</v>
      </c>
      <c r="G32" s="172">
        <f t="shared" si="5"/>
        <v>6837</v>
      </c>
      <c r="H32" s="172"/>
      <c r="I32" s="172"/>
      <c r="J32" s="172"/>
      <c r="K32" s="174"/>
      <c r="M32" s="143">
        <f>M30+M31</f>
        <v>1163.2199999999998</v>
      </c>
      <c r="N32" s="143">
        <f>N30+N31</f>
        <v>1564.58</v>
      </c>
    </row>
    <row r="33" spans="2:15" ht="17.25" x14ac:dyDescent="0.4">
      <c r="B33" s="173"/>
      <c r="C33" s="181" t="s">
        <v>142</v>
      </c>
      <c r="D33" s="172">
        <v>19183.37</v>
      </c>
      <c r="E33" s="188">
        <f t="shared" si="4"/>
        <v>14.845166882056599</v>
      </c>
      <c r="F33" s="172">
        <v>36</v>
      </c>
      <c r="G33" s="172">
        <f t="shared" si="5"/>
        <v>534</v>
      </c>
      <c r="H33" s="172"/>
      <c r="I33" s="172"/>
      <c r="J33" s="172"/>
      <c r="K33" s="174"/>
      <c r="M33" s="144">
        <v>305</v>
      </c>
      <c r="N33" s="144">
        <v>383</v>
      </c>
    </row>
    <row r="34" spans="2:15" ht="17.25" x14ac:dyDescent="0.4">
      <c r="B34" s="173"/>
      <c r="C34" s="181" t="s">
        <v>143</v>
      </c>
      <c r="D34" s="172">
        <v>23673.54</v>
      </c>
      <c r="E34" s="188">
        <f t="shared" si="4"/>
        <v>18.319912089953029</v>
      </c>
      <c r="F34" s="182">
        <v>12</v>
      </c>
      <c r="G34" s="182">
        <f t="shared" si="5"/>
        <v>220</v>
      </c>
      <c r="H34" s="172"/>
      <c r="I34" s="172"/>
      <c r="J34" s="172"/>
      <c r="K34" s="174"/>
      <c r="M34" s="143">
        <f>M32+M33</f>
        <v>1468.2199999999998</v>
      </c>
      <c r="N34" s="143">
        <f>N32+N33</f>
        <v>1947.58</v>
      </c>
      <c r="O34" s="119" t="s">
        <v>178</v>
      </c>
    </row>
    <row r="35" spans="2:15" x14ac:dyDescent="0.25">
      <c r="B35" s="173"/>
      <c r="C35" s="186" t="s">
        <v>8</v>
      </c>
      <c r="D35" s="172"/>
      <c r="E35" s="172"/>
      <c r="F35" s="172">
        <f>SUM(F30:F34)</f>
        <v>36209</v>
      </c>
      <c r="G35" s="172">
        <f>SUM(G30:G34)</f>
        <v>43320</v>
      </c>
      <c r="H35" s="172"/>
      <c r="I35" s="172"/>
      <c r="J35" s="172"/>
      <c r="K35" s="174"/>
    </row>
    <row r="36" spans="2:15" x14ac:dyDescent="0.25">
      <c r="B36" s="170"/>
      <c r="C36" s="166"/>
      <c r="D36" s="166"/>
      <c r="E36" s="166"/>
      <c r="F36" s="166"/>
      <c r="G36" s="166"/>
      <c r="H36" s="166"/>
      <c r="I36" s="166"/>
      <c r="J36" s="166"/>
      <c r="K36" s="171"/>
    </row>
    <row r="37" spans="2:15" x14ac:dyDescent="0.25">
      <c r="M37" s="143">
        <v>1423.1</v>
      </c>
      <c r="N37" s="143">
        <v>1929.86</v>
      </c>
    </row>
    <row r="38" spans="2:15" ht="17.25" x14ac:dyDescent="0.4">
      <c r="M38" s="144">
        <f>-232.99-378.88</f>
        <v>-611.87</v>
      </c>
      <c r="N38" s="144">
        <f>-418.11-530.66</f>
        <v>-948.77</v>
      </c>
    </row>
    <row r="39" spans="2:15" x14ac:dyDescent="0.25">
      <c r="M39" s="143">
        <f>M37+M38</f>
        <v>811.2299999999999</v>
      </c>
      <c r="N39" s="143">
        <f>N37+N38</f>
        <v>981.08999999999992</v>
      </c>
    </row>
    <row r="40" spans="2:15" ht="17.25" x14ac:dyDescent="0.4">
      <c r="M40" s="144">
        <v>305</v>
      </c>
      <c r="N40" s="144">
        <v>383</v>
      </c>
    </row>
    <row r="41" spans="2:15" x14ac:dyDescent="0.25">
      <c r="M41" s="143">
        <f>M39+M40</f>
        <v>1116.23</v>
      </c>
      <c r="N41" s="143">
        <f>N39+N40</f>
        <v>1364.09</v>
      </c>
      <c r="O41" s="119" t="s">
        <v>177</v>
      </c>
    </row>
    <row r="43" spans="2:15" x14ac:dyDescent="0.25">
      <c r="M43" s="143">
        <f>(M34+M41)/2</f>
        <v>1292.2249999999999</v>
      </c>
      <c r="N43" s="143">
        <f>(N34+N41)/2</f>
        <v>1655.835</v>
      </c>
      <c r="O43" s="119" t="s">
        <v>179</v>
      </c>
    </row>
  </sheetData>
  <mergeCells count="5">
    <mergeCell ref="H8:J8"/>
    <mergeCell ref="C3:J3"/>
    <mergeCell ref="C4:J4"/>
    <mergeCell ref="C5:J5"/>
    <mergeCell ref="M28:N28"/>
  </mergeCells>
  <printOptions horizontalCentered="1"/>
  <pageMargins left="0.45" right="0.45" top="1.2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V88"/>
  <sheetViews>
    <sheetView workbookViewId="0"/>
  </sheetViews>
  <sheetFormatPr defaultRowHeight="15.75" x14ac:dyDescent="0.25"/>
  <cols>
    <col min="2" max="2" width="1.77734375" customWidth="1"/>
    <col min="3" max="3" width="21.44140625" customWidth="1"/>
    <col min="4" max="7" width="10.77734375" customWidth="1"/>
    <col min="8" max="8" width="1.77734375" customWidth="1"/>
    <col min="9" max="9" width="9.88671875" bestFit="1" customWidth="1"/>
    <col min="10" max="10" width="14.5546875" style="2" bestFit="1" customWidth="1"/>
    <col min="11" max="11" width="10.21875" style="1" bestFit="1" customWidth="1"/>
    <col min="13" max="13" width="10.5546875" bestFit="1" customWidth="1"/>
  </cols>
  <sheetData>
    <row r="2" spans="2:13" ht="6.95" customHeight="1" x14ac:dyDescent="0.25">
      <c r="B2" s="30"/>
      <c r="C2" s="31"/>
      <c r="D2" s="31"/>
      <c r="E2" s="31"/>
      <c r="F2" s="31"/>
      <c r="G2" s="31"/>
      <c r="H2" s="32"/>
    </row>
    <row r="3" spans="2:13" ht="18.75" x14ac:dyDescent="0.3">
      <c r="B3" s="34"/>
      <c r="C3" s="192" t="s">
        <v>188</v>
      </c>
      <c r="D3" s="192"/>
      <c r="E3" s="192"/>
      <c r="F3" s="192"/>
      <c r="G3" s="192"/>
      <c r="H3" s="45"/>
    </row>
    <row r="4" spans="2:13" ht="18.75" x14ac:dyDescent="0.3">
      <c r="B4" s="34"/>
      <c r="C4" s="195" t="s">
        <v>164</v>
      </c>
      <c r="D4" s="195"/>
      <c r="E4" s="195"/>
      <c r="F4" s="195"/>
      <c r="G4" s="195"/>
      <c r="H4" s="46"/>
    </row>
    <row r="5" spans="2:13" ht="18.75" x14ac:dyDescent="0.25">
      <c r="B5" s="34"/>
      <c r="C5" s="193" t="s">
        <v>93</v>
      </c>
      <c r="D5" s="193"/>
      <c r="E5" s="193"/>
      <c r="F5" s="193"/>
      <c r="G5" s="193"/>
      <c r="H5" s="49"/>
    </row>
    <row r="6" spans="2:13" ht="15" customHeight="1" x14ac:dyDescent="0.25">
      <c r="B6" s="34"/>
      <c r="C6" s="53"/>
      <c r="D6" s="53"/>
      <c r="E6" s="53"/>
      <c r="F6" s="53"/>
      <c r="G6" s="53"/>
      <c r="H6" s="49"/>
    </row>
    <row r="7" spans="2:13" ht="18.75" x14ac:dyDescent="0.25">
      <c r="B7" s="34"/>
      <c r="C7" s="198" t="s">
        <v>50</v>
      </c>
      <c r="D7" s="198"/>
      <c r="E7" s="145"/>
      <c r="F7" s="53"/>
      <c r="G7" s="53"/>
      <c r="H7" s="49"/>
    </row>
    <row r="8" spans="2:13" x14ac:dyDescent="0.25">
      <c r="B8" s="34"/>
      <c r="C8" s="24"/>
      <c r="D8" s="131"/>
      <c r="E8" s="131" t="s">
        <v>36</v>
      </c>
      <c r="F8" s="131" t="s">
        <v>37</v>
      </c>
      <c r="G8" s="131" t="s">
        <v>38</v>
      </c>
      <c r="H8" s="54"/>
    </row>
    <row r="9" spans="2:13" ht="18" x14ac:dyDescent="0.4">
      <c r="B9" s="34"/>
      <c r="C9" s="24"/>
      <c r="D9" s="35" t="s">
        <v>19</v>
      </c>
      <c r="E9" s="35">
        <v>10000</v>
      </c>
      <c r="F9" s="35">
        <v>40000</v>
      </c>
      <c r="G9" s="35">
        <v>50000</v>
      </c>
      <c r="H9" s="55"/>
    </row>
    <row r="10" spans="2:13" x14ac:dyDescent="0.25">
      <c r="B10" s="34"/>
      <c r="C10" s="24" t="s">
        <v>162</v>
      </c>
      <c r="D10" s="124">
        <f>Units!F25/1000</f>
        <v>265985.09999999998</v>
      </c>
      <c r="E10" s="124">
        <f>Units!F22/1000</f>
        <v>129302.9</v>
      </c>
      <c r="F10" s="124">
        <f>Units!F23/1000</f>
        <v>32725.1</v>
      </c>
      <c r="G10" s="124">
        <f>Units!F24/1000</f>
        <v>103957.1</v>
      </c>
      <c r="H10" s="37"/>
      <c r="J10" s="125">
        <f>SUM(E10:G10)</f>
        <v>265985.09999999998</v>
      </c>
    </row>
    <row r="11" spans="2:13" x14ac:dyDescent="0.25">
      <c r="B11" s="34"/>
      <c r="C11" s="24" t="s">
        <v>39</v>
      </c>
      <c r="D11" s="44">
        <f>SUM(E11:G11)</f>
        <v>1</v>
      </c>
      <c r="E11" s="44">
        <f>E10/$D$10</f>
        <v>0.48612835831781559</v>
      </c>
      <c r="F11" s="44">
        <f>F10/$D$10</f>
        <v>0.12303358346012616</v>
      </c>
      <c r="G11" s="44">
        <f>G10/$D$10</f>
        <v>0.39083805822205836</v>
      </c>
      <c r="H11" s="56"/>
      <c r="J11" s="67">
        <f>SUM(E11:G11)</f>
        <v>1</v>
      </c>
    </row>
    <row r="12" spans="2:13" x14ac:dyDescent="0.25">
      <c r="B12" s="34"/>
      <c r="C12" s="24"/>
      <c r="D12" s="24"/>
      <c r="E12" s="24"/>
      <c r="F12" s="24"/>
      <c r="G12" s="24"/>
      <c r="H12" s="37"/>
    </row>
    <row r="13" spans="2:13" x14ac:dyDescent="0.25">
      <c r="B13" s="34"/>
      <c r="C13" s="24" t="s">
        <v>40</v>
      </c>
      <c r="D13" s="24"/>
      <c r="E13" s="57">
        <v>3</v>
      </c>
      <c r="F13" s="57">
        <v>2</v>
      </c>
      <c r="G13" s="57">
        <v>1</v>
      </c>
      <c r="H13" s="58"/>
    </row>
    <row r="14" spans="2:13" x14ac:dyDescent="0.25">
      <c r="B14" s="34"/>
      <c r="C14" s="24" t="s">
        <v>41</v>
      </c>
      <c r="D14" s="124">
        <f>SUM(E14:G14)</f>
        <v>557316</v>
      </c>
      <c r="E14" s="124">
        <f>E13*E10</f>
        <v>387908.69999999995</v>
      </c>
      <c r="F14" s="124">
        <f>F13*F10</f>
        <v>65450.2</v>
      </c>
      <c r="G14" s="124">
        <f>G13*G10</f>
        <v>103957.1</v>
      </c>
      <c r="H14" s="37"/>
    </row>
    <row r="15" spans="2:13" x14ac:dyDescent="0.25">
      <c r="B15" s="34"/>
      <c r="C15" s="24" t="s">
        <v>42</v>
      </c>
      <c r="D15" s="44">
        <f>SUM(E15:G15)</f>
        <v>1</v>
      </c>
      <c r="E15" s="44">
        <f>E14/$D$14</f>
        <v>0.69603007988286714</v>
      </c>
      <c r="F15" s="44">
        <f>F14/$D$14</f>
        <v>0.11743822176287778</v>
      </c>
      <c r="G15" s="44">
        <f>G14/$D$14</f>
        <v>0.18653169835425504</v>
      </c>
      <c r="H15" s="56"/>
    </row>
    <row r="16" spans="2:13" x14ac:dyDescent="0.25">
      <c r="B16" s="34"/>
      <c r="C16" s="24"/>
      <c r="D16" s="24"/>
      <c r="E16" s="24"/>
      <c r="F16" s="44"/>
      <c r="G16" s="44"/>
      <c r="H16" s="56"/>
      <c r="L16" s="2"/>
      <c r="M16" s="74"/>
    </row>
    <row r="17" spans="2:22" x14ac:dyDescent="0.25">
      <c r="B17" s="34"/>
      <c r="C17" s="24" t="s">
        <v>43</v>
      </c>
      <c r="D17" s="24">
        <f>AlocSum!E20</f>
        <v>226586.15939371186</v>
      </c>
      <c r="E17" s="24">
        <f>$D17*E11</f>
        <v>110149.95768360404</v>
      </c>
      <c r="F17" s="24">
        <f>$D17*F11</f>
        <v>27877.707152675699</v>
      </c>
      <c r="G17" s="24">
        <f>$D17*G11</f>
        <v>88558.494557432146</v>
      </c>
      <c r="H17" s="37"/>
      <c r="J17" s="125">
        <f>SUM(E17:G17)</f>
        <v>226586.15939371189</v>
      </c>
      <c r="L17" s="2"/>
      <c r="M17" s="72"/>
    </row>
    <row r="18" spans="2:22" ht="18" x14ac:dyDescent="0.4">
      <c r="B18" s="34"/>
      <c r="C18" s="24" t="s">
        <v>44</v>
      </c>
      <c r="D18" s="43">
        <f>AlocSum!F20</f>
        <v>1348290.4388174815</v>
      </c>
      <c r="E18" s="43">
        <f>$D18*E15</f>
        <v>938450.70183543768</v>
      </c>
      <c r="F18" s="43">
        <f>$D18*F15</f>
        <v>158340.8315546152</v>
      </c>
      <c r="G18" s="43">
        <f>$D18*G15</f>
        <v>251498.90542742863</v>
      </c>
      <c r="H18" s="37"/>
      <c r="J18" s="125">
        <f>SUM(E18:G18)</f>
        <v>1348290.4388174815</v>
      </c>
      <c r="L18" s="2"/>
      <c r="M18" s="72"/>
    </row>
    <row r="19" spans="2:22" x14ac:dyDescent="0.25">
      <c r="B19" s="34"/>
      <c r="C19" s="24" t="s">
        <v>45</v>
      </c>
      <c r="D19" s="24">
        <f>SUM(D17:D18)</f>
        <v>1574876.5982111935</v>
      </c>
      <c r="E19" s="24">
        <f>SUM(E17:E18)</f>
        <v>1048600.6595190417</v>
      </c>
      <c r="F19" s="24">
        <f>SUM(F17:F18)</f>
        <v>186218.53870729089</v>
      </c>
      <c r="G19" s="24">
        <f>SUM(G17:G18)</f>
        <v>340057.39998486079</v>
      </c>
      <c r="H19" s="37"/>
      <c r="I19" s="25"/>
      <c r="J19" s="125">
        <f>SUM(E19:G19)</f>
        <v>1574876.5982111935</v>
      </c>
      <c r="K19" s="23"/>
      <c r="L19" s="2"/>
      <c r="M19" s="72"/>
    </row>
    <row r="20" spans="2:22" x14ac:dyDescent="0.25">
      <c r="B20" s="34"/>
      <c r="C20" s="24"/>
      <c r="D20" s="24"/>
      <c r="E20" s="24"/>
      <c r="F20" s="24"/>
      <c r="G20" s="24"/>
      <c r="H20" s="37"/>
    </row>
    <row r="21" spans="2:22" x14ac:dyDescent="0.25">
      <c r="B21" s="34"/>
      <c r="C21" s="24" t="s">
        <v>163</v>
      </c>
      <c r="D21" s="24"/>
      <c r="E21" s="124">
        <f>E10</f>
        <v>129302.9</v>
      </c>
      <c r="F21" s="124">
        <f t="shared" ref="F21:G21" si="0">F10</f>
        <v>32725.1</v>
      </c>
      <c r="G21" s="124">
        <f t="shared" si="0"/>
        <v>103957.1</v>
      </c>
      <c r="H21" s="37"/>
      <c r="I21" s="25"/>
      <c r="J21" s="2">
        <f>I21*0.04</f>
        <v>0</v>
      </c>
      <c r="L21" s="1"/>
    </row>
    <row r="22" spans="2:22" x14ac:dyDescent="0.25">
      <c r="B22" s="34"/>
      <c r="C22" s="24"/>
      <c r="D22" s="24"/>
      <c r="E22" s="24"/>
      <c r="F22" s="24"/>
      <c r="G22" s="24"/>
      <c r="H22" s="37"/>
    </row>
    <row r="23" spans="2:22" x14ac:dyDescent="0.25">
      <c r="B23" s="34"/>
      <c r="C23" s="38" t="s">
        <v>49</v>
      </c>
      <c r="D23" s="24"/>
      <c r="E23" s="146">
        <f>ROUND(E19/E21,2)</f>
        <v>8.11</v>
      </c>
      <c r="F23" s="146">
        <f t="shared" ref="F23:G23" si="1">ROUND(F19/F21,2)</f>
        <v>5.69</v>
      </c>
      <c r="G23" s="146">
        <f t="shared" si="1"/>
        <v>3.27</v>
      </c>
      <c r="H23" s="37"/>
    </row>
    <row r="24" spans="2:22" x14ac:dyDescent="0.25">
      <c r="B24" s="34"/>
      <c r="C24" s="24"/>
      <c r="D24" s="24"/>
      <c r="E24" s="146"/>
      <c r="F24" s="146"/>
      <c r="G24" s="146"/>
      <c r="H24" s="37"/>
    </row>
    <row r="25" spans="2:22" x14ac:dyDescent="0.25">
      <c r="B25" s="34"/>
      <c r="C25" s="150" t="s">
        <v>55</v>
      </c>
      <c r="D25" s="151"/>
      <c r="E25" s="152">
        <f>ROUND(E19/E21,2)+0.11</f>
        <v>8.2199999999999989</v>
      </c>
      <c r="F25" s="152">
        <f>ROUND(F19/F21,2)</f>
        <v>5.69</v>
      </c>
      <c r="G25" s="153">
        <f>ROUND(G19/G21,2)</f>
        <v>3.27</v>
      </c>
      <c r="H25" s="60"/>
    </row>
    <row r="26" spans="2:22" x14ac:dyDescent="0.25">
      <c r="B26" s="34"/>
      <c r="C26" s="24" t="s">
        <v>185</v>
      </c>
      <c r="D26" s="24"/>
      <c r="E26" s="24"/>
      <c r="F26" s="59"/>
      <c r="G26" s="59"/>
      <c r="H26" s="60"/>
    </row>
    <row r="27" spans="2:22" x14ac:dyDescent="0.25">
      <c r="B27" s="34"/>
      <c r="C27" s="75"/>
      <c r="D27" s="38"/>
      <c r="E27" s="38"/>
      <c r="F27" s="61"/>
      <c r="G27" s="61"/>
      <c r="H27" s="60"/>
    </row>
    <row r="28" spans="2:22" ht="18" x14ac:dyDescent="0.25">
      <c r="B28" s="34"/>
      <c r="C28" s="198" t="s">
        <v>165</v>
      </c>
      <c r="D28" s="198"/>
      <c r="E28" s="38"/>
      <c r="F28" s="61"/>
      <c r="G28" s="61"/>
      <c r="H28" s="60"/>
    </row>
    <row r="29" spans="2:22" x14ac:dyDescent="0.25">
      <c r="B29" s="34"/>
      <c r="C29" s="6"/>
      <c r="D29" s="122" t="s">
        <v>157</v>
      </c>
      <c r="E29" s="41" t="s">
        <v>158</v>
      </c>
      <c r="F29" s="61"/>
      <c r="G29" s="61"/>
      <c r="H29" s="60"/>
      <c r="I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25">
      <c r="B30" s="34"/>
      <c r="C30" s="6" t="s">
        <v>166</v>
      </c>
      <c r="D30" s="3">
        <f>AlocSum!G20</f>
        <v>177236.62950695533</v>
      </c>
      <c r="E30" s="3">
        <f>AlocSum!H20</f>
        <v>121289.98953043278</v>
      </c>
      <c r="F30" s="59"/>
      <c r="G30" s="59"/>
      <c r="H30" s="60"/>
      <c r="I30" s="141">
        <f>D30+E30</f>
        <v>298526.61903738813</v>
      </c>
      <c r="K30" s="8"/>
      <c r="L30" s="74"/>
      <c r="M30" s="1"/>
      <c r="N30" s="74"/>
      <c r="O30" s="67"/>
      <c r="P30" s="1"/>
      <c r="Q30" s="1"/>
      <c r="R30" s="1"/>
      <c r="S30" s="1"/>
      <c r="T30" s="1"/>
      <c r="U30" s="1"/>
      <c r="V30" s="1"/>
    </row>
    <row r="31" spans="2:22" x14ac:dyDescent="0.25">
      <c r="B31" s="34"/>
      <c r="C31" s="6" t="s">
        <v>167</v>
      </c>
      <c r="D31" s="24">
        <f>Units!F35</f>
        <v>36209</v>
      </c>
      <c r="E31" s="24">
        <f>Units!G35</f>
        <v>43320</v>
      </c>
      <c r="F31" s="59"/>
      <c r="G31" s="59"/>
      <c r="H31" s="60"/>
      <c r="I31" s="1"/>
      <c r="K31" s="8"/>
      <c r="L31" s="74"/>
      <c r="M31" s="23"/>
      <c r="N31" s="74"/>
      <c r="O31" s="67"/>
      <c r="P31" s="1"/>
      <c r="Q31" s="1"/>
      <c r="R31" s="1"/>
      <c r="S31" s="1"/>
      <c r="T31" s="1"/>
      <c r="U31" s="1"/>
      <c r="V31" s="1"/>
    </row>
    <row r="32" spans="2:22" x14ac:dyDescent="0.25">
      <c r="B32" s="34"/>
      <c r="C32" s="6" t="s">
        <v>168</v>
      </c>
      <c r="D32" s="146">
        <f>D30/D31</f>
        <v>4.8948225443109541</v>
      </c>
      <c r="E32" s="146">
        <f>E30/E31</f>
        <v>2.7998612541651151</v>
      </c>
      <c r="F32" s="59"/>
      <c r="G32" s="59"/>
      <c r="H32" s="60"/>
      <c r="I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25">
      <c r="B33" s="34"/>
      <c r="C33" s="6"/>
      <c r="D33" s="126"/>
      <c r="E33" s="126"/>
      <c r="F33" s="59"/>
      <c r="G33" s="154" t="s">
        <v>19</v>
      </c>
      <c r="H33" s="60"/>
      <c r="I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34"/>
      <c r="C34" s="147"/>
      <c r="D34" s="127" t="s">
        <v>157</v>
      </c>
      <c r="E34" s="128" t="s">
        <v>1</v>
      </c>
      <c r="F34" s="128" t="s">
        <v>158</v>
      </c>
      <c r="G34" s="155" t="s">
        <v>15</v>
      </c>
      <c r="H34" s="60"/>
      <c r="I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18" x14ac:dyDescent="0.4">
      <c r="B35" s="34"/>
      <c r="C35" s="129" t="s">
        <v>169</v>
      </c>
      <c r="D35" s="35" t="s">
        <v>2</v>
      </c>
      <c r="E35" s="35" t="s">
        <v>183</v>
      </c>
      <c r="F35" s="35" t="s">
        <v>2</v>
      </c>
      <c r="G35" s="156" t="s">
        <v>170</v>
      </c>
      <c r="H35" s="60"/>
      <c r="I35" s="1"/>
      <c r="J35" s="2" t="s">
        <v>173</v>
      </c>
      <c r="K35" s="1" t="s">
        <v>174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25">
      <c r="B36" s="34"/>
      <c r="C36" s="148" t="s">
        <v>139</v>
      </c>
      <c r="D36" s="146">
        <f>$D$32</f>
        <v>4.8948225443109541</v>
      </c>
      <c r="E36" s="130">
        <f>Units!E30</f>
        <v>1</v>
      </c>
      <c r="F36" s="146">
        <f>$E$32*E36</f>
        <v>2.7998612541651151</v>
      </c>
      <c r="G36" s="157">
        <f>F36+D36</f>
        <v>7.6946837984760688</v>
      </c>
      <c r="H36" s="60"/>
      <c r="I36" s="1"/>
      <c r="J36" s="2">
        <f>Units!F30</f>
        <v>35188</v>
      </c>
      <c r="K36" s="2">
        <f>J36*G36</f>
        <v>270760.53350077593</v>
      </c>
      <c r="P36" s="1"/>
      <c r="Q36" s="1"/>
      <c r="R36" s="1"/>
      <c r="S36" s="1"/>
      <c r="T36" s="1"/>
      <c r="U36" s="1"/>
      <c r="V36" s="1"/>
    </row>
    <row r="37" spans="2:22" x14ac:dyDescent="0.25">
      <c r="B37" s="34"/>
      <c r="C37" s="149" t="s">
        <v>140</v>
      </c>
      <c r="D37" s="130">
        <f t="shared" ref="D37:D40" si="2">$D$32</f>
        <v>4.8948225443109541</v>
      </c>
      <c r="E37" s="130">
        <f>Units!E31</f>
        <v>1.2813817973580555</v>
      </c>
      <c r="F37" s="130">
        <f t="shared" ref="F37:F40" si="3">$E$32*E37</f>
        <v>3.5876912462152744</v>
      </c>
      <c r="G37" s="158">
        <f t="shared" ref="G37:G40" si="4">F37+D37</f>
        <v>8.4825137905262284</v>
      </c>
      <c r="H37" s="60"/>
      <c r="I37" s="1"/>
      <c r="J37" s="2">
        <f>Units!F31</f>
        <v>422</v>
      </c>
      <c r="K37" s="2">
        <f>J37*G37</f>
        <v>3579.6208196020684</v>
      </c>
      <c r="P37" s="1"/>
      <c r="Q37" s="1"/>
      <c r="R37" s="1"/>
      <c r="S37" s="1"/>
      <c r="T37" s="1"/>
      <c r="U37" s="1"/>
      <c r="V37" s="1"/>
    </row>
    <row r="38" spans="2:22" x14ac:dyDescent="0.25">
      <c r="B38" s="34"/>
      <c r="C38" s="149" t="s">
        <v>141</v>
      </c>
      <c r="D38" s="130">
        <f t="shared" si="2"/>
        <v>4.8948225443109541</v>
      </c>
      <c r="E38" s="130">
        <f>Units!E32</f>
        <v>12.407752489881831</v>
      </c>
      <c r="F38" s="130">
        <f t="shared" si="3"/>
        <v>34.739985447690877</v>
      </c>
      <c r="G38" s="158">
        <f t="shared" si="4"/>
        <v>39.634807992001832</v>
      </c>
      <c r="H38" s="60"/>
      <c r="I38" s="1"/>
      <c r="J38" s="2">
        <f>Units!F32</f>
        <v>551</v>
      </c>
      <c r="K38" s="2">
        <f>J38*G38</f>
        <v>21838.779203593011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25">
      <c r="B39" s="34"/>
      <c r="C39" s="149" t="s">
        <v>142</v>
      </c>
      <c r="D39" s="130">
        <f t="shared" si="2"/>
        <v>4.8948225443109541</v>
      </c>
      <c r="E39" s="130">
        <f>Units!E33</f>
        <v>14.845166882056599</v>
      </c>
      <c r="F39" s="130">
        <f t="shared" si="3"/>
        <v>41.564407564685425</v>
      </c>
      <c r="G39" s="158">
        <f t="shared" si="4"/>
        <v>46.45923010899638</v>
      </c>
      <c r="H39" s="60"/>
      <c r="I39" s="1"/>
      <c r="J39" s="2">
        <f>Units!F33</f>
        <v>36</v>
      </c>
      <c r="K39" s="2">
        <f>J39*G39</f>
        <v>1672.5322839238697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25">
      <c r="B40" s="34"/>
      <c r="C40" s="149" t="s">
        <v>143</v>
      </c>
      <c r="D40" s="130">
        <f t="shared" si="2"/>
        <v>4.8948225443109541</v>
      </c>
      <c r="E40" s="130">
        <f>Units!E34</f>
        <v>18.319912089953029</v>
      </c>
      <c r="F40" s="130">
        <f t="shared" si="3"/>
        <v>51.293212040370541</v>
      </c>
      <c r="G40" s="159">
        <f t="shared" si="4"/>
        <v>56.188034584681496</v>
      </c>
      <c r="H40" s="60"/>
      <c r="I40" s="1"/>
      <c r="J40" s="2">
        <f>Units!F34</f>
        <v>12</v>
      </c>
      <c r="K40" s="2">
        <f>J40*G40</f>
        <v>674.25641501617793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25">
      <c r="B41" s="39"/>
      <c r="C41" s="10"/>
      <c r="D41" s="10"/>
      <c r="E41" s="10"/>
      <c r="F41" s="10"/>
      <c r="G41" s="10"/>
      <c r="H41" s="63"/>
      <c r="I41" s="1"/>
      <c r="K41" s="141">
        <f>SUM(K36:K40)</f>
        <v>298525.72222291108</v>
      </c>
      <c r="L41" s="1"/>
      <c r="M41" s="23">
        <f>K41+J19</f>
        <v>1873402.3204341047</v>
      </c>
      <c r="N41" s="1" t="s">
        <v>175</v>
      </c>
      <c r="O41" s="1"/>
      <c r="P41" s="1"/>
      <c r="Q41" s="1"/>
      <c r="R41" s="1"/>
      <c r="S41" s="1"/>
      <c r="T41" s="1"/>
      <c r="U41" s="1"/>
      <c r="V41" s="1"/>
    </row>
    <row r="42" spans="2:22" ht="6.95" customHeight="1" x14ac:dyDescent="0.25">
      <c r="B42" s="1"/>
      <c r="C42" s="1"/>
      <c r="D42" s="1"/>
      <c r="E42" s="1"/>
      <c r="F42" s="1"/>
      <c r="G42" s="1"/>
      <c r="H42" s="1"/>
      <c r="I42" s="1"/>
      <c r="L42" s="5"/>
      <c r="M42" s="24"/>
      <c r="N42" s="62"/>
      <c r="O42" s="24"/>
      <c r="P42" s="1"/>
      <c r="Q42" s="1"/>
      <c r="R42" s="1"/>
      <c r="S42" s="1"/>
      <c r="T42" s="1"/>
      <c r="U42" s="1"/>
      <c r="V42" s="1"/>
    </row>
    <row r="43" spans="2:22" ht="18" x14ac:dyDescent="0.4">
      <c r="B43" s="1" t="s">
        <v>184</v>
      </c>
      <c r="D43" s="1"/>
      <c r="E43" s="1"/>
      <c r="F43" s="25"/>
      <c r="G43" s="1"/>
      <c r="H43" s="1"/>
      <c r="I43" s="1"/>
      <c r="L43" s="5"/>
      <c r="M43" s="43"/>
      <c r="N43" s="62"/>
      <c r="O43" s="43"/>
      <c r="P43" s="1"/>
      <c r="Q43" s="1"/>
      <c r="R43" s="1"/>
      <c r="S43" s="1"/>
      <c r="T43" s="1"/>
      <c r="U43" s="1"/>
      <c r="V43" s="1"/>
    </row>
    <row r="44" spans="2:22" x14ac:dyDescent="0.25">
      <c r="B44" s="1"/>
      <c r="C44" s="1"/>
      <c r="D44" s="1"/>
      <c r="E44" s="1"/>
      <c r="F44" s="1"/>
      <c r="G44" s="1"/>
      <c r="H44" s="1"/>
      <c r="I44" s="1"/>
      <c r="L44" s="5"/>
      <c r="M44" s="24"/>
      <c r="N44" s="24"/>
      <c r="O44" s="24"/>
      <c r="P44" s="1"/>
      <c r="Q44" s="1"/>
      <c r="R44" s="1"/>
      <c r="S44" s="1"/>
      <c r="T44" s="1"/>
      <c r="U44" s="1"/>
      <c r="V44" s="1"/>
    </row>
    <row r="45" spans="2:22" x14ac:dyDescent="0.25">
      <c r="B45" s="1"/>
      <c r="C45" s="1"/>
      <c r="D45" s="1"/>
      <c r="E45" s="1"/>
      <c r="F45" s="1"/>
      <c r="G45" s="1"/>
      <c r="H45" s="1"/>
      <c r="I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25">
      <c r="B46" s="1"/>
      <c r="C46" s="1"/>
      <c r="D46" s="1"/>
      <c r="E46" s="1"/>
      <c r="F46" s="1"/>
      <c r="G46" s="1"/>
      <c r="H46" s="1"/>
      <c r="I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25">
      <c r="B47" s="1"/>
      <c r="C47" s="1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25">
      <c r="B48" s="1"/>
      <c r="C48" s="1"/>
      <c r="D48" s="1"/>
      <c r="E48" s="1"/>
      <c r="F48" s="1"/>
      <c r="G48" s="1"/>
      <c r="H48" s="1"/>
      <c r="I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25">
      <c r="B49" s="1"/>
      <c r="C49" s="1"/>
      <c r="D49" s="1"/>
      <c r="E49" s="1"/>
      <c r="F49" s="1"/>
      <c r="G49" s="1"/>
      <c r="H49" s="1"/>
      <c r="I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25">
      <c r="B50" s="1"/>
      <c r="C50" s="1"/>
      <c r="D50" s="1"/>
      <c r="E50" s="1"/>
      <c r="F50" s="1"/>
      <c r="G50" s="1"/>
      <c r="H50" s="1"/>
      <c r="I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25">
      <c r="B51" s="1"/>
      <c r="C51" s="1"/>
      <c r="D51" s="1"/>
      <c r="E51" s="1"/>
      <c r="F51" s="1"/>
      <c r="G51" s="1"/>
      <c r="H51" s="1"/>
      <c r="I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25">
      <c r="B52" s="1"/>
      <c r="C52" s="1"/>
      <c r="D52" s="1"/>
      <c r="E52" s="1"/>
      <c r="F52" s="1"/>
      <c r="G52" s="1"/>
      <c r="H52" s="1"/>
      <c r="I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25">
      <c r="B53" s="1"/>
      <c r="C53" s="1"/>
      <c r="D53" s="1"/>
      <c r="E53" s="1"/>
      <c r="F53" s="1"/>
      <c r="G53" s="1"/>
      <c r="H53" s="1"/>
      <c r="I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25">
      <c r="B54" s="1"/>
      <c r="C54" s="1"/>
      <c r="D54" s="1"/>
      <c r="E54" s="1"/>
      <c r="F54" s="1"/>
      <c r="G54" s="1"/>
      <c r="H54" s="1"/>
      <c r="I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25">
      <c r="B55" s="1"/>
      <c r="C55" s="1"/>
      <c r="D55" s="1"/>
      <c r="E55" s="1"/>
      <c r="F55" s="1"/>
      <c r="G55" s="1"/>
      <c r="H55" s="1"/>
      <c r="I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25">
      <c r="B56" s="1"/>
      <c r="C56" s="1"/>
      <c r="D56" s="1"/>
      <c r="E56" s="1"/>
      <c r="F56" s="1"/>
      <c r="G56" s="1"/>
      <c r="H56" s="1"/>
      <c r="I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25">
      <c r="B57" s="1"/>
      <c r="C57" s="1"/>
      <c r="D57" s="1"/>
      <c r="E57" s="1"/>
      <c r="F57" s="1"/>
      <c r="G57" s="1"/>
      <c r="H57" s="1"/>
      <c r="I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25">
      <c r="B58" s="1"/>
      <c r="C58" s="1"/>
      <c r="D58" s="1"/>
      <c r="E58" s="1"/>
      <c r="F58" s="1"/>
      <c r="G58" s="1"/>
      <c r="H58" s="1"/>
      <c r="I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25">
      <c r="B59" s="1"/>
      <c r="C59" s="1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25">
      <c r="B60" s="1"/>
      <c r="C60" s="1"/>
      <c r="D60" s="1"/>
      <c r="E60" s="1"/>
      <c r="F60" s="1"/>
      <c r="G60" s="1"/>
      <c r="H60" s="1"/>
      <c r="I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25">
      <c r="B61" s="1"/>
      <c r="C61" s="1"/>
      <c r="D61" s="1"/>
      <c r="E61" s="1"/>
      <c r="F61" s="1"/>
      <c r="G61" s="1"/>
      <c r="H61" s="1"/>
      <c r="I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25">
      <c r="B62" s="1"/>
      <c r="C62" s="1"/>
      <c r="D62" s="1"/>
      <c r="E62" s="1"/>
      <c r="F62" s="1"/>
      <c r="G62" s="1"/>
      <c r="H62" s="1"/>
      <c r="I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25">
      <c r="B63" s="1"/>
      <c r="C63" s="1"/>
      <c r="D63" s="1"/>
      <c r="E63" s="1"/>
      <c r="F63" s="1"/>
      <c r="G63" s="1"/>
      <c r="H63" s="1"/>
      <c r="I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25">
      <c r="B64" s="1"/>
      <c r="C64" s="1"/>
      <c r="D64" s="1"/>
      <c r="E64" s="1"/>
      <c r="F64" s="1"/>
      <c r="G64" s="1"/>
      <c r="H64" s="1"/>
      <c r="I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25">
      <c r="B65" s="1"/>
      <c r="C65" s="1"/>
      <c r="D65" s="1"/>
      <c r="E65" s="1"/>
      <c r="F65" s="1"/>
      <c r="G65" s="1"/>
      <c r="H65" s="1"/>
      <c r="I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25">
      <c r="B66" s="1"/>
      <c r="C66" s="1"/>
      <c r="D66" s="1"/>
      <c r="E66" s="1"/>
      <c r="F66" s="1"/>
      <c r="G66" s="1"/>
      <c r="H66" s="1"/>
      <c r="I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25">
      <c r="B67" s="1"/>
      <c r="C67" s="1"/>
      <c r="D67" s="1"/>
      <c r="E67" s="1"/>
      <c r="F67" s="1"/>
      <c r="G67" s="1"/>
      <c r="H67" s="1"/>
      <c r="I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25">
      <c r="B68" s="1"/>
      <c r="C68" s="1"/>
      <c r="D68" s="1"/>
      <c r="E68" s="1"/>
      <c r="F68" s="1"/>
      <c r="G68" s="1"/>
      <c r="H68" s="1"/>
      <c r="I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25">
      <c r="B69" s="1"/>
      <c r="C69" s="1"/>
      <c r="D69" s="1"/>
      <c r="E69" s="1"/>
      <c r="F69" s="1"/>
      <c r="G69" s="1"/>
      <c r="H69" s="1"/>
      <c r="I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25">
      <c r="B70" s="1"/>
      <c r="C70" s="1"/>
      <c r="D70" s="1"/>
      <c r="E70" s="1"/>
      <c r="F70" s="1"/>
      <c r="G70" s="1"/>
      <c r="H70" s="1"/>
      <c r="I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25">
      <c r="B71" s="1"/>
      <c r="C71" s="1"/>
      <c r="D71" s="1"/>
      <c r="E71" s="1"/>
      <c r="F71" s="1"/>
      <c r="G71" s="1"/>
      <c r="H71" s="1"/>
      <c r="I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25">
      <c r="B72" s="1"/>
      <c r="C72" s="1"/>
      <c r="D72" s="1"/>
      <c r="E72" s="1"/>
      <c r="F72" s="1"/>
      <c r="G72" s="1"/>
      <c r="H72" s="1"/>
      <c r="I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25">
      <c r="B73" s="1"/>
      <c r="C73" s="1"/>
      <c r="D73" s="1"/>
      <c r="E73" s="1"/>
      <c r="F73" s="1"/>
      <c r="G73" s="1"/>
      <c r="H73" s="1"/>
      <c r="I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25">
      <c r="B74" s="1"/>
      <c r="C74" s="1"/>
      <c r="D74" s="1"/>
      <c r="E74" s="1"/>
      <c r="F74" s="1"/>
      <c r="G74" s="1"/>
      <c r="H74" s="1"/>
      <c r="I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25">
      <c r="B75" s="1"/>
      <c r="C75" s="1"/>
      <c r="D75" s="1"/>
      <c r="E75" s="1"/>
      <c r="F75" s="1"/>
      <c r="G75" s="1"/>
      <c r="H75" s="1"/>
      <c r="I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25">
      <c r="B76" s="1"/>
      <c r="C76" s="1"/>
      <c r="D76" s="1"/>
      <c r="E76" s="1"/>
      <c r="F76" s="1"/>
      <c r="G76" s="1"/>
      <c r="H76" s="1"/>
      <c r="I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25">
      <c r="B77" s="1"/>
      <c r="C77" s="1"/>
      <c r="D77" s="1"/>
      <c r="E77" s="1"/>
      <c r="F77" s="1"/>
      <c r="G77" s="1"/>
      <c r="H77" s="1"/>
      <c r="I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25">
      <c r="B78" s="1"/>
      <c r="C78" s="1"/>
      <c r="D78" s="1"/>
      <c r="E78" s="1"/>
      <c r="F78" s="1"/>
      <c r="G78" s="1"/>
      <c r="H78" s="1"/>
      <c r="I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25">
      <c r="B79" s="1"/>
      <c r="C79" s="1"/>
      <c r="D79" s="1"/>
      <c r="E79" s="1"/>
      <c r="F79" s="1"/>
      <c r="G79" s="1"/>
      <c r="H79" s="1"/>
      <c r="I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25">
      <c r="B80" s="1"/>
      <c r="C80" s="1"/>
      <c r="D80" s="1"/>
      <c r="E80" s="1"/>
      <c r="F80" s="1"/>
      <c r="G80" s="1"/>
      <c r="H80" s="1"/>
      <c r="I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25">
      <c r="B81" s="1"/>
      <c r="C81" s="1"/>
      <c r="D81" s="1"/>
      <c r="E81" s="1"/>
      <c r="F81" s="1"/>
      <c r="G81" s="1"/>
      <c r="H81" s="1"/>
      <c r="I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25">
      <c r="B82" s="1"/>
      <c r="C82" s="1"/>
      <c r="D82" s="1"/>
      <c r="E82" s="1"/>
      <c r="F82" s="1"/>
      <c r="G82" s="1"/>
      <c r="H82" s="1"/>
      <c r="I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25">
      <c r="B83" s="1"/>
      <c r="C83" s="1"/>
      <c r="D83" s="1"/>
      <c r="E83" s="1"/>
      <c r="F83" s="1"/>
      <c r="G83" s="1"/>
      <c r="H83" s="1"/>
      <c r="I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25">
      <c r="B84" s="1"/>
      <c r="C84" s="1"/>
      <c r="D84" s="1"/>
      <c r="E84" s="1"/>
      <c r="F84" s="1"/>
      <c r="G84" s="1"/>
      <c r="H84" s="1"/>
      <c r="I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25">
      <c r="B85" s="1"/>
      <c r="C85" s="1"/>
      <c r="D85" s="1"/>
      <c r="E85" s="1"/>
      <c r="F85" s="1"/>
      <c r="G85" s="1"/>
      <c r="H85" s="1"/>
      <c r="I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25">
      <c r="B86" s="1"/>
      <c r="C86" s="1"/>
      <c r="D86" s="1"/>
      <c r="E86" s="1"/>
      <c r="F86" s="1"/>
      <c r="G86" s="1"/>
      <c r="H86" s="1"/>
      <c r="I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25">
      <c r="B87" s="1"/>
      <c r="C87" s="1"/>
      <c r="D87" s="1"/>
      <c r="E87" s="1"/>
      <c r="F87" s="1"/>
      <c r="G87" s="1"/>
      <c r="H87" s="1"/>
      <c r="I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25">
      <c r="B88" s="1"/>
      <c r="C88" s="1"/>
      <c r="D88" s="1"/>
      <c r="E88" s="1"/>
      <c r="F88" s="1"/>
      <c r="G88" s="1"/>
      <c r="H88" s="1"/>
      <c r="I88" s="1"/>
      <c r="L88" s="1"/>
      <c r="M88" s="1"/>
    </row>
  </sheetData>
  <mergeCells count="5">
    <mergeCell ref="C3:G3"/>
    <mergeCell ref="C4:G4"/>
    <mergeCell ref="C7:D7"/>
    <mergeCell ref="C28:D28"/>
    <mergeCell ref="C5:G5"/>
  </mergeCells>
  <printOptions horizontalCentered="1"/>
  <pageMargins left="0.9" right="0.7" top="0.7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G40"/>
  <sheetViews>
    <sheetView workbookViewId="0"/>
  </sheetViews>
  <sheetFormatPr defaultColWidth="8.88671875" defaultRowHeight="15" x14ac:dyDescent="0.25"/>
  <cols>
    <col min="1" max="1" width="9.6640625" style="66" customWidth="1"/>
    <col min="2" max="2" width="1.109375" style="66" customWidth="1"/>
    <col min="3" max="3" width="4.77734375" style="66" customWidth="1"/>
    <col min="4" max="4" width="6.21875" style="66" bestFit="1" customWidth="1"/>
    <col min="5" max="5" width="6.33203125" style="66" customWidth="1"/>
    <col min="6" max="6" width="7.33203125" style="66" customWidth="1"/>
    <col min="7" max="7" width="13.33203125" style="66" customWidth="1"/>
    <col min="8" max="8" width="1.21875" style="66" customWidth="1"/>
    <col min="9" max="9" width="4.77734375" style="66" customWidth="1"/>
    <col min="10" max="10" width="6.21875" style="66" bestFit="1" customWidth="1"/>
    <col min="11" max="11" width="6.33203125" style="66" customWidth="1"/>
    <col min="12" max="12" width="7.77734375" style="66" customWidth="1"/>
    <col min="13" max="13" width="13.33203125" style="66" customWidth="1"/>
    <col min="14" max="14" width="3" style="66" customWidth="1"/>
    <col min="15" max="163" width="9.6640625" style="66" customWidth="1"/>
    <col min="164" max="16384" width="8.88671875" style="1"/>
  </cols>
  <sheetData>
    <row r="1" spans="1:14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75" x14ac:dyDescent="0.25">
      <c r="A2" s="12"/>
      <c r="B2" s="18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  <c r="N2" s="12"/>
    </row>
    <row r="3" spans="1:14" ht="18.75" x14ac:dyDescent="0.3">
      <c r="A3" s="12"/>
      <c r="B3" s="19"/>
      <c r="C3" s="199" t="s">
        <v>60</v>
      </c>
      <c r="D3" s="199"/>
      <c r="E3" s="199"/>
      <c r="F3" s="199"/>
      <c r="G3" s="199"/>
      <c r="H3" s="199"/>
      <c r="I3" s="199"/>
      <c r="J3" s="199"/>
      <c r="K3" s="199"/>
      <c r="L3" s="199"/>
      <c r="M3" s="200"/>
      <c r="N3" s="12"/>
    </row>
    <row r="4" spans="1:14" ht="18.75" x14ac:dyDescent="0.25">
      <c r="A4" s="12"/>
      <c r="B4" s="19"/>
      <c r="C4" s="191" t="s">
        <v>93</v>
      </c>
      <c r="D4" s="191"/>
      <c r="E4" s="191"/>
      <c r="F4" s="191"/>
      <c r="G4" s="191"/>
      <c r="H4" s="191"/>
      <c r="I4" s="191"/>
      <c r="J4" s="191"/>
      <c r="K4" s="191"/>
      <c r="L4" s="191"/>
      <c r="M4" s="201"/>
      <c r="N4" s="78"/>
    </row>
    <row r="5" spans="1:14" ht="15.75" x14ac:dyDescent="0.25">
      <c r="A5" s="12"/>
      <c r="B5" s="19"/>
      <c r="C5" s="1"/>
      <c r="D5" s="1"/>
      <c r="E5" s="1"/>
      <c r="F5" s="1"/>
      <c r="G5" s="1"/>
      <c r="H5" s="1"/>
      <c r="I5" s="1"/>
      <c r="J5" s="1"/>
      <c r="K5" s="1"/>
      <c r="L5" s="1"/>
      <c r="M5" s="81"/>
      <c r="N5" s="12"/>
    </row>
    <row r="6" spans="1:14" ht="15.75" x14ac:dyDescent="0.25">
      <c r="A6" s="12"/>
      <c r="B6" s="18"/>
      <c r="C6" s="79"/>
      <c r="D6" s="79"/>
      <c r="E6" s="79"/>
      <c r="F6" s="79"/>
      <c r="G6" s="80"/>
      <c r="H6" s="18"/>
      <c r="I6" s="79"/>
      <c r="J6" s="79"/>
      <c r="K6" s="79"/>
      <c r="L6" s="79"/>
      <c r="M6" s="80"/>
      <c r="N6" s="12"/>
    </row>
    <row r="7" spans="1:14" ht="15.75" x14ac:dyDescent="0.25">
      <c r="A7" s="12"/>
      <c r="B7" s="19"/>
      <c r="C7" s="202" t="s">
        <v>59</v>
      </c>
      <c r="D7" s="202"/>
      <c r="E7" s="202"/>
      <c r="F7" s="202"/>
      <c r="G7" s="203"/>
      <c r="H7" s="1"/>
      <c r="I7" s="202" t="s">
        <v>172</v>
      </c>
      <c r="J7" s="202"/>
      <c r="K7" s="202"/>
      <c r="L7" s="202"/>
      <c r="M7" s="203"/>
      <c r="N7" s="12"/>
    </row>
    <row r="8" spans="1:14" ht="15.75" x14ac:dyDescent="0.25">
      <c r="A8" s="12"/>
      <c r="B8" s="19"/>
      <c r="C8" s="1"/>
      <c r="D8" s="1"/>
      <c r="E8" s="1"/>
      <c r="F8" s="1"/>
      <c r="G8" s="81"/>
      <c r="H8" s="1"/>
      <c r="I8" s="1"/>
      <c r="J8" s="1"/>
      <c r="K8" s="1"/>
      <c r="L8" s="1"/>
      <c r="M8" s="81"/>
      <c r="N8" s="12"/>
    </row>
    <row r="9" spans="1:14" ht="15.75" x14ac:dyDescent="0.25">
      <c r="A9" s="12"/>
      <c r="B9" s="19"/>
      <c r="C9" s="7" t="s">
        <v>102</v>
      </c>
      <c r="D9" s="1"/>
      <c r="E9" s="1"/>
      <c r="F9" s="1"/>
      <c r="G9" s="81"/>
      <c r="H9" s="1"/>
      <c r="I9" s="7" t="str">
        <f>C9</f>
        <v>5/8" x 3/4" Meters</v>
      </c>
      <c r="J9" s="1"/>
      <c r="K9" s="1"/>
      <c r="L9" s="15"/>
      <c r="M9" s="81"/>
      <c r="N9" s="12"/>
    </row>
    <row r="10" spans="1:14" ht="15.75" x14ac:dyDescent="0.25">
      <c r="A10" s="12"/>
      <c r="B10" s="19"/>
      <c r="C10" s="8" t="s">
        <v>36</v>
      </c>
      <c r="D10" s="42">
        <v>1000</v>
      </c>
      <c r="E10" s="1" t="s">
        <v>51</v>
      </c>
      <c r="F10" s="82">
        <v>13.5</v>
      </c>
      <c r="G10" s="81" t="s">
        <v>52</v>
      </c>
      <c r="H10" s="1"/>
      <c r="I10" s="8" t="s">
        <v>36</v>
      </c>
      <c r="J10" s="42">
        <f>D10</f>
        <v>1000</v>
      </c>
      <c r="K10" s="1" t="s">
        <v>51</v>
      </c>
      <c r="L10" s="82">
        <f>CalcRates!G36+CalcRates!E25</f>
        <v>15.914683798476068</v>
      </c>
      <c r="M10" s="81" t="s">
        <v>52</v>
      </c>
      <c r="N10" s="12"/>
    </row>
    <row r="11" spans="1:14" ht="15.75" x14ac:dyDescent="0.25">
      <c r="A11" s="12"/>
      <c r="B11" s="19"/>
      <c r="C11" s="8" t="s">
        <v>37</v>
      </c>
      <c r="D11" s="42">
        <v>4000</v>
      </c>
      <c r="E11" s="1" t="s">
        <v>51</v>
      </c>
      <c r="F11" s="83">
        <v>7.5</v>
      </c>
      <c r="G11" s="81" t="s">
        <v>53</v>
      </c>
      <c r="H11" s="1"/>
      <c r="I11" s="8" t="s">
        <v>37</v>
      </c>
      <c r="J11" s="42">
        <v>9000</v>
      </c>
      <c r="K11" s="1" t="s">
        <v>51</v>
      </c>
      <c r="L11" s="83">
        <f>CalcRates!E25</f>
        <v>8.2199999999999989</v>
      </c>
      <c r="M11" s="81" t="s">
        <v>53</v>
      </c>
      <c r="N11" s="12"/>
    </row>
    <row r="12" spans="1:14" ht="15.75" x14ac:dyDescent="0.25">
      <c r="A12" s="12"/>
      <c r="B12" s="19"/>
      <c r="C12" s="8" t="s">
        <v>37</v>
      </c>
      <c r="D12" s="42">
        <v>5000</v>
      </c>
      <c r="E12" s="1" t="s">
        <v>51</v>
      </c>
      <c r="F12" s="83">
        <v>8</v>
      </c>
      <c r="G12" s="81" t="s">
        <v>53</v>
      </c>
      <c r="H12" s="1"/>
      <c r="I12" s="8" t="s">
        <v>37</v>
      </c>
      <c r="J12" s="42">
        <v>40000</v>
      </c>
      <c r="K12" s="1" t="s">
        <v>51</v>
      </c>
      <c r="L12" s="83">
        <f>CalcRates!F25</f>
        <v>5.69</v>
      </c>
      <c r="M12" s="81" t="s">
        <v>53</v>
      </c>
      <c r="N12" s="12"/>
    </row>
    <row r="13" spans="1:14" ht="15.75" x14ac:dyDescent="0.25">
      <c r="A13" s="12"/>
      <c r="B13" s="19"/>
      <c r="C13" s="8" t="s">
        <v>37</v>
      </c>
      <c r="D13" s="42">
        <v>30000</v>
      </c>
      <c r="E13" s="1" t="s">
        <v>51</v>
      </c>
      <c r="F13" s="83">
        <v>5</v>
      </c>
      <c r="G13" s="81" t="s">
        <v>53</v>
      </c>
      <c r="H13" s="1"/>
      <c r="I13" s="8" t="s">
        <v>38</v>
      </c>
      <c r="J13" s="42">
        <v>50000</v>
      </c>
      <c r="K13" s="1" t="s">
        <v>51</v>
      </c>
      <c r="L13" s="83">
        <f>CalcRates!G25</f>
        <v>3.27</v>
      </c>
      <c r="M13" s="81" t="s">
        <v>53</v>
      </c>
      <c r="N13" s="12"/>
    </row>
    <row r="14" spans="1:14" ht="15.75" x14ac:dyDescent="0.25">
      <c r="A14" s="12"/>
      <c r="B14" s="19"/>
      <c r="C14" s="8" t="s">
        <v>38</v>
      </c>
      <c r="D14" s="42">
        <v>40000</v>
      </c>
      <c r="E14" s="1" t="s">
        <v>51</v>
      </c>
      <c r="F14" s="83">
        <v>2.8</v>
      </c>
      <c r="G14" s="81" t="s">
        <v>53</v>
      </c>
      <c r="H14" s="1"/>
      <c r="J14" s="42"/>
      <c r="K14" s="1"/>
      <c r="L14" s="83"/>
      <c r="M14" s="81"/>
      <c r="N14" s="12"/>
    </row>
    <row r="15" spans="1:14" ht="15.75" x14ac:dyDescent="0.25">
      <c r="A15" s="12"/>
      <c r="B15" s="19"/>
      <c r="C15" s="42"/>
      <c r="D15" s="1"/>
      <c r="E15" s="1"/>
      <c r="F15" s="1"/>
      <c r="G15" s="81"/>
      <c r="H15" s="1"/>
      <c r="I15" s="42"/>
      <c r="J15" s="1"/>
      <c r="K15" s="1"/>
      <c r="L15" s="1"/>
      <c r="M15" s="81"/>
      <c r="N15" s="12"/>
    </row>
    <row r="16" spans="1:14" ht="15.75" x14ac:dyDescent="0.25">
      <c r="A16" s="12"/>
      <c r="B16" s="19"/>
      <c r="C16" s="7" t="s">
        <v>103</v>
      </c>
      <c r="D16" s="1"/>
      <c r="E16" s="1"/>
      <c r="F16" s="1"/>
      <c r="G16" s="81"/>
      <c r="H16" s="1"/>
      <c r="I16" s="7" t="s">
        <v>103</v>
      </c>
      <c r="J16" s="1"/>
      <c r="K16" s="1"/>
      <c r="L16" s="1"/>
      <c r="M16" s="81"/>
      <c r="N16" s="12"/>
    </row>
    <row r="17" spans="1:14" ht="15.75" x14ac:dyDescent="0.25">
      <c r="A17" s="12"/>
      <c r="B17" s="19"/>
      <c r="C17" s="8" t="s">
        <v>36</v>
      </c>
      <c r="D17" s="42">
        <v>5000</v>
      </c>
      <c r="E17" s="1" t="s">
        <v>51</v>
      </c>
      <c r="F17" s="82">
        <v>43.5</v>
      </c>
      <c r="G17" s="81" t="s">
        <v>52</v>
      </c>
      <c r="H17" s="1"/>
      <c r="I17" s="8" t="s">
        <v>36</v>
      </c>
      <c r="J17" s="42">
        <f t="shared" ref="J17:J18" si="0">D17</f>
        <v>5000</v>
      </c>
      <c r="K17" s="1" t="s">
        <v>51</v>
      </c>
      <c r="L17" s="82">
        <f>CalcRates!G37+5*L11</f>
        <v>49.582513790526221</v>
      </c>
      <c r="M17" s="81" t="s">
        <v>52</v>
      </c>
      <c r="N17" s="12"/>
    </row>
    <row r="18" spans="1:14" ht="15.75" x14ac:dyDescent="0.25">
      <c r="A18" s="12"/>
      <c r="B18" s="19"/>
      <c r="C18" s="8" t="s">
        <v>37</v>
      </c>
      <c r="D18" s="42">
        <v>5000</v>
      </c>
      <c r="E18" s="1" t="s">
        <v>51</v>
      </c>
      <c r="F18" s="83">
        <v>8</v>
      </c>
      <c r="G18" s="81" t="s">
        <v>53</v>
      </c>
      <c r="H18" s="1"/>
      <c r="I18" s="8" t="s">
        <v>37</v>
      </c>
      <c r="J18" s="42">
        <f t="shared" si="0"/>
        <v>5000</v>
      </c>
      <c r="K18" s="1" t="s">
        <v>51</v>
      </c>
      <c r="L18" s="83">
        <f>L11</f>
        <v>8.2199999999999989</v>
      </c>
      <c r="M18" s="81" t="s">
        <v>53</v>
      </c>
      <c r="N18" s="12"/>
    </row>
    <row r="19" spans="1:14" ht="15.75" x14ac:dyDescent="0.25">
      <c r="A19" s="12"/>
      <c r="B19" s="19"/>
      <c r="C19" s="8" t="s">
        <v>37</v>
      </c>
      <c r="D19" s="42">
        <v>30000</v>
      </c>
      <c r="E19" s="1" t="s">
        <v>51</v>
      </c>
      <c r="F19" s="83">
        <v>5</v>
      </c>
      <c r="G19" s="81" t="s">
        <v>53</v>
      </c>
      <c r="H19" s="1"/>
      <c r="I19" s="8" t="s">
        <v>37</v>
      </c>
      <c r="J19" s="42">
        <v>40000</v>
      </c>
      <c r="K19" s="1" t="s">
        <v>51</v>
      </c>
      <c r="L19" s="83">
        <f t="shared" ref="L19:L20" si="1">L12</f>
        <v>5.69</v>
      </c>
      <c r="M19" s="81" t="s">
        <v>53</v>
      </c>
      <c r="N19" s="12"/>
    </row>
    <row r="20" spans="1:14" ht="15.75" x14ac:dyDescent="0.25">
      <c r="A20" s="12"/>
      <c r="B20" s="19"/>
      <c r="C20" s="8" t="s">
        <v>38</v>
      </c>
      <c r="D20" s="42">
        <v>40000</v>
      </c>
      <c r="E20" s="1" t="s">
        <v>51</v>
      </c>
      <c r="F20" s="83">
        <v>2.8</v>
      </c>
      <c r="G20" s="81" t="s">
        <v>53</v>
      </c>
      <c r="H20" s="1"/>
      <c r="I20" s="8" t="s">
        <v>38</v>
      </c>
      <c r="J20" s="42">
        <v>50000</v>
      </c>
      <c r="K20" s="1" t="s">
        <v>51</v>
      </c>
      <c r="L20" s="83">
        <f t="shared" si="1"/>
        <v>3.27</v>
      </c>
      <c r="M20" s="81" t="s">
        <v>53</v>
      </c>
      <c r="N20" s="12"/>
    </row>
    <row r="21" spans="1:14" ht="15.75" x14ac:dyDescent="0.25">
      <c r="A21" s="12"/>
      <c r="B21" s="19"/>
      <c r="C21" s="8"/>
      <c r="D21" s="42"/>
      <c r="E21" s="1"/>
      <c r="F21" s="83"/>
      <c r="G21" s="81"/>
      <c r="H21" s="1"/>
      <c r="I21" s="8"/>
      <c r="J21" s="42"/>
      <c r="K21" s="1"/>
      <c r="L21" s="83"/>
      <c r="M21" s="81"/>
      <c r="N21" s="12"/>
    </row>
    <row r="22" spans="1:14" ht="15.75" x14ac:dyDescent="0.25">
      <c r="A22" s="12"/>
      <c r="B22" s="19"/>
      <c r="C22" s="7" t="s">
        <v>104</v>
      </c>
      <c r="D22" s="1"/>
      <c r="E22" s="1"/>
      <c r="F22" s="1"/>
      <c r="G22" s="81"/>
      <c r="H22" s="1"/>
      <c r="I22" s="7" t="s">
        <v>104</v>
      </c>
      <c r="J22" s="1"/>
      <c r="K22" s="1"/>
      <c r="L22" s="1"/>
      <c r="M22" s="81"/>
      <c r="N22" s="12"/>
    </row>
    <row r="23" spans="1:14" ht="15.75" x14ac:dyDescent="0.25">
      <c r="A23" s="12"/>
      <c r="B23" s="19"/>
      <c r="C23" s="8" t="s">
        <v>36</v>
      </c>
      <c r="D23" s="42">
        <v>15000</v>
      </c>
      <c r="E23" s="1" t="s">
        <v>51</v>
      </c>
      <c r="F23" s="82">
        <v>108.5</v>
      </c>
      <c r="G23" s="81" t="s">
        <v>52</v>
      </c>
      <c r="H23" s="1"/>
      <c r="I23" s="8" t="s">
        <v>36</v>
      </c>
      <c r="J23" s="42">
        <f t="shared" ref="J23" si="2">D23</f>
        <v>15000</v>
      </c>
      <c r="K23" s="1" t="s">
        <v>51</v>
      </c>
      <c r="L23" s="82">
        <f>CalcRates!G38+10*L18+5*L19</f>
        <v>150.28480799200184</v>
      </c>
      <c r="M23" s="81" t="s">
        <v>52</v>
      </c>
      <c r="N23" s="12"/>
    </row>
    <row r="24" spans="1:14" ht="15.75" x14ac:dyDescent="0.25">
      <c r="A24" s="12"/>
      <c r="B24" s="19"/>
      <c r="C24" s="8" t="s">
        <v>37</v>
      </c>
      <c r="D24" s="42">
        <v>25000</v>
      </c>
      <c r="E24" s="1" t="s">
        <v>51</v>
      </c>
      <c r="F24" s="83">
        <v>5</v>
      </c>
      <c r="G24" s="81" t="s">
        <v>53</v>
      </c>
      <c r="H24" s="1"/>
      <c r="I24" s="8" t="s">
        <v>37</v>
      </c>
      <c r="J24" s="42">
        <v>35000</v>
      </c>
      <c r="K24" s="1" t="s">
        <v>51</v>
      </c>
      <c r="L24" s="83">
        <f>L19</f>
        <v>5.69</v>
      </c>
      <c r="M24" s="81" t="s">
        <v>53</v>
      </c>
      <c r="N24" s="12"/>
    </row>
    <row r="25" spans="1:14" ht="15.75" x14ac:dyDescent="0.25">
      <c r="A25" s="12"/>
      <c r="B25" s="19"/>
      <c r="C25" s="8" t="s">
        <v>38</v>
      </c>
      <c r="D25" s="42">
        <v>40000</v>
      </c>
      <c r="E25" s="1" t="s">
        <v>51</v>
      </c>
      <c r="F25" s="83">
        <v>2.8</v>
      </c>
      <c r="G25" s="81" t="s">
        <v>53</v>
      </c>
      <c r="H25" s="1"/>
      <c r="I25" s="8" t="s">
        <v>38</v>
      </c>
      <c r="J25" s="42">
        <v>50000</v>
      </c>
      <c r="K25" s="1" t="s">
        <v>51</v>
      </c>
      <c r="L25" s="83">
        <f>L20</f>
        <v>3.27</v>
      </c>
      <c r="M25" s="81" t="s">
        <v>53</v>
      </c>
      <c r="N25" s="12"/>
    </row>
    <row r="26" spans="1:14" ht="15.75" x14ac:dyDescent="0.25">
      <c r="A26" s="12"/>
      <c r="B26" s="19"/>
      <c r="C26" s="8"/>
      <c r="D26" s="42"/>
      <c r="E26" s="1"/>
      <c r="F26" s="83"/>
      <c r="G26" s="81"/>
      <c r="H26" s="1"/>
      <c r="I26" s="8"/>
      <c r="J26" s="42"/>
      <c r="K26" s="1"/>
      <c r="L26" s="83"/>
      <c r="M26" s="81"/>
      <c r="N26" s="12"/>
    </row>
    <row r="27" spans="1:14" ht="15.75" x14ac:dyDescent="0.25">
      <c r="A27" s="12"/>
      <c r="B27" s="19"/>
      <c r="C27" s="7" t="s">
        <v>105</v>
      </c>
      <c r="D27" s="1"/>
      <c r="E27" s="1"/>
      <c r="F27" s="1"/>
      <c r="G27" s="81"/>
      <c r="H27" s="1"/>
      <c r="I27" s="7" t="str">
        <f>C27</f>
        <v>3" Meters</v>
      </c>
      <c r="J27" s="1"/>
      <c r="K27" s="1"/>
      <c r="L27" s="1"/>
      <c r="M27" s="81"/>
      <c r="N27" s="12"/>
    </row>
    <row r="28" spans="1:14" ht="15.75" x14ac:dyDescent="0.25">
      <c r="A28" s="12"/>
      <c r="B28" s="19"/>
      <c r="C28" s="8" t="s">
        <v>36</v>
      </c>
      <c r="D28" s="42">
        <v>30000</v>
      </c>
      <c r="E28" s="1" t="s">
        <v>51</v>
      </c>
      <c r="F28" s="82">
        <v>183.5</v>
      </c>
      <c r="G28" s="81" t="s">
        <v>52</v>
      </c>
      <c r="H28" s="1"/>
      <c r="I28" s="8" t="s">
        <v>36</v>
      </c>
      <c r="J28" s="42">
        <f t="shared" ref="J28" si="3">D28</f>
        <v>30000</v>
      </c>
      <c r="K28" s="1" t="s">
        <v>51</v>
      </c>
      <c r="L28" s="82">
        <f>CalcRates!G39+10*L18+20*L19</f>
        <v>242.45923010899639</v>
      </c>
      <c r="M28" s="81" t="s">
        <v>52</v>
      </c>
      <c r="N28" s="12"/>
    </row>
    <row r="29" spans="1:14" ht="15.75" x14ac:dyDescent="0.25">
      <c r="A29" s="12"/>
      <c r="B29" s="19"/>
      <c r="C29" s="8" t="s">
        <v>37</v>
      </c>
      <c r="D29" s="42">
        <v>10000</v>
      </c>
      <c r="E29" s="1" t="s">
        <v>51</v>
      </c>
      <c r="F29" s="83">
        <v>5</v>
      </c>
      <c r="G29" s="81" t="s">
        <v>53</v>
      </c>
      <c r="H29" s="1"/>
      <c r="I29" s="8" t="s">
        <v>37</v>
      </c>
      <c r="J29" s="42">
        <v>20000</v>
      </c>
      <c r="K29" s="1" t="s">
        <v>51</v>
      </c>
      <c r="L29" s="83">
        <f>L24</f>
        <v>5.69</v>
      </c>
      <c r="M29" s="81" t="s">
        <v>53</v>
      </c>
      <c r="N29" s="12"/>
    </row>
    <row r="30" spans="1:14" ht="15.75" x14ac:dyDescent="0.25">
      <c r="A30" s="12"/>
      <c r="B30" s="19"/>
      <c r="C30" s="8" t="s">
        <v>38</v>
      </c>
      <c r="D30" s="42">
        <v>40000</v>
      </c>
      <c r="E30" s="1" t="s">
        <v>51</v>
      </c>
      <c r="F30" s="83">
        <v>2.8</v>
      </c>
      <c r="G30" s="81" t="s">
        <v>53</v>
      </c>
      <c r="H30" s="1"/>
      <c r="I30" s="8" t="s">
        <v>38</v>
      </c>
      <c r="J30" s="42">
        <v>50000</v>
      </c>
      <c r="K30" s="1" t="s">
        <v>51</v>
      </c>
      <c r="L30" s="83">
        <f>L25</f>
        <v>3.27</v>
      </c>
      <c r="M30" s="81" t="s">
        <v>53</v>
      </c>
      <c r="N30" s="12"/>
    </row>
    <row r="31" spans="1:14" ht="15.75" x14ac:dyDescent="0.25">
      <c r="A31" s="12"/>
      <c r="B31" s="19"/>
      <c r="C31" s="8"/>
      <c r="D31" s="42"/>
      <c r="E31" s="1"/>
      <c r="F31" s="83"/>
      <c r="G31" s="81"/>
      <c r="H31" s="1"/>
      <c r="I31" s="8"/>
      <c r="J31" s="42"/>
      <c r="K31" s="1"/>
      <c r="L31" s="83"/>
      <c r="M31" s="81"/>
      <c r="N31" s="12"/>
    </row>
    <row r="32" spans="1:14" ht="15.75" x14ac:dyDescent="0.25">
      <c r="A32" s="12"/>
      <c r="B32" s="19"/>
      <c r="C32" s="7" t="s">
        <v>106</v>
      </c>
      <c r="D32" s="1"/>
      <c r="E32" s="1"/>
      <c r="F32" s="1"/>
      <c r="G32" s="81"/>
      <c r="H32" s="1"/>
      <c r="I32" s="7" t="str">
        <f>C32</f>
        <v>4" Meters</v>
      </c>
      <c r="J32" s="42"/>
      <c r="K32" s="1"/>
      <c r="L32" s="1"/>
      <c r="M32" s="81"/>
      <c r="N32" s="12"/>
    </row>
    <row r="33" spans="1:14" ht="15.75" x14ac:dyDescent="0.25">
      <c r="A33" s="12"/>
      <c r="B33" s="19"/>
      <c r="C33" s="8" t="s">
        <v>36</v>
      </c>
      <c r="D33" s="42">
        <v>50000</v>
      </c>
      <c r="E33" s="1" t="s">
        <v>51</v>
      </c>
      <c r="F33" s="82">
        <v>261.5</v>
      </c>
      <c r="G33" s="81" t="s">
        <v>52</v>
      </c>
      <c r="H33" s="1"/>
      <c r="I33" s="8" t="s">
        <v>36</v>
      </c>
      <c r="J33" s="42">
        <f t="shared" ref="J33" si="4">D33</f>
        <v>50000</v>
      </c>
      <c r="K33" s="1" t="s">
        <v>51</v>
      </c>
      <c r="L33" s="82">
        <f>CalcRates!G40+10*L18+40*L19</f>
        <v>365.98803458468149</v>
      </c>
      <c r="M33" s="81" t="s">
        <v>52</v>
      </c>
      <c r="N33" s="12"/>
    </row>
    <row r="34" spans="1:14" ht="15.75" x14ac:dyDescent="0.25">
      <c r="A34" s="12"/>
      <c r="B34" s="19"/>
      <c r="C34" s="8" t="s">
        <v>38</v>
      </c>
      <c r="D34" s="42">
        <v>50000</v>
      </c>
      <c r="E34" s="1" t="s">
        <v>51</v>
      </c>
      <c r="F34" s="83">
        <v>2.8</v>
      </c>
      <c r="G34" s="81" t="s">
        <v>53</v>
      </c>
      <c r="H34" s="1"/>
      <c r="I34" s="8" t="s">
        <v>38</v>
      </c>
      <c r="J34" s="42">
        <v>50000</v>
      </c>
      <c r="K34" s="1" t="s">
        <v>51</v>
      </c>
      <c r="L34" s="83">
        <f>L30</f>
        <v>3.27</v>
      </c>
      <c r="M34" s="81" t="s">
        <v>53</v>
      </c>
      <c r="N34" s="12"/>
    </row>
    <row r="35" spans="1:14" ht="15.75" x14ac:dyDescent="0.25">
      <c r="A35" s="12"/>
      <c r="B35" s="19"/>
      <c r="C35" s="8"/>
      <c r="D35" s="42"/>
      <c r="E35" s="1"/>
      <c r="F35" s="83"/>
      <c r="G35" s="81"/>
      <c r="H35" s="1"/>
      <c r="I35" s="1"/>
      <c r="J35" s="1"/>
      <c r="K35" s="1"/>
      <c r="L35" s="1"/>
      <c r="M35" s="81"/>
      <c r="N35" s="12"/>
    </row>
    <row r="36" spans="1:14" ht="15.75" x14ac:dyDescent="0.25">
      <c r="A36" s="12"/>
      <c r="B36" s="19"/>
      <c r="C36" s="7" t="s">
        <v>108</v>
      </c>
      <c r="D36" s="42"/>
      <c r="E36" s="1"/>
      <c r="F36" s="83"/>
      <c r="G36" s="81"/>
      <c r="H36" s="1"/>
      <c r="I36" s="7" t="str">
        <f>C36</f>
        <v>Wholesale Water Rate</v>
      </c>
      <c r="J36" s="42"/>
      <c r="K36" s="1"/>
      <c r="L36" s="1"/>
      <c r="M36" s="81"/>
      <c r="N36" s="12"/>
    </row>
    <row r="37" spans="1:14" ht="15.75" x14ac:dyDescent="0.25">
      <c r="A37" s="12"/>
      <c r="B37" s="19"/>
      <c r="C37" s="14" t="s">
        <v>107</v>
      </c>
      <c r="D37" s="42"/>
      <c r="E37" s="1"/>
      <c r="F37" s="82">
        <v>2.2599999999999998</v>
      </c>
      <c r="G37" s="81" t="s">
        <v>53</v>
      </c>
      <c r="H37" s="1"/>
      <c r="I37" s="14" t="s">
        <v>107</v>
      </c>
      <c r="J37" s="42"/>
      <c r="K37" s="1"/>
      <c r="L37" s="82">
        <f>F37*(1+0.1501)</f>
        <v>2.5992259999999998</v>
      </c>
      <c r="M37" s="81" t="s">
        <v>53</v>
      </c>
      <c r="N37" s="12"/>
    </row>
    <row r="38" spans="1:14" ht="15.75" x14ac:dyDescent="0.25">
      <c r="A38" s="12"/>
      <c r="B38" s="20"/>
      <c r="C38" s="84"/>
      <c r="D38" s="11"/>
      <c r="E38" s="11"/>
      <c r="F38" s="11"/>
      <c r="G38" s="85"/>
      <c r="H38" s="11"/>
      <c r="I38" s="11"/>
      <c r="J38" s="11"/>
      <c r="K38" s="11"/>
      <c r="L38" s="11"/>
      <c r="M38" s="85"/>
      <c r="N38" s="12"/>
    </row>
    <row r="39" spans="1:14" ht="15.75" x14ac:dyDescent="0.25">
      <c r="A39" s="12"/>
      <c r="B39" s="12"/>
      <c r="C39" s="86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5.75" x14ac:dyDescent="0.25">
      <c r="A40" s="12"/>
      <c r="B40" s="12"/>
      <c r="C40" s="86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</sheetData>
  <mergeCells count="4">
    <mergeCell ref="C3:M3"/>
    <mergeCell ref="C4:M4"/>
    <mergeCell ref="C7:G7"/>
    <mergeCell ref="I7:M7"/>
  </mergeCells>
  <printOptions horizontalCentered="1"/>
  <pageMargins left="0.8" right="0.55000000000000004" top="1.45" bottom="0.5" header="0" footer="0"/>
  <pageSetup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C838-483B-4734-BDAE-AB241D0B8440}">
  <dimension ref="A2:T29"/>
  <sheetViews>
    <sheetView workbookViewId="0">
      <selection activeCell="O29" sqref="O29"/>
    </sheetView>
  </sheetViews>
  <sheetFormatPr defaultColWidth="8.88671875" defaultRowHeight="15" x14ac:dyDescent="0.25"/>
  <cols>
    <col min="1" max="2" width="8.88671875" style="2"/>
    <col min="3" max="3" width="10.33203125" style="2" customWidth="1"/>
    <col min="4" max="4" width="8.88671875" style="2"/>
    <col min="5" max="5" width="10.33203125" style="2" customWidth="1"/>
    <col min="6" max="6" width="8.88671875" style="2"/>
    <col min="7" max="7" width="10.33203125" style="2" customWidth="1"/>
    <col min="8" max="8" width="8.88671875" style="2"/>
    <col min="9" max="9" width="10.33203125" style="2" customWidth="1"/>
    <col min="10" max="10" width="8.88671875" style="2"/>
    <col min="11" max="11" width="10.33203125" style="2" customWidth="1"/>
    <col min="12" max="12" width="8.88671875" style="2"/>
    <col min="13" max="13" width="10.6640625" style="2" customWidth="1"/>
    <col min="14" max="14" width="10.6640625" style="2" hidden="1" customWidth="1"/>
    <col min="15" max="15" width="8.88671875" style="2"/>
    <col min="16" max="16" width="10.6640625" style="2" customWidth="1"/>
    <col min="17" max="17" width="8.88671875" style="2"/>
    <col min="18" max="18" width="9.33203125" style="2" bestFit="1" customWidth="1"/>
    <col min="19" max="16384" width="8.88671875" style="2"/>
  </cols>
  <sheetData>
    <row r="2" spans="1:20" x14ac:dyDescent="0.25">
      <c r="L2" s="94"/>
      <c r="M2" s="4"/>
      <c r="N2" s="4"/>
    </row>
    <row r="3" spans="1:20" ht="17.25" x14ac:dyDescent="0.4">
      <c r="B3" s="206" t="s">
        <v>123</v>
      </c>
      <c r="C3" s="206"/>
      <c r="D3" s="206" t="s">
        <v>103</v>
      </c>
      <c r="E3" s="206"/>
      <c r="F3" s="206" t="s">
        <v>124</v>
      </c>
      <c r="G3" s="206"/>
      <c r="H3" s="206" t="s">
        <v>105</v>
      </c>
      <c r="I3" s="206"/>
      <c r="J3" s="206" t="s">
        <v>106</v>
      </c>
      <c r="K3" s="206"/>
      <c r="L3" s="204" t="s">
        <v>0</v>
      </c>
      <c r="M3" s="205"/>
      <c r="N3" s="115"/>
    </row>
    <row r="4" spans="1:20" ht="17.25" x14ac:dyDescent="0.4">
      <c r="A4" s="22" t="s">
        <v>122</v>
      </c>
      <c r="B4" s="113" t="s">
        <v>125</v>
      </c>
      <c r="C4" s="113" t="s">
        <v>126</v>
      </c>
      <c r="D4" s="113" t="s">
        <v>125</v>
      </c>
      <c r="E4" s="113" t="s">
        <v>126</v>
      </c>
      <c r="F4" s="113" t="s">
        <v>125</v>
      </c>
      <c r="G4" s="113" t="s">
        <v>126</v>
      </c>
      <c r="H4" s="113" t="s">
        <v>125</v>
      </c>
      <c r="I4" s="113" t="s">
        <v>126</v>
      </c>
      <c r="J4" s="113" t="s">
        <v>125</v>
      </c>
      <c r="K4" s="113" t="s">
        <v>126</v>
      </c>
      <c r="L4" s="114" t="s">
        <v>125</v>
      </c>
      <c r="M4" s="96" t="s">
        <v>126</v>
      </c>
      <c r="N4" s="96"/>
      <c r="O4" s="96" t="s">
        <v>125</v>
      </c>
      <c r="P4" s="96" t="s">
        <v>126</v>
      </c>
      <c r="Q4" s="96" t="s">
        <v>128</v>
      </c>
    </row>
    <row r="5" spans="1:20" x14ac:dyDescent="0.25">
      <c r="A5" s="22">
        <v>5</v>
      </c>
      <c r="B5" s="2">
        <f>7746+20153</f>
        <v>27899</v>
      </c>
      <c r="C5" s="2">
        <f>2237600+55207200</f>
        <v>57444800</v>
      </c>
      <c r="D5" s="2">
        <v>166</v>
      </c>
      <c r="E5" s="2">
        <v>207300</v>
      </c>
      <c r="F5" s="2">
        <v>105</v>
      </c>
      <c r="G5" s="2">
        <v>153000</v>
      </c>
      <c r="H5" s="110">
        <v>12</v>
      </c>
      <c r="I5" s="110">
        <v>3500</v>
      </c>
      <c r="L5" s="94">
        <f t="shared" ref="L5:L23" si="0">B5+D5+F5+H5+J5</f>
        <v>28182</v>
      </c>
      <c r="M5" s="4">
        <f t="shared" ref="M5:M23" si="1">C5+E5+G5+I5+K5</f>
        <v>57808600</v>
      </c>
      <c r="N5" s="4">
        <f>M5/L5</f>
        <v>2051.2596692924562</v>
      </c>
    </row>
    <row r="6" spans="1:20" x14ac:dyDescent="0.25">
      <c r="A6" s="117">
        <v>10</v>
      </c>
      <c r="B6" s="27">
        <v>5567</v>
      </c>
      <c r="C6" s="27">
        <v>36897100</v>
      </c>
      <c r="D6" s="2">
        <v>33</v>
      </c>
      <c r="E6" s="2">
        <v>235600</v>
      </c>
      <c r="F6" s="2">
        <v>46</v>
      </c>
      <c r="G6" s="2">
        <v>318600</v>
      </c>
      <c r="H6" s="2">
        <v>0</v>
      </c>
      <c r="I6" s="2">
        <v>0</v>
      </c>
      <c r="L6" s="94">
        <f t="shared" si="0"/>
        <v>5646</v>
      </c>
      <c r="M6" s="4">
        <f t="shared" si="1"/>
        <v>37451300</v>
      </c>
      <c r="N6" s="4">
        <f t="shared" ref="N6:N23" si="2">M6/L6</f>
        <v>6633.2447750619904</v>
      </c>
      <c r="O6" s="27">
        <f>L6+L5</f>
        <v>33828</v>
      </c>
      <c r="P6" s="27">
        <f>M6+M5</f>
        <v>95259900</v>
      </c>
      <c r="Q6" s="27">
        <f>P6/O6</f>
        <v>2816.0074494501596</v>
      </c>
    </row>
    <row r="7" spans="1:20" x14ac:dyDescent="0.25">
      <c r="A7" s="22">
        <v>15</v>
      </c>
      <c r="B7" s="2">
        <v>988</v>
      </c>
      <c r="C7" s="2">
        <v>11747800</v>
      </c>
      <c r="D7" s="2">
        <v>28</v>
      </c>
      <c r="E7" s="2">
        <v>332600</v>
      </c>
      <c r="F7" s="2">
        <v>50</v>
      </c>
      <c r="G7" s="2">
        <v>627500</v>
      </c>
      <c r="H7" s="2">
        <v>2</v>
      </c>
      <c r="I7" s="2">
        <v>22200</v>
      </c>
      <c r="L7" s="94">
        <f t="shared" si="0"/>
        <v>1068</v>
      </c>
      <c r="M7" s="4">
        <f t="shared" si="1"/>
        <v>12730100</v>
      </c>
      <c r="N7" s="4">
        <f t="shared" si="2"/>
        <v>11919.569288389514</v>
      </c>
    </row>
    <row r="8" spans="1:20" x14ac:dyDescent="0.25">
      <c r="A8" s="22">
        <v>20</v>
      </c>
      <c r="B8" s="2">
        <v>279</v>
      </c>
      <c r="C8" s="2">
        <v>4801500</v>
      </c>
      <c r="D8" s="2">
        <v>19</v>
      </c>
      <c r="E8" s="2">
        <v>331400</v>
      </c>
      <c r="F8" s="2">
        <v>36</v>
      </c>
      <c r="G8" s="2">
        <v>617900</v>
      </c>
      <c r="H8" s="2">
        <v>1</v>
      </c>
      <c r="I8" s="2">
        <v>18100</v>
      </c>
      <c r="L8" s="94">
        <f t="shared" si="0"/>
        <v>335</v>
      </c>
      <c r="M8" s="4">
        <f t="shared" si="1"/>
        <v>5768900</v>
      </c>
      <c r="N8" s="4">
        <f t="shared" si="2"/>
        <v>17220.597014925374</v>
      </c>
    </row>
    <row r="9" spans="1:20" x14ac:dyDescent="0.25">
      <c r="A9" s="22">
        <v>25</v>
      </c>
      <c r="B9" s="2">
        <v>118</v>
      </c>
      <c r="C9" s="2">
        <v>2621100</v>
      </c>
      <c r="D9" s="2">
        <v>18</v>
      </c>
      <c r="E9" s="2">
        <v>407100</v>
      </c>
      <c r="F9" s="2">
        <v>10</v>
      </c>
      <c r="G9" s="2">
        <v>231300</v>
      </c>
      <c r="H9" s="2">
        <v>2</v>
      </c>
      <c r="I9" s="2">
        <v>43300</v>
      </c>
      <c r="L9" s="94">
        <f t="shared" si="0"/>
        <v>148</v>
      </c>
      <c r="M9" s="4">
        <f t="shared" si="1"/>
        <v>3302800</v>
      </c>
      <c r="N9" s="4">
        <f t="shared" si="2"/>
        <v>22316.216216216217</v>
      </c>
    </row>
    <row r="10" spans="1:20" x14ac:dyDescent="0.25">
      <c r="A10" s="22">
        <v>30</v>
      </c>
      <c r="B10" s="2">
        <v>77</v>
      </c>
      <c r="C10" s="2">
        <v>2084900</v>
      </c>
      <c r="D10" s="2">
        <v>23</v>
      </c>
      <c r="E10" s="2">
        <v>638000</v>
      </c>
      <c r="F10" s="2">
        <v>12</v>
      </c>
      <c r="G10" s="2">
        <v>326400</v>
      </c>
      <c r="H10" s="110">
        <v>1</v>
      </c>
      <c r="I10" s="2">
        <v>26600</v>
      </c>
      <c r="L10" s="94">
        <f t="shared" si="0"/>
        <v>113</v>
      </c>
      <c r="M10" s="4">
        <f t="shared" si="1"/>
        <v>3075900</v>
      </c>
      <c r="N10" s="4">
        <f t="shared" si="2"/>
        <v>27220.353982300883</v>
      </c>
      <c r="S10" s="2">
        <f>SUM(L5:L10)</f>
        <v>35492</v>
      </c>
      <c r="T10" s="67">
        <f>S10/$O$25</f>
        <v>0.98019829324201169</v>
      </c>
    </row>
    <row r="11" spans="1:20" x14ac:dyDescent="0.25">
      <c r="A11" s="22">
        <v>40</v>
      </c>
      <c r="B11" s="2">
        <v>90</v>
      </c>
      <c r="C11" s="2">
        <v>3136500</v>
      </c>
      <c r="D11" s="2">
        <v>26</v>
      </c>
      <c r="E11" s="2">
        <v>869800</v>
      </c>
      <c r="F11" s="2">
        <v>10</v>
      </c>
      <c r="G11" s="2">
        <v>333300</v>
      </c>
      <c r="H11" s="2">
        <v>2</v>
      </c>
      <c r="I11" s="2">
        <v>70000</v>
      </c>
      <c r="L11" s="94">
        <f t="shared" si="0"/>
        <v>128</v>
      </c>
      <c r="M11" s="4">
        <f t="shared" si="1"/>
        <v>4409600</v>
      </c>
      <c r="N11" s="4">
        <f t="shared" si="2"/>
        <v>34450</v>
      </c>
    </row>
    <row r="12" spans="1:20" x14ac:dyDescent="0.25">
      <c r="A12" s="117">
        <v>50</v>
      </c>
      <c r="B12" s="27">
        <v>59</v>
      </c>
      <c r="C12" s="27">
        <v>2624600</v>
      </c>
      <c r="D12" s="27">
        <v>11</v>
      </c>
      <c r="E12" s="27">
        <v>493200</v>
      </c>
      <c r="F12" s="27">
        <v>15</v>
      </c>
      <c r="G12" s="27">
        <v>701700</v>
      </c>
      <c r="H12" s="27">
        <v>2</v>
      </c>
      <c r="I12" s="27">
        <v>88000</v>
      </c>
      <c r="L12" s="94">
        <f t="shared" si="0"/>
        <v>87</v>
      </c>
      <c r="M12" s="4">
        <f t="shared" si="1"/>
        <v>3907500</v>
      </c>
      <c r="N12" s="4">
        <f t="shared" si="2"/>
        <v>44913.793103448275</v>
      </c>
      <c r="O12" s="27">
        <f>SUM(L7:L12)</f>
        <v>1879</v>
      </c>
      <c r="P12" s="27">
        <f>SUM(M7:M12)</f>
        <v>33194800</v>
      </c>
      <c r="Q12" s="27">
        <f>P12/O12</f>
        <v>17666.205428419373</v>
      </c>
      <c r="S12" s="2">
        <f>SUM(L5:L12)</f>
        <v>35707</v>
      </c>
      <c r="T12" s="67">
        <f>S12/$O$25</f>
        <v>0.98613604352509043</v>
      </c>
    </row>
    <row r="13" spans="1:20" x14ac:dyDescent="0.25">
      <c r="A13" s="22">
        <v>60</v>
      </c>
      <c r="B13" s="2">
        <v>42</v>
      </c>
      <c r="C13" s="2">
        <v>2281800</v>
      </c>
      <c r="D13" s="2">
        <v>8</v>
      </c>
      <c r="E13" s="2">
        <v>442000</v>
      </c>
      <c r="F13" s="2">
        <v>26</v>
      </c>
      <c r="G13" s="2">
        <v>1405800</v>
      </c>
      <c r="H13" s="2">
        <v>0</v>
      </c>
      <c r="I13" s="2">
        <v>0</v>
      </c>
      <c r="L13" s="94">
        <f t="shared" si="0"/>
        <v>76</v>
      </c>
      <c r="M13" s="4">
        <f t="shared" si="1"/>
        <v>4129600</v>
      </c>
      <c r="N13" s="4">
        <f t="shared" si="2"/>
        <v>54336.84210526316</v>
      </c>
    </row>
    <row r="14" spans="1:20" x14ac:dyDescent="0.25">
      <c r="A14" s="22">
        <v>80</v>
      </c>
      <c r="B14" s="2">
        <v>33</v>
      </c>
      <c r="C14" s="2">
        <v>2291800</v>
      </c>
      <c r="D14" s="2">
        <v>38</v>
      </c>
      <c r="E14" s="2">
        <v>2669100</v>
      </c>
      <c r="F14" s="2">
        <v>45</v>
      </c>
      <c r="G14" s="2">
        <v>3175900</v>
      </c>
      <c r="H14" s="2">
        <v>1</v>
      </c>
      <c r="I14" s="2">
        <v>67100</v>
      </c>
      <c r="L14" s="94">
        <f t="shared" si="0"/>
        <v>117</v>
      </c>
      <c r="M14" s="4">
        <f t="shared" si="1"/>
        <v>8203900</v>
      </c>
      <c r="N14" s="4">
        <f t="shared" si="2"/>
        <v>70118.803418803422</v>
      </c>
    </row>
    <row r="15" spans="1:20" x14ac:dyDescent="0.25">
      <c r="A15" s="22">
        <v>100</v>
      </c>
      <c r="B15" s="2">
        <v>20</v>
      </c>
      <c r="C15" s="2">
        <v>1764200</v>
      </c>
      <c r="D15" s="2">
        <v>12</v>
      </c>
      <c r="E15" s="2">
        <v>1084700</v>
      </c>
      <c r="F15" s="2">
        <v>39</v>
      </c>
      <c r="G15" s="2">
        <v>3449500</v>
      </c>
      <c r="L15" s="94">
        <f t="shared" si="0"/>
        <v>71</v>
      </c>
      <c r="M15" s="4">
        <f t="shared" si="1"/>
        <v>6298400</v>
      </c>
      <c r="N15" s="4">
        <f t="shared" si="2"/>
        <v>88709.859154929582</v>
      </c>
    </row>
    <row r="16" spans="1:20" x14ac:dyDescent="0.25">
      <c r="A16" s="22">
        <v>150</v>
      </c>
      <c r="B16" s="2">
        <v>10</v>
      </c>
      <c r="C16" s="2">
        <v>1222700</v>
      </c>
      <c r="D16" s="2">
        <v>21</v>
      </c>
      <c r="E16" s="2">
        <v>2557700</v>
      </c>
      <c r="F16" s="2">
        <v>58</v>
      </c>
      <c r="G16" s="2">
        <v>7185500</v>
      </c>
      <c r="L16" s="94">
        <f t="shared" si="0"/>
        <v>89</v>
      </c>
      <c r="M16" s="4">
        <f t="shared" si="1"/>
        <v>10965900</v>
      </c>
      <c r="N16" s="4">
        <f t="shared" si="2"/>
        <v>123212.3595505618</v>
      </c>
    </row>
    <row r="17" spans="1:17" x14ac:dyDescent="0.25">
      <c r="A17" s="22">
        <v>200</v>
      </c>
      <c r="B17" s="2">
        <v>6</v>
      </c>
      <c r="C17" s="2">
        <v>1003300</v>
      </c>
      <c r="D17" s="2">
        <v>8</v>
      </c>
      <c r="E17" s="2">
        <v>1317200</v>
      </c>
      <c r="F17" s="2">
        <v>29</v>
      </c>
      <c r="G17" s="2">
        <v>5113500</v>
      </c>
      <c r="L17" s="94">
        <f t="shared" si="0"/>
        <v>43</v>
      </c>
      <c r="M17" s="4">
        <f t="shared" si="1"/>
        <v>7434000</v>
      </c>
      <c r="N17" s="4">
        <f t="shared" si="2"/>
        <v>172883.72093023255</v>
      </c>
    </row>
    <row r="18" spans="1:17" x14ac:dyDescent="0.25">
      <c r="A18" s="22">
        <v>300</v>
      </c>
      <c r="D18" s="2">
        <v>10</v>
      </c>
      <c r="E18" s="2">
        <v>2459300</v>
      </c>
      <c r="F18" s="2">
        <v>36</v>
      </c>
      <c r="G18" s="2">
        <v>8937000</v>
      </c>
      <c r="H18" s="2">
        <v>1</v>
      </c>
      <c r="I18" s="2">
        <v>297100</v>
      </c>
      <c r="L18" s="94">
        <f t="shared" si="0"/>
        <v>47</v>
      </c>
      <c r="M18" s="4">
        <f t="shared" si="1"/>
        <v>11693400</v>
      </c>
      <c r="N18" s="4">
        <f t="shared" si="2"/>
        <v>248795.74468085106</v>
      </c>
    </row>
    <row r="19" spans="1:17" x14ac:dyDescent="0.25">
      <c r="A19" s="118">
        <v>400</v>
      </c>
      <c r="B19" s="4"/>
      <c r="C19" s="4"/>
      <c r="D19" s="4"/>
      <c r="E19" s="4"/>
      <c r="F19" s="4">
        <v>18</v>
      </c>
      <c r="G19" s="4">
        <v>6212200</v>
      </c>
      <c r="H19" s="4"/>
      <c r="I19" s="4"/>
      <c r="L19" s="94">
        <f t="shared" si="0"/>
        <v>18</v>
      </c>
      <c r="M19" s="4">
        <f t="shared" si="1"/>
        <v>6212200</v>
      </c>
      <c r="N19" s="4">
        <f t="shared" si="2"/>
        <v>345122.22222222225</v>
      </c>
      <c r="O19" s="27">
        <f>SUM(L13:L19)</f>
        <v>461</v>
      </c>
      <c r="P19" s="27">
        <f>SUM(M13:M19)</f>
        <v>54937400</v>
      </c>
      <c r="Q19" s="27">
        <f>P19/O19</f>
        <v>119170.06507592191</v>
      </c>
    </row>
    <row r="20" spans="1:17" x14ac:dyDescent="0.25">
      <c r="A20" s="22">
        <v>500</v>
      </c>
      <c r="F20" s="2">
        <v>7</v>
      </c>
      <c r="G20" s="2">
        <v>3136800</v>
      </c>
      <c r="L20" s="94">
        <f t="shared" si="0"/>
        <v>7</v>
      </c>
      <c r="M20" s="4">
        <f t="shared" si="1"/>
        <v>3136800</v>
      </c>
      <c r="N20" s="4">
        <f t="shared" si="2"/>
        <v>448114.28571428574</v>
      </c>
    </row>
    <row r="21" spans="1:17" x14ac:dyDescent="0.25">
      <c r="A21" s="22">
        <v>750</v>
      </c>
      <c r="F21" s="2">
        <v>6</v>
      </c>
      <c r="G21" s="2">
        <v>3532700</v>
      </c>
      <c r="L21" s="94">
        <f t="shared" si="0"/>
        <v>6</v>
      </c>
      <c r="M21" s="4">
        <f t="shared" si="1"/>
        <v>3532700</v>
      </c>
      <c r="N21" s="4">
        <f t="shared" si="2"/>
        <v>588783.33333333337</v>
      </c>
    </row>
    <row r="22" spans="1:17" x14ac:dyDescent="0.25">
      <c r="A22" s="22">
        <v>1000</v>
      </c>
      <c r="F22" s="2">
        <v>3</v>
      </c>
      <c r="G22" s="2">
        <v>2462800</v>
      </c>
      <c r="H22" s="2">
        <v>2</v>
      </c>
      <c r="I22" s="2">
        <v>1953100</v>
      </c>
      <c r="L22" s="94">
        <f t="shared" si="0"/>
        <v>5</v>
      </c>
      <c r="M22" s="4">
        <f t="shared" si="1"/>
        <v>4415900</v>
      </c>
      <c r="N22" s="4">
        <f t="shared" si="2"/>
        <v>883180</v>
      </c>
    </row>
    <row r="23" spans="1:17" x14ac:dyDescent="0.25">
      <c r="A23" s="22" t="s">
        <v>127</v>
      </c>
      <c r="D23" s="2">
        <v>1</v>
      </c>
      <c r="E23" s="2">
        <v>1022100</v>
      </c>
      <c r="H23" s="2">
        <v>10</v>
      </c>
      <c r="I23" s="2">
        <v>12734800</v>
      </c>
      <c r="J23" s="2">
        <v>12</v>
      </c>
      <c r="K23" s="2">
        <v>49277400</v>
      </c>
      <c r="L23" s="94">
        <f t="shared" si="0"/>
        <v>23</v>
      </c>
      <c r="M23" s="4">
        <f t="shared" si="1"/>
        <v>63034300</v>
      </c>
      <c r="N23" s="4">
        <f t="shared" si="2"/>
        <v>2740621.7391304346</v>
      </c>
      <c r="O23" s="27">
        <f>SUM(L20:L23)</f>
        <v>41</v>
      </c>
      <c r="P23" s="27">
        <f>SUM(M20:M23)</f>
        <v>74119700</v>
      </c>
      <c r="Q23" s="27">
        <f>P23/O23</f>
        <v>1807797.5609756098</v>
      </c>
    </row>
    <row r="24" spans="1:17" x14ac:dyDescent="0.25">
      <c r="L24" s="94"/>
      <c r="M24" s="4"/>
      <c r="N24" s="4"/>
    </row>
    <row r="25" spans="1:17" x14ac:dyDescent="0.25">
      <c r="A25" s="2" t="s">
        <v>8</v>
      </c>
      <c r="B25" s="2">
        <f t="shared" ref="B25:M25" si="3">SUM(B5:B24)</f>
        <v>35188</v>
      </c>
      <c r="C25" s="2">
        <f t="shared" si="3"/>
        <v>129922100</v>
      </c>
      <c r="D25" s="2">
        <f t="shared" si="3"/>
        <v>422</v>
      </c>
      <c r="E25" s="2">
        <f t="shared" si="3"/>
        <v>15067100</v>
      </c>
      <c r="F25" s="2">
        <f t="shared" si="3"/>
        <v>551</v>
      </c>
      <c r="G25" s="2">
        <f t="shared" si="3"/>
        <v>47921400</v>
      </c>
      <c r="H25" s="2">
        <f t="shared" si="3"/>
        <v>36</v>
      </c>
      <c r="I25" s="2">
        <f t="shared" si="3"/>
        <v>15323800</v>
      </c>
      <c r="J25" s="2">
        <f t="shared" si="3"/>
        <v>12</v>
      </c>
      <c r="K25" s="2">
        <f t="shared" si="3"/>
        <v>49277400</v>
      </c>
      <c r="L25" s="94">
        <f t="shared" si="3"/>
        <v>36209</v>
      </c>
      <c r="M25" s="4">
        <f t="shared" si="3"/>
        <v>257511800</v>
      </c>
      <c r="N25" s="4"/>
      <c r="O25" s="4">
        <f>SUM(O5:O24)</f>
        <v>36209</v>
      </c>
      <c r="P25" s="4">
        <f>SUM(P5:P24)</f>
        <v>257511800</v>
      </c>
    </row>
    <row r="26" spans="1:17" x14ac:dyDescent="0.25">
      <c r="L26" s="94"/>
      <c r="M26" s="4"/>
      <c r="N26" s="4"/>
    </row>
    <row r="27" spans="1:17" x14ac:dyDescent="0.25">
      <c r="C27" s="2">
        <f>C25/B25</f>
        <v>3692.2274639081506</v>
      </c>
      <c r="E27" s="2">
        <f>E25/D25</f>
        <v>35704.028436018954</v>
      </c>
      <c r="G27" s="2">
        <f>G25/F25</f>
        <v>86971.687840290382</v>
      </c>
      <c r="I27" s="2">
        <f>I25/H25</f>
        <v>425661.11111111112</v>
      </c>
      <c r="K27" s="2">
        <f>K25/J25</f>
        <v>4106450</v>
      </c>
    </row>
    <row r="28" spans="1:17" x14ac:dyDescent="0.25">
      <c r="C28" s="2">
        <f>C27/30</f>
        <v>123.07424879693835</v>
      </c>
    </row>
    <row r="29" spans="1:17" x14ac:dyDescent="0.25">
      <c r="C29" s="116">
        <f>C28/1440</f>
        <v>8.546822833120718E-2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Al_Plt</vt:lpstr>
      <vt:lpstr>Al_Dep</vt:lpstr>
      <vt:lpstr>Mtrx</vt:lpstr>
      <vt:lpstr>AlocOM</vt:lpstr>
      <vt:lpstr>AlocSum</vt:lpstr>
      <vt:lpstr>Units</vt:lpstr>
      <vt:lpstr>CalcRates</vt:lpstr>
      <vt:lpstr>Rates</vt:lpstr>
      <vt:lpstr>Usage</vt:lpstr>
      <vt:lpstr>Al_Dep!Print_Area</vt:lpstr>
      <vt:lpstr>Al_Plt!Print_Area</vt:lpstr>
      <vt:lpstr>AlocOM!Print_Area</vt:lpstr>
      <vt:lpstr>AlocSum!Print_Area</vt:lpstr>
      <vt:lpstr>CalcRates!Print_Area</vt:lpstr>
      <vt:lpstr>Rates!Print_Area</vt:lpstr>
      <vt:lpstr>Units!Print_Area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 Vilines</cp:lastModifiedBy>
  <cp:lastPrinted>2021-12-05T17:07:16Z</cp:lastPrinted>
  <dcterms:created xsi:type="dcterms:W3CDTF">2016-05-18T14:12:06Z</dcterms:created>
  <dcterms:modified xsi:type="dcterms:W3CDTF">2022-04-08T13:45:01Z</dcterms:modified>
</cp:coreProperties>
</file>