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Barkley Lake WD\"/>
    </mc:Choice>
  </mc:AlternateContent>
  <xr:revisionPtr revIDLastSave="0" documentId="13_ncr:1_{0B3FAB09-3630-41FB-B417-09A2A756BE2C}" xr6:coauthVersionLast="47" xr6:coauthVersionMax="47" xr10:uidLastSave="{00000000-0000-0000-0000-000000000000}"/>
  <bookViews>
    <workbookView xWindow="-38520" yWindow="-120" windowWidth="38640" windowHeight="21240" activeTab="2" xr2:uid="{6E63B46A-5EA5-463E-A589-D86B658F6C92}"/>
  </bookViews>
  <sheets>
    <sheet name="BillingAnalysis" sheetId="5" r:id="rId1"/>
    <sheet name="Salaries" sheetId="2" r:id="rId2"/>
    <sheet name="HealthBenefits" sheetId="3" r:id="rId3"/>
    <sheet name="CERS" sheetId="4" r:id="rId4"/>
    <sheet name="Depreciation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H136" i="5"/>
  <c r="F136" i="5"/>
  <c r="E136" i="5"/>
  <c r="H133" i="5"/>
  <c r="H128" i="5"/>
  <c r="G128" i="5"/>
  <c r="F128" i="5"/>
  <c r="E128" i="5"/>
  <c r="I126" i="5"/>
  <c r="I125" i="5"/>
  <c r="I108" i="5"/>
  <c r="H107" i="5"/>
  <c r="G106" i="5"/>
  <c r="K105" i="5"/>
  <c r="H87" i="5"/>
  <c r="G86" i="5"/>
  <c r="G85" i="5"/>
  <c r="H67" i="5"/>
  <c r="H66" i="5"/>
  <c r="G65" i="5"/>
  <c r="G64" i="5"/>
  <c r="H46" i="5"/>
  <c r="G45" i="5"/>
  <c r="F49" i="5"/>
  <c r="J9" i="5" s="1"/>
  <c r="H27" i="5"/>
  <c r="G27" i="5"/>
  <c r="I27" i="5"/>
  <c r="H26" i="5"/>
  <c r="G25" i="5"/>
  <c r="E29" i="5"/>
  <c r="K13" i="5"/>
  <c r="J13" i="5"/>
  <c r="I13" i="5"/>
  <c r="J18" i="4"/>
  <c r="I18" i="4"/>
  <c r="H18" i="4"/>
  <c r="G18" i="4"/>
  <c r="F18" i="4"/>
  <c r="E18" i="4"/>
  <c r="D18" i="4"/>
  <c r="C18" i="4"/>
  <c r="K16" i="4"/>
  <c r="K15" i="4"/>
  <c r="K14" i="4"/>
  <c r="K13" i="4"/>
  <c r="K12" i="4"/>
  <c r="K11" i="4"/>
  <c r="R10" i="4"/>
  <c r="K10" i="4"/>
  <c r="K9" i="4"/>
  <c r="R8" i="4"/>
  <c r="K8" i="4"/>
  <c r="K7" i="4"/>
  <c r="K6" i="4"/>
  <c r="K5" i="4"/>
  <c r="K4" i="4"/>
  <c r="K18" i="4" s="1"/>
  <c r="K3" i="4"/>
  <c r="G185" i="3"/>
  <c r="G178" i="3"/>
  <c r="G171" i="3"/>
  <c r="G162" i="3"/>
  <c r="G151" i="3"/>
  <c r="G141" i="3"/>
  <c r="G130" i="3"/>
  <c r="G120" i="3"/>
  <c r="G110" i="3"/>
  <c r="G101" i="3"/>
  <c r="G91" i="3"/>
  <c r="G81" i="3"/>
  <c r="L71" i="3"/>
  <c r="G71" i="3"/>
  <c r="G62" i="3"/>
  <c r="G52" i="3"/>
  <c r="G44" i="3"/>
  <c r="O35" i="3"/>
  <c r="O37" i="3" s="1"/>
  <c r="S22" i="3" s="1"/>
  <c r="O34" i="3"/>
  <c r="G34" i="3"/>
  <c r="O33" i="3"/>
  <c r="Y25" i="3"/>
  <c r="G24" i="3"/>
  <c r="N21" i="3"/>
  <c r="N20" i="3"/>
  <c r="N19" i="3"/>
  <c r="N18" i="3"/>
  <c r="N17" i="3"/>
  <c r="N16" i="3"/>
  <c r="N15" i="3"/>
  <c r="S7" i="3" s="1"/>
  <c r="N14" i="3"/>
  <c r="N23" i="3" s="1"/>
  <c r="N26" i="3" s="1"/>
  <c r="G14" i="3"/>
  <c r="O23" i="3" s="1"/>
  <c r="N13" i="3"/>
  <c r="N12" i="3"/>
  <c r="N11" i="3"/>
  <c r="S10" i="3"/>
  <c r="W10" i="3" s="1"/>
  <c r="N10" i="3"/>
  <c r="N9" i="3"/>
  <c r="S8" i="3"/>
  <c r="W8" i="3" s="1"/>
  <c r="N8" i="3"/>
  <c r="N7" i="3"/>
  <c r="S6" i="3"/>
  <c r="W6" i="3" s="1"/>
  <c r="S9" i="3"/>
  <c r="G20" i="2"/>
  <c r="F20" i="2"/>
  <c r="M20" i="2" s="1"/>
  <c r="I19" i="2"/>
  <c r="M19" i="2" s="1"/>
  <c r="G19" i="2"/>
  <c r="F19" i="2"/>
  <c r="I18" i="2"/>
  <c r="M18" i="2" s="1"/>
  <c r="G18" i="2"/>
  <c r="F18" i="2"/>
  <c r="I17" i="2"/>
  <c r="M17" i="2" s="1"/>
  <c r="G17" i="2"/>
  <c r="F17" i="2"/>
  <c r="K16" i="2"/>
  <c r="J16" i="2"/>
  <c r="I16" i="2"/>
  <c r="M16" i="2" s="1"/>
  <c r="G16" i="2"/>
  <c r="F16" i="2"/>
  <c r="I15" i="2"/>
  <c r="G15" i="2"/>
  <c r="F15" i="2"/>
  <c r="M15" i="2" s="1"/>
  <c r="K14" i="2"/>
  <c r="J14" i="2"/>
  <c r="M14" i="2" s="1"/>
  <c r="I14" i="2"/>
  <c r="G14" i="2"/>
  <c r="F14" i="2"/>
  <c r="K13" i="2"/>
  <c r="J13" i="2"/>
  <c r="I13" i="2"/>
  <c r="M13" i="2" s="1"/>
  <c r="G13" i="2"/>
  <c r="F13" i="2"/>
  <c r="I12" i="2"/>
  <c r="M12" i="2" s="1"/>
  <c r="G12" i="2"/>
  <c r="F12" i="2"/>
  <c r="I11" i="2"/>
  <c r="M11" i="2" s="1"/>
  <c r="G11" i="2"/>
  <c r="F11" i="2"/>
  <c r="G10" i="2"/>
  <c r="F10" i="2"/>
  <c r="M10" i="2" s="1"/>
  <c r="I9" i="2"/>
  <c r="M9" i="2" s="1"/>
  <c r="G9" i="2"/>
  <c r="F9" i="2"/>
  <c r="M8" i="2"/>
  <c r="G8" i="2"/>
  <c r="F8" i="2"/>
  <c r="I7" i="2"/>
  <c r="M7" i="2" s="1"/>
  <c r="G7" i="2"/>
  <c r="F7" i="2"/>
  <c r="I6" i="2"/>
  <c r="G6" i="2"/>
  <c r="F6" i="2"/>
  <c r="M6" i="2" s="1"/>
  <c r="I5" i="2"/>
  <c r="M5" i="2" s="1"/>
  <c r="G5" i="2"/>
  <c r="F5" i="2"/>
  <c r="I4" i="2"/>
  <c r="M4" i="2" s="1"/>
  <c r="G4" i="2"/>
  <c r="F4" i="2"/>
  <c r="G3" i="2"/>
  <c r="M3" i="2" s="1"/>
  <c r="F3" i="2"/>
  <c r="K186" i="1"/>
  <c r="M183" i="1"/>
  <c r="O183" i="1" s="1"/>
  <c r="O182" i="1"/>
  <c r="M182" i="1"/>
  <c r="M181" i="1"/>
  <c r="O181" i="1" s="1"/>
  <c r="M180" i="1"/>
  <c r="O180" i="1" s="1"/>
  <c r="O179" i="1"/>
  <c r="M179" i="1"/>
  <c r="O178" i="1"/>
  <c r="M178" i="1"/>
  <c r="M177" i="1"/>
  <c r="O177" i="1" s="1"/>
  <c r="M173" i="1"/>
  <c r="O173" i="1" s="1"/>
  <c r="M169" i="1"/>
  <c r="O169" i="1" s="1"/>
  <c r="O168" i="1"/>
  <c r="M168" i="1"/>
  <c r="M167" i="1"/>
  <c r="O167" i="1" s="1"/>
  <c r="M166" i="1"/>
  <c r="O166" i="1" s="1"/>
  <c r="M165" i="1"/>
  <c r="O165" i="1" s="1"/>
  <c r="O164" i="1"/>
  <c r="M164" i="1"/>
  <c r="M163" i="1"/>
  <c r="O163" i="1" s="1"/>
  <c r="M162" i="1"/>
  <c r="O162" i="1" s="1"/>
  <c r="M161" i="1"/>
  <c r="O161" i="1" s="1"/>
  <c r="O160" i="1"/>
  <c r="M160" i="1"/>
  <c r="M159" i="1"/>
  <c r="O159" i="1" s="1"/>
  <c r="M158" i="1"/>
  <c r="O158" i="1" s="1"/>
  <c r="K155" i="1"/>
  <c r="U153" i="1"/>
  <c r="W153" i="1" s="1"/>
  <c r="M153" i="1"/>
  <c r="O153" i="1" s="1"/>
  <c r="U152" i="1"/>
  <c r="W152" i="1" s="1"/>
  <c r="O152" i="1"/>
  <c r="M152" i="1"/>
  <c r="U151" i="1"/>
  <c r="W151" i="1" s="1"/>
  <c r="M151" i="1"/>
  <c r="O151" i="1" s="1"/>
  <c r="U150" i="1"/>
  <c r="W150" i="1" s="1"/>
  <c r="O150" i="1"/>
  <c r="M150" i="1"/>
  <c r="U149" i="1"/>
  <c r="W149" i="1" s="1"/>
  <c r="O149" i="1"/>
  <c r="M149" i="1"/>
  <c r="U148" i="1"/>
  <c r="W148" i="1" s="1"/>
  <c r="O148" i="1"/>
  <c r="M148" i="1"/>
  <c r="U147" i="1"/>
  <c r="W147" i="1" s="1"/>
  <c r="O147" i="1"/>
  <c r="M147" i="1"/>
  <c r="W146" i="1"/>
  <c r="U146" i="1"/>
  <c r="O146" i="1"/>
  <c r="M146" i="1"/>
  <c r="U145" i="1"/>
  <c r="W145" i="1" s="1"/>
  <c r="O145" i="1"/>
  <c r="M145" i="1"/>
  <c r="W144" i="1"/>
  <c r="U144" i="1"/>
  <c r="O144" i="1"/>
  <c r="M144" i="1"/>
  <c r="U143" i="1"/>
  <c r="W143" i="1" s="1"/>
  <c r="M143" i="1"/>
  <c r="O143" i="1" s="1"/>
  <c r="W142" i="1"/>
  <c r="U142" i="1"/>
  <c r="U155" i="1" s="1"/>
  <c r="Y155" i="1" s="1"/>
  <c r="O142" i="1"/>
  <c r="M142" i="1"/>
  <c r="U141" i="1"/>
  <c r="W141" i="1" s="1"/>
  <c r="O141" i="1"/>
  <c r="M141" i="1"/>
  <c r="K138" i="1"/>
  <c r="U136" i="1"/>
  <c r="W136" i="1" s="1"/>
  <c r="M136" i="1"/>
  <c r="O136" i="1" s="1"/>
  <c r="W135" i="1"/>
  <c r="U135" i="1"/>
  <c r="O135" i="1"/>
  <c r="M135" i="1"/>
  <c r="U134" i="1"/>
  <c r="W134" i="1" s="1"/>
  <c r="O134" i="1"/>
  <c r="M134" i="1"/>
  <c r="U133" i="1"/>
  <c r="W133" i="1" s="1"/>
  <c r="O133" i="1"/>
  <c r="M133" i="1"/>
  <c r="U132" i="1"/>
  <c r="W132" i="1" s="1"/>
  <c r="O132" i="1"/>
  <c r="M132" i="1"/>
  <c r="W131" i="1"/>
  <c r="U131" i="1"/>
  <c r="O131" i="1"/>
  <c r="M131" i="1"/>
  <c r="U130" i="1"/>
  <c r="W130" i="1" s="1"/>
  <c r="O130" i="1"/>
  <c r="M130" i="1"/>
  <c r="W129" i="1"/>
  <c r="U129" i="1"/>
  <c r="O129" i="1"/>
  <c r="M129" i="1"/>
  <c r="U128" i="1"/>
  <c r="W128" i="1" s="1"/>
  <c r="M128" i="1"/>
  <c r="O128" i="1" s="1"/>
  <c r="W127" i="1"/>
  <c r="U127" i="1"/>
  <c r="O127" i="1"/>
  <c r="M127" i="1"/>
  <c r="U126" i="1"/>
  <c r="W126" i="1" s="1"/>
  <c r="M126" i="1"/>
  <c r="O126" i="1" s="1"/>
  <c r="W125" i="1"/>
  <c r="U125" i="1"/>
  <c r="O125" i="1"/>
  <c r="M125" i="1"/>
  <c r="U124" i="1"/>
  <c r="W124" i="1" s="1"/>
  <c r="O124" i="1"/>
  <c r="M124" i="1"/>
  <c r="U123" i="1"/>
  <c r="W123" i="1" s="1"/>
  <c r="O123" i="1"/>
  <c r="M123" i="1"/>
  <c r="U122" i="1"/>
  <c r="W122" i="1" s="1"/>
  <c r="M122" i="1"/>
  <c r="O122" i="1" s="1"/>
  <c r="U121" i="1"/>
  <c r="W121" i="1" s="1"/>
  <c r="O121" i="1"/>
  <c r="M121" i="1"/>
  <c r="U120" i="1"/>
  <c r="W120" i="1" s="1"/>
  <c r="O120" i="1"/>
  <c r="M120" i="1"/>
  <c r="W119" i="1"/>
  <c r="U119" i="1"/>
  <c r="O119" i="1"/>
  <c r="M119" i="1"/>
  <c r="U118" i="1"/>
  <c r="W118" i="1" s="1"/>
  <c r="M118" i="1"/>
  <c r="O118" i="1" s="1"/>
  <c r="U117" i="1"/>
  <c r="W117" i="1" s="1"/>
  <c r="O117" i="1"/>
  <c r="M117" i="1"/>
  <c r="U116" i="1"/>
  <c r="W116" i="1" s="1"/>
  <c r="O116" i="1"/>
  <c r="M116" i="1"/>
  <c r="W115" i="1"/>
  <c r="U115" i="1"/>
  <c r="O115" i="1"/>
  <c r="M115" i="1"/>
  <c r="U114" i="1"/>
  <c r="W114" i="1" s="1"/>
  <c r="O114" i="1"/>
  <c r="M114" i="1"/>
  <c r="U113" i="1"/>
  <c r="W113" i="1" s="1"/>
  <c r="O113" i="1"/>
  <c r="M113" i="1"/>
  <c r="U112" i="1"/>
  <c r="W112" i="1" s="1"/>
  <c r="M112" i="1"/>
  <c r="O112" i="1" s="1"/>
  <c r="W111" i="1"/>
  <c r="U111" i="1"/>
  <c r="O111" i="1"/>
  <c r="M111" i="1"/>
  <c r="U110" i="1"/>
  <c r="W110" i="1" s="1"/>
  <c r="O110" i="1"/>
  <c r="M110" i="1"/>
  <c r="W109" i="1"/>
  <c r="U109" i="1"/>
  <c r="O109" i="1"/>
  <c r="M109" i="1"/>
  <c r="U108" i="1"/>
  <c r="W108" i="1" s="1"/>
  <c r="O108" i="1"/>
  <c r="M108" i="1"/>
  <c r="U107" i="1"/>
  <c r="W107" i="1" s="1"/>
  <c r="O107" i="1"/>
  <c r="M107" i="1"/>
  <c r="U106" i="1"/>
  <c r="W106" i="1" s="1"/>
  <c r="M106" i="1"/>
  <c r="O106" i="1" s="1"/>
  <c r="U105" i="1"/>
  <c r="W105" i="1" s="1"/>
  <c r="O105" i="1"/>
  <c r="M105" i="1"/>
  <c r="U104" i="1"/>
  <c r="W104" i="1" s="1"/>
  <c r="O104" i="1"/>
  <c r="M104" i="1"/>
  <c r="W103" i="1"/>
  <c r="U103" i="1"/>
  <c r="O103" i="1"/>
  <c r="M103" i="1"/>
  <c r="U102" i="1"/>
  <c r="W102" i="1" s="1"/>
  <c r="M102" i="1"/>
  <c r="O102" i="1" s="1"/>
  <c r="U101" i="1"/>
  <c r="W101" i="1" s="1"/>
  <c r="O101" i="1"/>
  <c r="M101" i="1"/>
  <c r="U100" i="1"/>
  <c r="W100" i="1" s="1"/>
  <c r="O100" i="1"/>
  <c r="M100" i="1"/>
  <c r="W99" i="1"/>
  <c r="U99" i="1"/>
  <c r="O99" i="1"/>
  <c r="M99" i="1"/>
  <c r="U98" i="1"/>
  <c r="W98" i="1" s="1"/>
  <c r="O98" i="1"/>
  <c r="M98" i="1"/>
  <c r="U97" i="1"/>
  <c r="W97" i="1" s="1"/>
  <c r="O97" i="1"/>
  <c r="M97" i="1"/>
  <c r="U96" i="1"/>
  <c r="W96" i="1" s="1"/>
  <c r="M96" i="1"/>
  <c r="O96" i="1" s="1"/>
  <c r="W95" i="1"/>
  <c r="U95" i="1"/>
  <c r="O95" i="1"/>
  <c r="M95" i="1"/>
  <c r="U94" i="1"/>
  <c r="W94" i="1" s="1"/>
  <c r="O94" i="1"/>
  <c r="M94" i="1"/>
  <c r="W93" i="1"/>
  <c r="U93" i="1"/>
  <c r="O93" i="1"/>
  <c r="M93" i="1"/>
  <c r="U92" i="1"/>
  <c r="W92" i="1" s="1"/>
  <c r="O92" i="1"/>
  <c r="M92" i="1"/>
  <c r="U91" i="1"/>
  <c r="W91" i="1" s="1"/>
  <c r="O91" i="1"/>
  <c r="M91" i="1"/>
  <c r="U90" i="1"/>
  <c r="W90" i="1" s="1"/>
  <c r="M90" i="1"/>
  <c r="O90" i="1" s="1"/>
  <c r="W89" i="1"/>
  <c r="U89" i="1"/>
  <c r="O89" i="1"/>
  <c r="M89" i="1"/>
  <c r="U88" i="1"/>
  <c r="W88" i="1" s="1"/>
  <c r="O88" i="1"/>
  <c r="M88" i="1"/>
  <c r="W87" i="1"/>
  <c r="U87" i="1"/>
  <c r="O87" i="1"/>
  <c r="M87" i="1"/>
  <c r="U86" i="1"/>
  <c r="W86" i="1" s="1"/>
  <c r="O86" i="1"/>
  <c r="M86" i="1"/>
  <c r="U85" i="1"/>
  <c r="W85" i="1" s="1"/>
  <c r="O85" i="1"/>
  <c r="M85" i="1"/>
  <c r="U84" i="1"/>
  <c r="W84" i="1" s="1"/>
  <c r="O84" i="1"/>
  <c r="M84" i="1"/>
  <c r="W83" i="1"/>
  <c r="U83" i="1"/>
  <c r="O83" i="1"/>
  <c r="M83" i="1"/>
  <c r="U82" i="1"/>
  <c r="W82" i="1" s="1"/>
  <c r="O82" i="1"/>
  <c r="M82" i="1"/>
  <c r="W81" i="1"/>
  <c r="U81" i="1"/>
  <c r="O81" i="1"/>
  <c r="M81" i="1"/>
  <c r="U80" i="1"/>
  <c r="W80" i="1" s="1"/>
  <c r="M80" i="1"/>
  <c r="O80" i="1" s="1"/>
  <c r="U79" i="1"/>
  <c r="W79" i="1" s="1"/>
  <c r="O79" i="1"/>
  <c r="M79" i="1"/>
  <c r="U78" i="1"/>
  <c r="W78" i="1" s="1"/>
  <c r="O78" i="1"/>
  <c r="M78" i="1"/>
  <c r="W77" i="1"/>
  <c r="U77" i="1"/>
  <c r="O77" i="1"/>
  <c r="M77" i="1"/>
  <c r="U76" i="1"/>
  <c r="W76" i="1" s="1"/>
  <c r="M76" i="1"/>
  <c r="O76" i="1" s="1"/>
  <c r="U75" i="1"/>
  <c r="W75" i="1" s="1"/>
  <c r="O75" i="1"/>
  <c r="M75" i="1"/>
  <c r="U74" i="1"/>
  <c r="W74" i="1" s="1"/>
  <c r="M74" i="1"/>
  <c r="O74" i="1" s="1"/>
  <c r="W73" i="1"/>
  <c r="U73" i="1"/>
  <c r="O73" i="1"/>
  <c r="M73" i="1"/>
  <c r="U72" i="1"/>
  <c r="W72" i="1" s="1"/>
  <c r="O72" i="1"/>
  <c r="M72" i="1"/>
  <c r="U71" i="1"/>
  <c r="W71" i="1" s="1"/>
  <c r="O71" i="1"/>
  <c r="M71" i="1"/>
  <c r="U70" i="1"/>
  <c r="W70" i="1" s="1"/>
  <c r="O70" i="1"/>
  <c r="M70" i="1"/>
  <c r="U69" i="1"/>
  <c r="W69" i="1" s="1"/>
  <c r="O69" i="1"/>
  <c r="M69" i="1"/>
  <c r="U68" i="1"/>
  <c r="W68" i="1" s="1"/>
  <c r="M68" i="1"/>
  <c r="O68" i="1" s="1"/>
  <c r="W67" i="1"/>
  <c r="U67" i="1"/>
  <c r="O67" i="1"/>
  <c r="M67" i="1"/>
  <c r="U66" i="1"/>
  <c r="W66" i="1" s="1"/>
  <c r="O66" i="1"/>
  <c r="M66" i="1"/>
  <c r="W65" i="1"/>
  <c r="U65" i="1"/>
  <c r="O65" i="1"/>
  <c r="M65" i="1"/>
  <c r="U64" i="1"/>
  <c r="W64" i="1" s="1"/>
  <c r="M64" i="1"/>
  <c r="O64" i="1" s="1"/>
  <c r="U63" i="1"/>
  <c r="W63" i="1" s="1"/>
  <c r="O63" i="1"/>
  <c r="M63" i="1"/>
  <c r="U62" i="1"/>
  <c r="W62" i="1" s="1"/>
  <c r="O62" i="1"/>
  <c r="M62" i="1"/>
  <c r="W61" i="1"/>
  <c r="U61" i="1"/>
  <c r="O61" i="1"/>
  <c r="M61" i="1"/>
  <c r="U60" i="1"/>
  <c r="W60" i="1" s="1"/>
  <c r="M60" i="1"/>
  <c r="O60" i="1" s="1"/>
  <c r="U59" i="1"/>
  <c r="W59" i="1" s="1"/>
  <c r="O59" i="1"/>
  <c r="M59" i="1"/>
  <c r="U58" i="1"/>
  <c r="W58" i="1" s="1"/>
  <c r="M58" i="1"/>
  <c r="O58" i="1" s="1"/>
  <c r="W57" i="1"/>
  <c r="U57" i="1"/>
  <c r="O57" i="1"/>
  <c r="M57" i="1"/>
  <c r="U56" i="1"/>
  <c r="W56" i="1" s="1"/>
  <c r="O56" i="1"/>
  <c r="M56" i="1"/>
  <c r="U55" i="1"/>
  <c r="W55" i="1" s="1"/>
  <c r="O55" i="1"/>
  <c r="M55" i="1"/>
  <c r="U54" i="1"/>
  <c r="W54" i="1" s="1"/>
  <c r="O54" i="1"/>
  <c r="M54" i="1"/>
  <c r="U53" i="1"/>
  <c r="W53" i="1" s="1"/>
  <c r="O53" i="1"/>
  <c r="M53" i="1"/>
  <c r="U52" i="1"/>
  <c r="W52" i="1" s="1"/>
  <c r="M52" i="1"/>
  <c r="O52" i="1" s="1"/>
  <c r="W51" i="1"/>
  <c r="U51" i="1"/>
  <c r="O51" i="1"/>
  <c r="M51" i="1"/>
  <c r="U50" i="1"/>
  <c r="W50" i="1" s="1"/>
  <c r="O50" i="1"/>
  <c r="M50" i="1"/>
  <c r="W49" i="1"/>
  <c r="U49" i="1"/>
  <c r="O49" i="1"/>
  <c r="M49" i="1"/>
  <c r="U48" i="1"/>
  <c r="W48" i="1" s="1"/>
  <c r="M48" i="1"/>
  <c r="O48" i="1" s="1"/>
  <c r="U47" i="1"/>
  <c r="W47" i="1" s="1"/>
  <c r="O47" i="1"/>
  <c r="M47" i="1"/>
  <c r="U46" i="1"/>
  <c r="W46" i="1" s="1"/>
  <c r="O46" i="1"/>
  <c r="M46" i="1"/>
  <c r="W45" i="1"/>
  <c r="U45" i="1"/>
  <c r="O45" i="1"/>
  <c r="M45" i="1"/>
  <c r="U44" i="1"/>
  <c r="W44" i="1" s="1"/>
  <c r="M44" i="1"/>
  <c r="O44" i="1" s="1"/>
  <c r="U43" i="1"/>
  <c r="W43" i="1" s="1"/>
  <c r="O43" i="1"/>
  <c r="M43" i="1"/>
  <c r="U42" i="1"/>
  <c r="W42" i="1" s="1"/>
  <c r="M42" i="1"/>
  <c r="O42" i="1" s="1"/>
  <c r="W41" i="1"/>
  <c r="U41" i="1"/>
  <c r="O41" i="1"/>
  <c r="M41" i="1"/>
  <c r="U40" i="1"/>
  <c r="W40" i="1" s="1"/>
  <c r="O40" i="1"/>
  <c r="M40" i="1"/>
  <c r="U39" i="1"/>
  <c r="W39" i="1" s="1"/>
  <c r="O39" i="1"/>
  <c r="M39" i="1"/>
  <c r="U38" i="1"/>
  <c r="W38" i="1" s="1"/>
  <c r="O38" i="1"/>
  <c r="M38" i="1"/>
  <c r="U37" i="1"/>
  <c r="W37" i="1" s="1"/>
  <c r="O37" i="1"/>
  <c r="M37" i="1"/>
  <c r="U36" i="1"/>
  <c r="W36" i="1" s="1"/>
  <c r="M36" i="1"/>
  <c r="O36" i="1" s="1"/>
  <c r="W35" i="1"/>
  <c r="U35" i="1"/>
  <c r="O35" i="1"/>
  <c r="M35" i="1"/>
  <c r="U34" i="1"/>
  <c r="W34" i="1" s="1"/>
  <c r="O34" i="1"/>
  <c r="M34" i="1"/>
  <c r="W33" i="1"/>
  <c r="U33" i="1"/>
  <c r="O33" i="1"/>
  <c r="M33" i="1"/>
  <c r="U32" i="1"/>
  <c r="W32" i="1" s="1"/>
  <c r="M32" i="1"/>
  <c r="O32" i="1" s="1"/>
  <c r="U31" i="1"/>
  <c r="W31" i="1" s="1"/>
  <c r="O31" i="1"/>
  <c r="M31" i="1"/>
  <c r="U30" i="1"/>
  <c r="W30" i="1" s="1"/>
  <c r="O30" i="1"/>
  <c r="M30" i="1"/>
  <c r="W29" i="1"/>
  <c r="U29" i="1"/>
  <c r="O29" i="1"/>
  <c r="M29" i="1"/>
  <c r="U28" i="1"/>
  <c r="W28" i="1" s="1"/>
  <c r="M28" i="1"/>
  <c r="O28" i="1" s="1"/>
  <c r="U27" i="1"/>
  <c r="W27" i="1" s="1"/>
  <c r="O27" i="1"/>
  <c r="M27" i="1"/>
  <c r="U26" i="1"/>
  <c r="W26" i="1" s="1"/>
  <c r="M26" i="1"/>
  <c r="O26" i="1" s="1"/>
  <c r="W25" i="1"/>
  <c r="U25" i="1"/>
  <c r="O25" i="1"/>
  <c r="M25" i="1"/>
  <c r="U24" i="1"/>
  <c r="W24" i="1" s="1"/>
  <c r="O24" i="1"/>
  <c r="M24" i="1"/>
  <c r="U23" i="1"/>
  <c r="W23" i="1" s="1"/>
  <c r="O23" i="1"/>
  <c r="M23" i="1"/>
  <c r="U22" i="1"/>
  <c r="W22" i="1" s="1"/>
  <c r="O22" i="1"/>
  <c r="M22" i="1"/>
  <c r="V21" i="1"/>
  <c r="U21" i="1"/>
  <c r="U138" i="1" s="1"/>
  <c r="Y138" i="1" s="1"/>
  <c r="M21" i="1"/>
  <c r="O21" i="1" s="1"/>
  <c r="M20" i="1"/>
  <c r="O20" i="1" s="1"/>
  <c r="M19" i="1"/>
  <c r="O19" i="1" s="1"/>
  <c r="O18" i="1"/>
  <c r="M18" i="1"/>
  <c r="M17" i="1"/>
  <c r="O17" i="1" s="1"/>
  <c r="M16" i="1"/>
  <c r="O16" i="1" s="1"/>
  <c r="M15" i="1"/>
  <c r="O15" i="1" s="1"/>
  <c r="M14" i="1"/>
  <c r="O14" i="1" s="1"/>
  <c r="M10" i="1"/>
  <c r="O10" i="1" s="1"/>
  <c r="M9" i="1"/>
  <c r="O9" i="1" s="1"/>
  <c r="O8" i="1"/>
  <c r="M8" i="1"/>
  <c r="O7" i="1"/>
  <c r="M7" i="1"/>
  <c r="M6" i="1"/>
  <c r="O6" i="1" s="1"/>
  <c r="G46" i="5" l="1"/>
  <c r="G66" i="5"/>
  <c r="G44" i="5"/>
  <c r="K44" i="5" s="1"/>
  <c r="E49" i="5"/>
  <c r="H65" i="5"/>
  <c r="K65" i="5"/>
  <c r="J108" i="5"/>
  <c r="J110" i="5" s="1"/>
  <c r="F118" i="5" s="1"/>
  <c r="H118" i="5" s="1"/>
  <c r="F69" i="5"/>
  <c r="J10" i="5" s="1"/>
  <c r="F29" i="5"/>
  <c r="J8" i="5" s="1"/>
  <c r="H45" i="5"/>
  <c r="K45" i="5" s="1"/>
  <c r="G24" i="5"/>
  <c r="K24" i="5" s="1"/>
  <c r="G108" i="5"/>
  <c r="E90" i="5"/>
  <c r="E95" i="5" s="1"/>
  <c r="H108" i="5"/>
  <c r="J27" i="5"/>
  <c r="J29" i="5" s="1"/>
  <c r="F37" i="5" s="1"/>
  <c r="H37" i="5" s="1"/>
  <c r="F90" i="5"/>
  <c r="J11" i="5" s="1"/>
  <c r="F110" i="5"/>
  <c r="J12" i="5" s="1"/>
  <c r="E69" i="5"/>
  <c r="I8" i="5"/>
  <c r="E34" i="5"/>
  <c r="E54" i="5"/>
  <c r="I9" i="5"/>
  <c r="I46" i="5"/>
  <c r="I49" i="5" s="1"/>
  <c r="F56" i="5" s="1"/>
  <c r="H56" i="5" s="1"/>
  <c r="I11" i="5"/>
  <c r="G107" i="5"/>
  <c r="G110" i="5" s="1"/>
  <c r="H106" i="5"/>
  <c r="H110" i="5" s="1"/>
  <c r="F116" i="5" s="1"/>
  <c r="H116" i="5" s="1"/>
  <c r="H25" i="5"/>
  <c r="H29" i="5" s="1"/>
  <c r="F35" i="5" s="1"/>
  <c r="H35" i="5" s="1"/>
  <c r="E74" i="5"/>
  <c r="I10" i="5"/>
  <c r="H69" i="5"/>
  <c r="F75" i="5" s="1"/>
  <c r="H75" i="5" s="1"/>
  <c r="H86" i="5"/>
  <c r="H90" i="5" s="1"/>
  <c r="F96" i="5" s="1"/>
  <c r="H96" i="5" s="1"/>
  <c r="G26" i="5"/>
  <c r="G49" i="5"/>
  <c r="G67" i="5"/>
  <c r="G69" i="5" s="1"/>
  <c r="K85" i="5"/>
  <c r="G87" i="5"/>
  <c r="I87" i="5" s="1"/>
  <c r="E110" i="5"/>
  <c r="K64" i="5"/>
  <c r="I66" i="5"/>
  <c r="W9" i="3"/>
  <c r="Y9" i="3" s="1"/>
  <c r="W7" i="3"/>
  <c r="Y7" i="3" s="1"/>
  <c r="W22" i="3"/>
  <c r="Y22" i="3" s="1"/>
  <c r="Y24" i="3" s="1"/>
  <c r="Y27" i="3" s="1"/>
  <c r="Y8" i="3"/>
  <c r="S12" i="3"/>
  <c r="Y6" i="3"/>
  <c r="Y10" i="3"/>
  <c r="M22" i="2"/>
  <c r="M25" i="2" s="1"/>
  <c r="Y157" i="1"/>
  <c r="Y151" i="1"/>
  <c r="W21" i="1"/>
  <c r="Y134" i="1" s="1"/>
  <c r="J15" i="5" l="1"/>
  <c r="K46" i="5"/>
  <c r="L49" i="5" s="1"/>
  <c r="H49" i="5"/>
  <c r="F55" i="5" s="1"/>
  <c r="H55" i="5" s="1"/>
  <c r="G90" i="5"/>
  <c r="G29" i="5"/>
  <c r="F34" i="5" s="1"/>
  <c r="F39" i="5" s="1"/>
  <c r="K27" i="5"/>
  <c r="K108" i="5"/>
  <c r="F74" i="5"/>
  <c r="F97" i="5"/>
  <c r="H97" i="5" s="1"/>
  <c r="I90" i="5"/>
  <c r="F115" i="5"/>
  <c r="I15" i="5"/>
  <c r="F95" i="5"/>
  <c r="K90" i="5"/>
  <c r="K106" i="5"/>
  <c r="H54" i="5"/>
  <c r="E59" i="5"/>
  <c r="I107" i="5"/>
  <c r="I110" i="5" s="1"/>
  <c r="F117" i="5" s="1"/>
  <c r="H117" i="5" s="1"/>
  <c r="I26" i="5"/>
  <c r="I29" i="5" s="1"/>
  <c r="F36" i="5" s="1"/>
  <c r="H36" i="5" s="1"/>
  <c r="K87" i="5"/>
  <c r="K86" i="5"/>
  <c r="L90" i="5" s="1"/>
  <c r="H95" i="5"/>
  <c r="E100" i="5"/>
  <c r="H74" i="5"/>
  <c r="E79" i="5"/>
  <c r="I12" i="5"/>
  <c r="E115" i="5"/>
  <c r="K66" i="5"/>
  <c r="K26" i="5"/>
  <c r="F54" i="5"/>
  <c r="F59" i="5" s="1"/>
  <c r="K25" i="5"/>
  <c r="I67" i="5"/>
  <c r="I69" i="5" s="1"/>
  <c r="H34" i="5"/>
  <c r="E39" i="5"/>
  <c r="Y12" i="3"/>
  <c r="Y15" i="3" s="1"/>
  <c r="Y18" i="3" s="1"/>
  <c r="Y30" i="3" s="1"/>
  <c r="S12" i="2"/>
  <c r="S15" i="2" s="1"/>
  <c r="S4" i="2"/>
  <c r="S7" i="2" s="1"/>
  <c r="K67" i="5" l="1"/>
  <c r="F100" i="5"/>
  <c r="H39" i="5"/>
  <c r="K8" i="5" s="1"/>
  <c r="L69" i="5"/>
  <c r="K29" i="5"/>
  <c r="K49" i="5"/>
  <c r="H59" i="5"/>
  <c r="K9" i="5" s="1"/>
  <c r="F76" i="5"/>
  <c r="H76" i="5" s="1"/>
  <c r="H79" i="5" s="1"/>
  <c r="K10" i="5" s="1"/>
  <c r="K69" i="5"/>
  <c r="H100" i="5"/>
  <c r="K11" i="5" s="1"/>
  <c r="K110" i="5"/>
  <c r="F120" i="5"/>
  <c r="H115" i="5"/>
  <c r="H120" i="5" s="1"/>
  <c r="K12" i="5" s="1"/>
  <c r="E120" i="5"/>
  <c r="K107" i="5"/>
  <c r="L110" i="5" s="1"/>
  <c r="L29" i="5"/>
  <c r="F79" i="5" l="1"/>
  <c r="K15" i="5"/>
  <c r="K18" i="5" s="1"/>
  <c r="R10" i="5" s="1"/>
  <c r="R13" i="5" s="1"/>
</calcChain>
</file>

<file path=xl/sharedStrings.xml><?xml version="1.0" encoding="utf-8"?>
<sst xmlns="http://schemas.openxmlformats.org/spreadsheetml/2006/main" count="779" uniqueCount="337">
  <si>
    <t>Pro Forma</t>
  </si>
  <si>
    <t>Asset</t>
  </si>
  <si>
    <t>Property Description</t>
  </si>
  <si>
    <t>Date In Service</t>
  </si>
  <si>
    <t>Book Cost</t>
  </si>
  <si>
    <t>Book Prior Depreciation</t>
  </si>
  <si>
    <t>Book Current Depreciation</t>
  </si>
  <si>
    <t>Book End Depr</t>
  </si>
  <si>
    <t>Book Net Value</t>
  </si>
  <si>
    <t>Book Period</t>
  </si>
  <si>
    <t>Life</t>
  </si>
  <si>
    <t>Depr Exp.</t>
  </si>
  <si>
    <t>Group: 101.2 Structures</t>
  </si>
  <si>
    <t>1993-94 Plant Expansion</t>
  </si>
  <si>
    <t>Office Building</t>
  </si>
  <si>
    <t>Parking Lot</t>
  </si>
  <si>
    <t>Maintenance Bldg@canton Plant</t>
  </si>
  <si>
    <t>Plant Renovation</t>
  </si>
  <si>
    <t>Group 101.21 Structures General</t>
  </si>
  <si>
    <t>I-Beams for Bldg</t>
  </si>
  <si>
    <t>OFFICE PORCH</t>
  </si>
  <si>
    <t>HVAC</t>
  </si>
  <si>
    <t>Roof</t>
  </si>
  <si>
    <t>Group: 101.4 Transmission Lines</t>
  </si>
  <si>
    <t>Line</t>
  </si>
  <si>
    <t>Water Tank</t>
  </si>
  <si>
    <t>Linton Line</t>
  </si>
  <si>
    <t>Bush Line</t>
  </si>
  <si>
    <t>Lakeview Line</t>
  </si>
  <si>
    <t>Perry/Thomas Line</t>
  </si>
  <si>
    <t>Lines</t>
  </si>
  <si>
    <t>Paint Water Tank</t>
  </si>
  <si>
    <t>Bypass Line</t>
  </si>
  <si>
    <t>Bush/Wines Line</t>
  </si>
  <si>
    <t>Donaldson Shores Line</t>
  </si>
  <si>
    <t>US Hgwy 68 Line Relocated</t>
  </si>
  <si>
    <t>Siloam Project #2</t>
  </si>
  <si>
    <t>Paul Statler Line</t>
  </si>
  <si>
    <t>Airport/Lakes Line</t>
  </si>
  <si>
    <t>Eastland, Inc. Line</t>
  </si>
  <si>
    <t>Tripp Williams Line</t>
  </si>
  <si>
    <t>J. R. Freeman Line</t>
  </si>
  <si>
    <t>Woodruff Line</t>
  </si>
  <si>
    <t>Layton Lawrence Line</t>
  </si>
  <si>
    <t>Waterford Line</t>
  </si>
  <si>
    <t>Rivers End Qtrs Line</t>
  </si>
  <si>
    <t>Autumn Heights Line</t>
  </si>
  <si>
    <t>Roaring Springs Line</t>
  </si>
  <si>
    <t>Steve Oliver Line</t>
  </si>
  <si>
    <t>Jerry Mitchell Line</t>
  </si>
  <si>
    <t>Bennett/Shine Road Line</t>
  </si>
  <si>
    <t>Pleasure Ridge Unit #2</t>
  </si>
  <si>
    <t>Bob Bourque Line</t>
  </si>
  <si>
    <t>Whippooril Estates Line</t>
  </si>
  <si>
    <t>Calhoun/Forest Ridge Line</t>
  </si>
  <si>
    <t>Wadlington Line</t>
  </si>
  <si>
    <t>Norman Cotton Line</t>
  </si>
  <si>
    <t>Franklin/Deer Run Line</t>
  </si>
  <si>
    <t>Handcock Line</t>
  </si>
  <si>
    <t>U S 68 E Line relocated</t>
  </si>
  <si>
    <t>Mitchell Line</t>
  </si>
  <si>
    <t>Weaver Line</t>
  </si>
  <si>
    <t>Butterfly Hills Line</t>
  </si>
  <si>
    <t>Heaton Hills Line</t>
  </si>
  <si>
    <t>Goose Creek Line</t>
  </si>
  <si>
    <t>Corinth Church Line</t>
  </si>
  <si>
    <t>Clyde Hite Line</t>
  </si>
  <si>
    <t>Hardy Road Line</t>
  </si>
  <si>
    <t>Tinsley/Rocky Ridge Line</t>
  </si>
  <si>
    <t>Rocky Ridge</t>
  </si>
  <si>
    <t>Jeff Choate Line</t>
  </si>
  <si>
    <t>Mike Williams Line</t>
  </si>
  <si>
    <t>Mcatee Line</t>
  </si>
  <si>
    <t>Quinn Miracle Line</t>
  </si>
  <si>
    <t>Frankie Underhill Line</t>
  </si>
  <si>
    <t>McNichols Line</t>
  </si>
  <si>
    <t>Reddick Pond Road Line</t>
  </si>
  <si>
    <t>Hgwy 164 Shotgun Line</t>
  </si>
  <si>
    <t>Hgwy 164 Hill Top</t>
  </si>
  <si>
    <t>Countryside Restaurant</t>
  </si>
  <si>
    <t>Billy Allen Line</t>
  </si>
  <si>
    <t>R C Stallings Line</t>
  </si>
  <si>
    <t>John Williams Line</t>
  </si>
  <si>
    <t>David McGraw Line</t>
  </si>
  <si>
    <t>Sherwood Shores Line</t>
  </si>
  <si>
    <t>Stan Humphries Line</t>
  </si>
  <si>
    <t>Feeman Line</t>
  </si>
  <si>
    <t>Joey Ricks Line</t>
  </si>
  <si>
    <t>Hgwy 164 to Mallard Shores</t>
  </si>
  <si>
    <t>Floyd Sumner Line</t>
  </si>
  <si>
    <t>Engineer Fee - Old Projects</t>
  </si>
  <si>
    <t>Mallard Shore Subdivision</t>
  </si>
  <si>
    <t>Mallard Shores 6" Line extension</t>
  </si>
  <si>
    <t>Hgwy  164 line extension</t>
  </si>
  <si>
    <t>Woods Point Line</t>
  </si>
  <si>
    <t>New Hope Church Line</t>
  </si>
  <si>
    <t>Additional Line Hgwy 164</t>
  </si>
  <si>
    <t>Gentry/Gray Line</t>
  </si>
  <si>
    <t>Crossroad School Line</t>
  </si>
  <si>
    <t>South Road Line</t>
  </si>
  <si>
    <t>South Road Tank</t>
  </si>
  <si>
    <t>South Road Tank SCADA</t>
  </si>
  <si>
    <t>Cross Road School Line</t>
  </si>
  <si>
    <t>Dover Road - Howell</t>
  </si>
  <si>
    <t>Rockcastle Springs Road</t>
  </si>
  <si>
    <t>Highway 164  Line</t>
  </si>
  <si>
    <t>S. Montgomery Line</t>
  </si>
  <si>
    <t>Pete Light Tank</t>
  </si>
  <si>
    <t>Meter</t>
  </si>
  <si>
    <t>HWY 68 Line Extension</t>
  </si>
  <si>
    <t>Pete Light Hill Transmission Line</t>
  </si>
  <si>
    <t>Cerulean Water Tank</t>
  </si>
  <si>
    <t>Mcatee Road Line Ext</t>
  </si>
  <si>
    <t>Hwy 68/80 Relocation - Phase I 18</t>
  </si>
  <si>
    <t>1585 Bridge Replacement</t>
  </si>
  <si>
    <t>Stone Rd Line</t>
  </si>
  <si>
    <t>Total</t>
  </si>
  <si>
    <t>Adjustment</t>
  </si>
  <si>
    <t>Group: 101.5 Meters</t>
  </si>
  <si>
    <t>2011 Meter Sets</t>
  </si>
  <si>
    <t>2012 Meters - 50 set</t>
  </si>
  <si>
    <t>2014 Meters - 38 set</t>
  </si>
  <si>
    <t>2013 - 5/8" Meters - 47 Set</t>
  </si>
  <si>
    <t>2015 - 5/8" Meters - 59 Set</t>
  </si>
  <si>
    <t>1 1/2" Meter</t>
  </si>
  <si>
    <t>1" Meter</t>
  </si>
  <si>
    <t>2016 - 5/8" Meters - 44 set</t>
  </si>
  <si>
    <t>2016 - 2" Meters - 3 Set</t>
  </si>
  <si>
    <t>2017 - Meters</t>
  </si>
  <si>
    <t>2018 Meters</t>
  </si>
  <si>
    <t>2019 Meters</t>
  </si>
  <si>
    <t>2020 Meters</t>
  </si>
  <si>
    <t>Group: 101.6 Plant Equipment</t>
  </si>
  <si>
    <t>Total Adjustment</t>
  </si>
  <si>
    <t>Trencher</t>
  </si>
  <si>
    <t>Ranger 225 Kohler Welder</t>
  </si>
  <si>
    <t>Refrigerator</t>
  </si>
  <si>
    <t>Security System</t>
  </si>
  <si>
    <t>John Deere Tractor</t>
  </si>
  <si>
    <t>Punching Machine</t>
  </si>
  <si>
    <t>Caterpillar Backhoe</t>
  </si>
  <si>
    <t>Pipe Locator</t>
  </si>
  <si>
    <t>Trailer</t>
  </si>
  <si>
    <t>2018 Excavator</t>
  </si>
  <si>
    <t>Pressure Washer</t>
  </si>
  <si>
    <t>GeoSync Cloud Asset Mgmt Mobile</t>
  </si>
  <si>
    <t>Group: 101.7 Office Equipment</t>
  </si>
  <si>
    <t>ORION LAPTOP - METER READ</t>
  </si>
  <si>
    <t>Group: 101.8 Vehicles</t>
  </si>
  <si>
    <t>2016 Ford F-150</t>
  </si>
  <si>
    <t>2016 F-350</t>
  </si>
  <si>
    <t>2018 Ford F150 XL</t>
  </si>
  <si>
    <t>2018 SURE TRAC TRAILER</t>
  </si>
  <si>
    <t>2019 Ford F150</t>
  </si>
  <si>
    <t>2020 Chevy Silverado</t>
  </si>
  <si>
    <t>Mapsync</t>
  </si>
  <si>
    <t>2021 Wages</t>
  </si>
  <si>
    <t>2021 Hours</t>
  </si>
  <si>
    <t xml:space="preserve">Total </t>
  </si>
  <si>
    <t>Employee Name</t>
  </si>
  <si>
    <t>Position/Title</t>
  </si>
  <si>
    <t>Regular</t>
  </si>
  <si>
    <t>Overtime</t>
  </si>
  <si>
    <t>Doubletime</t>
  </si>
  <si>
    <t>Salaries</t>
  </si>
  <si>
    <t>FICA Tax</t>
  </si>
  <si>
    <t>Emilee Adams</t>
  </si>
  <si>
    <r>
      <rPr>
        <sz val="12"/>
        <color rgb="FFFF0000"/>
        <rFont val="Calibri"/>
        <family val="2"/>
        <scheme val="minor"/>
      </rPr>
      <t>Part-time</t>
    </r>
    <r>
      <rPr>
        <sz val="12"/>
        <color theme="1"/>
        <rFont val="Calibri"/>
        <family val="2"/>
        <scheme val="minor"/>
      </rPr>
      <t xml:space="preserve"> Office</t>
    </r>
  </si>
  <si>
    <t>Cliff Carneyhan</t>
  </si>
  <si>
    <t>Locks &amp; Unlock, GPS Comptech</t>
  </si>
  <si>
    <t>Total Decrease in Wages</t>
  </si>
  <si>
    <t>John Crawford</t>
  </si>
  <si>
    <t>Meter-Reader</t>
  </si>
  <si>
    <t>FICA Rate</t>
  </si>
  <si>
    <t>Barry Downs</t>
  </si>
  <si>
    <t>Plant Operator</t>
  </si>
  <si>
    <t>Sean Futrell</t>
  </si>
  <si>
    <t>Distribution</t>
  </si>
  <si>
    <t>Tax Decrease</t>
  </si>
  <si>
    <t>Thomas Grace</t>
  </si>
  <si>
    <r>
      <rPr>
        <sz val="12"/>
        <color rgb="FFFF0000"/>
        <rFont val="Calibri"/>
        <family val="2"/>
        <scheme val="minor"/>
      </rPr>
      <t>Part-time</t>
    </r>
    <r>
      <rPr>
        <sz val="12"/>
        <color theme="1"/>
        <rFont val="Calibri"/>
        <family val="2"/>
        <scheme val="minor"/>
      </rPr>
      <t xml:space="preserve"> (Plant Operator Fill In)</t>
    </r>
  </si>
  <si>
    <t>John Herring</t>
  </si>
  <si>
    <t>General Manager</t>
  </si>
  <si>
    <t>Christopher Jones</t>
  </si>
  <si>
    <t>Training for Plant Operator</t>
  </si>
  <si>
    <t>Pension Adjustment</t>
  </si>
  <si>
    <t>Jason Lawrence</t>
  </si>
  <si>
    <t>Devin Litchfield</t>
  </si>
  <si>
    <t>Change in Salaries</t>
  </si>
  <si>
    <t>Martin Martinez</t>
  </si>
  <si>
    <t>CERS Rate</t>
  </si>
  <si>
    <t>Jeffery Mohon</t>
  </si>
  <si>
    <t>Brandon Schafer</t>
  </si>
  <si>
    <t>Distribution (Took over as Dist. Manager 8/1/21)</t>
  </si>
  <si>
    <t>Steve Skinner</t>
  </si>
  <si>
    <t>Teresa Smith</t>
  </si>
  <si>
    <t>Billing Clerk</t>
  </si>
  <si>
    <t>Peggy Snyder</t>
  </si>
  <si>
    <t>Office - Payments, Phone, Etc.</t>
  </si>
  <si>
    <t>Penny Wright</t>
  </si>
  <si>
    <t>Office Manager</t>
  </si>
  <si>
    <t>Douglas Colson</t>
  </si>
  <si>
    <t>ProForma Salaries</t>
  </si>
  <si>
    <t>Less: Test Year Wages</t>
  </si>
  <si>
    <t>* Does not include Admin Fee</t>
  </si>
  <si>
    <t>Current</t>
  </si>
  <si>
    <t>Tier</t>
  </si>
  <si>
    <t>Total Premium</t>
  </si>
  <si>
    <t>Current Invoice</t>
  </si>
  <si>
    <t>ProForma</t>
  </si>
  <si>
    <t>Amount</t>
  </si>
  <si>
    <t>Rate</t>
  </si>
  <si>
    <t>Contribution</t>
  </si>
  <si>
    <t>William Carneyhan</t>
  </si>
  <si>
    <t>Dental Care Plus Opt 4</t>
  </si>
  <si>
    <t>FAM</t>
  </si>
  <si>
    <t>Health Single</t>
  </si>
  <si>
    <t>ESP</t>
  </si>
  <si>
    <t>Health+</t>
  </si>
  <si>
    <t>Anthem LTD</t>
  </si>
  <si>
    <t>Base Plan</t>
  </si>
  <si>
    <t>EMP</t>
  </si>
  <si>
    <t>Anthem Life ADD</t>
  </si>
  <si>
    <t>AD&amp;D Rate</t>
  </si>
  <si>
    <t>ECH</t>
  </si>
  <si>
    <t>Dental</t>
  </si>
  <si>
    <t>Life Rate</t>
  </si>
  <si>
    <t>Vision</t>
  </si>
  <si>
    <t>Anthem STD</t>
  </si>
  <si>
    <t>Male</t>
  </si>
  <si>
    <t>HRA w/Copay RXT7</t>
  </si>
  <si>
    <t>Allowable Monthly Premium</t>
  </si>
  <si>
    <t>Times: 12</t>
  </si>
  <si>
    <t>Female</t>
  </si>
  <si>
    <t>ProForma Annual Premium</t>
  </si>
  <si>
    <t>Less: Test Year</t>
  </si>
  <si>
    <t>(KACO)</t>
  </si>
  <si>
    <t>Health Insurance Adj.</t>
  </si>
  <si>
    <t>PPO 2 RXT1</t>
  </si>
  <si>
    <t>Voluntary Anthem Vision</t>
  </si>
  <si>
    <t xml:space="preserve">Profroma </t>
  </si>
  <si>
    <t>Annual Amount</t>
  </si>
  <si>
    <t>Proforma Annual Medicare Supplement</t>
  </si>
  <si>
    <t>Monthly Total</t>
  </si>
  <si>
    <t>Allowable Annual Medicare Amount</t>
  </si>
  <si>
    <t>Pro Forma Expense</t>
  </si>
  <si>
    <t>Medicare Adjustment</t>
  </si>
  <si>
    <t>Total Health Benefits Adjustment</t>
  </si>
  <si>
    <t>Eileen  Martinez Medicare Supplement</t>
  </si>
  <si>
    <t>Quarterly</t>
  </si>
  <si>
    <t>Martin Martinez Medicare Supplement</t>
  </si>
  <si>
    <t>Prescriptio Drug Plan</t>
  </si>
  <si>
    <t>Monthly</t>
  </si>
  <si>
    <t>Pro Forma Annual Total</t>
  </si>
  <si>
    <t>Paid During the Test Year Per GL</t>
  </si>
  <si>
    <t>United World -Eileen Martinez (January)</t>
  </si>
  <si>
    <t>United World - Martin Martinez (January)</t>
  </si>
  <si>
    <t>Wellcare (January)</t>
  </si>
  <si>
    <t>Wellcare (February)</t>
  </si>
  <si>
    <t>Emmett Henderson</t>
  </si>
  <si>
    <t>Wellcare (March)</t>
  </si>
  <si>
    <t>Wellcare (April)</t>
  </si>
  <si>
    <t>United World -Eileen Martinez (April)</t>
  </si>
  <si>
    <t>United World - Martin Martinez (April)</t>
  </si>
  <si>
    <t>Wellcare (April 15)</t>
  </si>
  <si>
    <t>Cigna RX - Eilleen Martinez (April)</t>
  </si>
  <si>
    <t>Cigna RX - Eilleen Martinez (June)</t>
  </si>
  <si>
    <t>Wellcare (June)</t>
  </si>
  <si>
    <t>Cigna RX - Eilleen Martinez (July)</t>
  </si>
  <si>
    <t>Wellcare (July)</t>
  </si>
  <si>
    <t>United World - Eilleen Martinez (July)</t>
  </si>
  <si>
    <t>United World - Martin Martinez (July)</t>
  </si>
  <si>
    <t>Cigna RX - Eilleen Martinez (August)</t>
  </si>
  <si>
    <t>Wellcare (August)</t>
  </si>
  <si>
    <t>Cigna RX - Eilleen Martinez (October)</t>
  </si>
  <si>
    <t>Wellcare (October)</t>
  </si>
  <si>
    <t>United World - Eilleen Martinez (October)</t>
  </si>
  <si>
    <t>United World - Martin Martinez (October)</t>
  </si>
  <si>
    <t>Wellcare (November)</t>
  </si>
  <si>
    <t>Wellcare (December)</t>
  </si>
  <si>
    <t>Cigna RX - Eilleen Martinez (December)</t>
  </si>
  <si>
    <t xml:space="preserve"> Jeffery Mohon</t>
  </si>
  <si>
    <t xml:space="preserve"> Penny Wright</t>
  </si>
  <si>
    <t>Commissioners</t>
  </si>
  <si>
    <t>Scott Bridges</t>
  </si>
  <si>
    <t>Mike Hyde</t>
  </si>
  <si>
    <t>Bill Lawrence</t>
  </si>
  <si>
    <t>CERS Contributions - Test Year</t>
  </si>
  <si>
    <t>Salary</t>
  </si>
  <si>
    <t>EECON</t>
  </si>
  <si>
    <t>HICON</t>
  </si>
  <si>
    <t>ERCON</t>
  </si>
  <si>
    <t>Audit - "The District Recognized"</t>
  </si>
  <si>
    <t>2019 december</t>
  </si>
  <si>
    <t>CERS</t>
  </si>
  <si>
    <t>Pg. 27</t>
  </si>
  <si>
    <t>OPEB</t>
  </si>
  <si>
    <t>Pg. 31</t>
  </si>
  <si>
    <t>CURRENT BILLING ANALYSIS - 2020 USAGE &amp; EXISTING RATES.</t>
  </si>
  <si>
    <t>BARKLEY LAKE WATER DISTRICT</t>
  </si>
  <si>
    <t>SUMMARY</t>
  </si>
  <si>
    <t xml:space="preserve">Gallons  </t>
  </si>
  <si>
    <t>No. of Bills</t>
  </si>
  <si>
    <t>Sold</t>
  </si>
  <si>
    <t>Revenue</t>
  </si>
  <si>
    <t>5/8" X 3/4" Meters</t>
  </si>
  <si>
    <t>Billing Analysis Adjustment</t>
  </si>
  <si>
    <t>1" Meters</t>
  </si>
  <si>
    <t>1 1/2" Meters</t>
  </si>
  <si>
    <t>Pro Forma Retail Sales Revenue</t>
  </si>
  <si>
    <t>2" Meter</t>
  </si>
  <si>
    <t>Annual Report Sales Revenue</t>
  </si>
  <si>
    <t>4" Meter</t>
  </si>
  <si>
    <t>Wholesale</t>
  </si>
  <si>
    <t>Totals</t>
  </si>
  <si>
    <t>Less: Billing Adjustments</t>
  </si>
  <si>
    <t>5/8" X 3/4" METERS</t>
  </si>
  <si>
    <t xml:space="preserve">First  </t>
  </si>
  <si>
    <t>Next</t>
  </si>
  <si>
    <t>Over</t>
  </si>
  <si>
    <t>Usage</t>
  </si>
  <si>
    <t>Bills</t>
  </si>
  <si>
    <t>Gallons</t>
  </si>
  <si>
    <t>First</t>
  </si>
  <si>
    <t>5/8" X 3/4" REVENUE BY RATE INCREMENT</t>
  </si>
  <si>
    <t>Rates</t>
  </si>
  <si>
    <t>1" METERS</t>
  </si>
  <si>
    <t>1" REVENUE BY RATE INCREMENT</t>
  </si>
  <si>
    <t>Firxt</t>
  </si>
  <si>
    <t>1 1/2" METERS</t>
  </si>
  <si>
    <t>1 1/2" REVENUE BY RATE INCREMENT</t>
  </si>
  <si>
    <t>2" METERS</t>
  </si>
  <si>
    <t>2" REVENUE BY RATE INCREMENT</t>
  </si>
  <si>
    <t>4" METERS</t>
  </si>
  <si>
    <t>4" REVENUE BY RATE INCREMENT</t>
  </si>
  <si>
    <t>First 25,000</t>
  </si>
  <si>
    <t>Over 25,000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</si>
</sst>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0" borderId="2" xfId="0" applyNumberFormat="1" applyBorder="1"/>
    <xf numFmtId="164" fontId="0" fillId="0" borderId="3" xfId="2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9" fontId="0" fillId="0" borderId="0" xfId="3" applyFont="1" applyBorder="1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43" fontId="0" fillId="0" borderId="0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9" fontId="0" fillId="0" borderId="0" xfId="0" applyNumberFormat="1"/>
    <xf numFmtId="44" fontId="0" fillId="0" borderId="0" xfId="2" applyFont="1" applyBorder="1" applyAlignment="1">
      <alignment horizontal="center"/>
    </xf>
    <xf numFmtId="0" fontId="3" fillId="0" borderId="0" xfId="0" applyFont="1"/>
    <xf numFmtId="44" fontId="0" fillId="0" borderId="3" xfId="0" applyNumberForma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2" applyFont="1"/>
    <xf numFmtId="43" fontId="0" fillId="0" borderId="0" xfId="1" applyFont="1" applyBorder="1"/>
    <xf numFmtId="43" fontId="0" fillId="0" borderId="2" xfId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44" fontId="0" fillId="0" borderId="3" xfId="2" applyFont="1" applyBorder="1"/>
    <xf numFmtId="43" fontId="0" fillId="0" borderId="3" xfId="0" applyNumberFormat="1" applyBorder="1"/>
    <xf numFmtId="44" fontId="0" fillId="0" borderId="0" xfId="2" applyFont="1" applyBorder="1"/>
    <xf numFmtId="0" fontId="0" fillId="0" borderId="3" xfId="0" applyBorder="1"/>
    <xf numFmtId="43" fontId="0" fillId="0" borderId="3" xfId="1" applyFont="1" applyBorder="1"/>
    <xf numFmtId="165" fontId="0" fillId="0" borderId="2" xfId="0" applyNumberFormat="1" applyBorder="1"/>
    <xf numFmtId="0" fontId="0" fillId="0" borderId="0" xfId="0" applyBorder="1"/>
    <xf numFmtId="9" fontId="0" fillId="0" borderId="0" xfId="0" applyNumberFormat="1" applyBorder="1"/>
    <xf numFmtId="43" fontId="0" fillId="0" borderId="0" xfId="0" applyNumberFormat="1" applyBorder="1"/>
    <xf numFmtId="16" fontId="0" fillId="0" borderId="0" xfId="0" applyNumberFormat="1"/>
    <xf numFmtId="43" fontId="1" fillId="0" borderId="0" xfId="1" applyFont="1" applyBorder="1" applyAlignment="1">
      <alignment horizontal="center"/>
    </xf>
    <xf numFmtId="43" fontId="1" fillId="0" borderId="0" xfId="1" applyFont="1"/>
    <xf numFmtId="17" fontId="0" fillId="0" borderId="0" xfId="0" applyNumberForma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0" xfId="0" applyNumberFormat="1"/>
    <xf numFmtId="0" fontId="0" fillId="0" borderId="1" xfId="0" applyBorder="1"/>
    <xf numFmtId="164" fontId="0" fillId="0" borderId="0" xfId="2" applyNumberFormat="1" applyFont="1"/>
    <xf numFmtId="164" fontId="0" fillId="0" borderId="0" xfId="0" applyNumberFormat="1"/>
    <xf numFmtId="0" fontId="7" fillId="0" borderId="0" xfId="0" applyFont="1"/>
    <xf numFmtId="164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65" fontId="0" fillId="0" borderId="5" xfId="1" applyNumberFormat="1" applyFont="1" applyBorder="1"/>
    <xf numFmtId="165" fontId="0" fillId="0" borderId="5" xfId="0" applyNumberFormat="1" applyBorder="1"/>
    <xf numFmtId="3" fontId="0" fillId="0" borderId="5" xfId="0" applyNumberFormat="1" applyBorder="1"/>
    <xf numFmtId="44" fontId="0" fillId="0" borderId="5" xfId="2" applyFont="1" applyBorder="1"/>
    <xf numFmtId="43" fontId="0" fillId="0" borderId="5" xfId="1" applyFont="1" applyBorder="1"/>
    <xf numFmtId="164" fontId="0" fillId="0" borderId="5" xfId="2" applyNumberFormat="1" applyFont="1" applyBorder="1"/>
    <xf numFmtId="165" fontId="0" fillId="0" borderId="5" xfId="1" applyNumberFormat="1" applyFont="1" applyBorder="1" applyAlignment="1">
      <alignment horizontal="center"/>
    </xf>
    <xf numFmtId="44" fontId="0" fillId="0" borderId="5" xfId="0" applyNumberFormat="1" applyBorder="1"/>
    <xf numFmtId="43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8" xfId="0" applyNumberFormat="1" applyBorder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CABE-10D4-439B-9810-3FCFE627080E}">
  <dimension ref="B1:T136"/>
  <sheetViews>
    <sheetView workbookViewId="0">
      <selection activeCell="O116" sqref="O116"/>
    </sheetView>
  </sheetViews>
  <sheetFormatPr defaultRowHeight="15.75" x14ac:dyDescent="0.25"/>
  <cols>
    <col min="4" max="4" width="13.75" bestFit="1" customWidth="1"/>
    <col min="5" max="5" width="10.25" bestFit="1" customWidth="1"/>
    <col min="6" max="6" width="14.75" bestFit="1" customWidth="1"/>
    <col min="7" max="7" width="12.625" bestFit="1" customWidth="1"/>
    <col min="8" max="8" width="17.75" customWidth="1"/>
    <col min="9" max="9" width="12.75" bestFit="1" customWidth="1"/>
    <col min="10" max="10" width="14.75" bestFit="1" customWidth="1"/>
    <col min="11" max="11" width="13.75" bestFit="1" customWidth="1"/>
    <col min="12" max="12" width="12.125" bestFit="1" customWidth="1"/>
    <col min="16" max="16" width="23.375" bestFit="1" customWidth="1"/>
    <col min="18" max="18" width="13.75" bestFit="1" customWidth="1"/>
  </cols>
  <sheetData>
    <row r="1" spans="5:20" x14ac:dyDescent="0.25">
      <c r="E1" s="26" t="s">
        <v>298</v>
      </c>
    </row>
    <row r="2" spans="5:20" x14ac:dyDescent="0.25">
      <c r="E2" s="26" t="s">
        <v>299</v>
      </c>
    </row>
    <row r="4" spans="5:20" x14ac:dyDescent="0.25">
      <c r="E4" s="3" t="s">
        <v>300</v>
      </c>
    </row>
    <row r="6" spans="5:20" x14ac:dyDescent="0.25">
      <c r="J6" s="10" t="s">
        <v>301</v>
      </c>
    </row>
    <row r="7" spans="5:20" ht="16.5" thickBot="1" x14ac:dyDescent="0.3">
      <c r="E7" s="53"/>
      <c r="F7" s="53"/>
      <c r="G7" s="53"/>
      <c r="H7" s="53"/>
      <c r="I7" s="1" t="s">
        <v>302</v>
      </c>
      <c r="J7" s="1" t="s">
        <v>303</v>
      </c>
      <c r="K7" s="1" t="s">
        <v>304</v>
      </c>
    </row>
    <row r="8" spans="5:20" x14ac:dyDescent="0.25">
      <c r="E8" t="s">
        <v>305</v>
      </c>
      <c r="I8" s="50">
        <f>E29</f>
        <v>64622</v>
      </c>
      <c r="J8" s="52">
        <f>F29</f>
        <v>204352100</v>
      </c>
      <c r="K8" s="54">
        <f>H39</f>
        <v>2226543.9930000002</v>
      </c>
      <c r="P8" s="19" t="s">
        <v>306</v>
      </c>
      <c r="T8" s="6"/>
    </row>
    <row r="9" spans="5:20" x14ac:dyDescent="0.25">
      <c r="E9" t="s">
        <v>307</v>
      </c>
      <c r="I9" s="50">
        <f>E49</f>
        <v>1076</v>
      </c>
      <c r="J9" s="52">
        <f>F49</f>
        <v>13690000</v>
      </c>
      <c r="K9" s="50">
        <f>H59</f>
        <v>114482.372</v>
      </c>
    </row>
    <row r="10" spans="5:20" x14ac:dyDescent="0.25">
      <c r="E10" t="s">
        <v>308</v>
      </c>
      <c r="I10" s="50">
        <f>E69</f>
        <v>96</v>
      </c>
      <c r="J10" s="52">
        <f>F69</f>
        <v>6850600</v>
      </c>
      <c r="K10" s="50">
        <f>H79</f>
        <v>47314.930999999997</v>
      </c>
      <c r="P10" t="s">
        <v>309</v>
      </c>
      <c r="R10" s="55">
        <f>K18</f>
        <v>2603677.0869999998</v>
      </c>
    </row>
    <row r="11" spans="5:20" x14ac:dyDescent="0.25">
      <c r="E11" t="s">
        <v>310</v>
      </c>
      <c r="I11" s="50">
        <f>E90</f>
        <v>225</v>
      </c>
      <c r="J11" s="52">
        <f>F90</f>
        <v>7598500</v>
      </c>
      <c r="K11" s="50">
        <f>H100</f>
        <v>64770.510999999999</v>
      </c>
      <c r="P11" t="s">
        <v>311</v>
      </c>
      <c r="R11" s="36">
        <v>2460342</v>
      </c>
    </row>
    <row r="12" spans="5:20" x14ac:dyDescent="0.25">
      <c r="E12" t="s">
        <v>312</v>
      </c>
      <c r="I12" s="35">
        <f>E110</f>
        <v>12</v>
      </c>
      <c r="J12" s="52">
        <f>F110</f>
        <v>7281700</v>
      </c>
      <c r="K12" s="35">
        <f>H120</f>
        <v>43013.665000000001</v>
      </c>
    </row>
    <row r="13" spans="5:20" x14ac:dyDescent="0.25">
      <c r="E13" t="s">
        <v>313</v>
      </c>
      <c r="I13" s="36">
        <f>E133</f>
        <v>96</v>
      </c>
      <c r="J13" s="42">
        <f>D133</f>
        <v>64962900</v>
      </c>
      <c r="K13" s="36">
        <f>H136</f>
        <v>159159.10500000001</v>
      </c>
      <c r="P13" t="s">
        <v>117</v>
      </c>
      <c r="R13" s="55">
        <f>R10-R11</f>
        <v>143335.08699999982</v>
      </c>
    </row>
    <row r="14" spans="5:20" x14ac:dyDescent="0.25">
      <c r="I14" s="50"/>
      <c r="J14" s="56"/>
      <c r="K14" s="56"/>
      <c r="R14" s="54"/>
    </row>
    <row r="15" spans="5:20" x14ac:dyDescent="0.25">
      <c r="E15" t="s">
        <v>314</v>
      </c>
      <c r="I15" s="50">
        <f>SUM(I8:I12)</f>
        <v>66031</v>
      </c>
      <c r="J15" s="50">
        <f>SUM(J8:J13)</f>
        <v>304735800</v>
      </c>
      <c r="K15" s="54">
        <f>SUM(K8:K13)</f>
        <v>2655284.577</v>
      </c>
      <c r="P15" s="52"/>
    </row>
    <row r="17" spans="2:12" x14ac:dyDescent="0.25">
      <c r="H17" t="s">
        <v>315</v>
      </c>
      <c r="K17" s="36">
        <v>-51607.49</v>
      </c>
    </row>
    <row r="18" spans="2:12" ht="16.5" thickBot="1" x14ac:dyDescent="0.3">
      <c r="H18" t="s">
        <v>309</v>
      </c>
      <c r="K18" s="57">
        <f>SUM(K15:K17)</f>
        <v>2603677.0869999998</v>
      </c>
    </row>
    <row r="19" spans="2:12" ht="16.5" thickTop="1" x14ac:dyDescent="0.25"/>
    <row r="20" spans="2:12" x14ac:dyDescent="0.25">
      <c r="B20" s="3" t="s">
        <v>316</v>
      </c>
    </row>
    <row r="21" spans="2:12" x14ac:dyDescent="0.25">
      <c r="B21" s="3"/>
    </row>
    <row r="22" spans="2:12" x14ac:dyDescent="0.25">
      <c r="C22" s="58"/>
      <c r="D22" s="58"/>
      <c r="E22" s="58"/>
      <c r="F22" s="58"/>
      <c r="G22" s="59" t="s">
        <v>317</v>
      </c>
      <c r="H22" s="59" t="s">
        <v>318</v>
      </c>
      <c r="I22" s="59" t="s">
        <v>318</v>
      </c>
      <c r="J22" s="59" t="s">
        <v>319</v>
      </c>
      <c r="K22" s="58"/>
    </row>
    <row r="23" spans="2:12" x14ac:dyDescent="0.25">
      <c r="C23" s="58"/>
      <c r="D23" s="59" t="s">
        <v>320</v>
      </c>
      <c r="E23" s="59" t="s">
        <v>321</v>
      </c>
      <c r="F23" s="59" t="s">
        <v>322</v>
      </c>
      <c r="G23" s="60">
        <v>2000</v>
      </c>
      <c r="H23" s="60">
        <v>98000</v>
      </c>
      <c r="I23" s="60">
        <v>400000</v>
      </c>
      <c r="J23" s="60">
        <v>500000</v>
      </c>
      <c r="K23" s="59" t="s">
        <v>116</v>
      </c>
    </row>
    <row r="24" spans="2:12" x14ac:dyDescent="0.25">
      <c r="C24" s="58" t="s">
        <v>323</v>
      </c>
      <c r="D24" s="61">
        <v>2000</v>
      </c>
      <c r="E24" s="61">
        <v>30202</v>
      </c>
      <c r="F24" s="61">
        <v>22777400</v>
      </c>
      <c r="G24" s="61">
        <f>F24</f>
        <v>22777400</v>
      </c>
      <c r="H24" s="61"/>
      <c r="I24" s="61"/>
      <c r="J24" s="61"/>
      <c r="K24" s="62">
        <f>SUM(G24:J24)</f>
        <v>22777400</v>
      </c>
    </row>
    <row r="25" spans="2:12" x14ac:dyDescent="0.25">
      <c r="C25" s="58" t="s">
        <v>318</v>
      </c>
      <c r="D25" s="61">
        <v>98000</v>
      </c>
      <c r="E25" s="61">
        <v>34389</v>
      </c>
      <c r="F25" s="61">
        <v>174108400</v>
      </c>
      <c r="G25" s="61">
        <f>E25*G23</f>
        <v>68778000</v>
      </c>
      <c r="H25" s="61">
        <f>F25-G25</f>
        <v>105330400</v>
      </c>
      <c r="I25" s="61"/>
      <c r="J25" s="61"/>
      <c r="K25" s="62">
        <f t="shared" ref="K25:K27" si="0">SUM(G25:J25)</f>
        <v>174108400</v>
      </c>
    </row>
    <row r="26" spans="2:12" x14ac:dyDescent="0.25">
      <c r="C26" s="58" t="s">
        <v>318</v>
      </c>
      <c r="D26" s="61">
        <v>400000</v>
      </c>
      <c r="E26" s="61">
        <v>28</v>
      </c>
      <c r="F26" s="61">
        <v>4466900</v>
      </c>
      <c r="G26" s="61">
        <f>E26*G23</f>
        <v>56000</v>
      </c>
      <c r="H26" s="61">
        <f>E26*H23</f>
        <v>2744000</v>
      </c>
      <c r="I26" s="61">
        <f>F26-G26-H26</f>
        <v>1666900</v>
      </c>
      <c r="J26" s="61"/>
      <c r="K26" s="62">
        <f t="shared" si="0"/>
        <v>4466900</v>
      </c>
    </row>
    <row r="27" spans="2:12" x14ac:dyDescent="0.25">
      <c r="C27" s="58" t="s">
        <v>319</v>
      </c>
      <c r="D27" s="61">
        <v>500000</v>
      </c>
      <c r="E27" s="61">
        <v>3</v>
      </c>
      <c r="F27" s="61">
        <v>2999400</v>
      </c>
      <c r="G27" s="61">
        <f>E27*G23</f>
        <v>6000</v>
      </c>
      <c r="H27" s="61">
        <f>E27*H23</f>
        <v>294000</v>
      </c>
      <c r="I27" s="61">
        <f>E27*I23</f>
        <v>1200000</v>
      </c>
      <c r="J27" s="61">
        <f>F27-G27-H27-I27</f>
        <v>1499400</v>
      </c>
      <c r="K27" s="62">
        <f t="shared" si="0"/>
        <v>2999400</v>
      </c>
    </row>
    <row r="28" spans="2:12" x14ac:dyDescent="0.25">
      <c r="C28" s="58"/>
      <c r="D28" s="58"/>
      <c r="E28" s="58"/>
      <c r="F28" s="58"/>
      <c r="G28" s="58"/>
      <c r="H28" s="58"/>
      <c r="I28" s="58"/>
      <c r="J28" s="58"/>
      <c r="K28" s="58"/>
    </row>
    <row r="29" spans="2:12" x14ac:dyDescent="0.25">
      <c r="C29" s="58" t="s">
        <v>314</v>
      </c>
      <c r="D29" s="58"/>
      <c r="E29" s="61">
        <f t="shared" ref="E29:J29" si="1">SUM(E24:E27)</f>
        <v>64622</v>
      </c>
      <c r="F29" s="61">
        <f t="shared" si="1"/>
        <v>204352100</v>
      </c>
      <c r="G29" s="61">
        <f t="shared" si="1"/>
        <v>91617400</v>
      </c>
      <c r="H29" s="61">
        <f t="shared" si="1"/>
        <v>108368400</v>
      </c>
      <c r="I29" s="61">
        <f t="shared" si="1"/>
        <v>2866900</v>
      </c>
      <c r="J29" s="61">
        <f t="shared" si="1"/>
        <v>1499400</v>
      </c>
      <c r="K29" s="61">
        <f>SUM(K24:K27)</f>
        <v>204352100</v>
      </c>
      <c r="L29" s="52">
        <f>SUM(K24:K27)</f>
        <v>204352100</v>
      </c>
    </row>
    <row r="31" spans="2:12" x14ac:dyDescent="0.25">
      <c r="B31" s="3" t="s">
        <v>324</v>
      </c>
    </row>
    <row r="33" spans="2:11" x14ac:dyDescent="0.25">
      <c r="C33" s="58"/>
      <c r="D33" s="59" t="s">
        <v>320</v>
      </c>
      <c r="E33" s="59" t="s">
        <v>321</v>
      </c>
      <c r="F33" s="59" t="s">
        <v>322</v>
      </c>
      <c r="G33" s="59" t="s">
        <v>325</v>
      </c>
      <c r="H33" s="59" t="s">
        <v>304</v>
      </c>
    </row>
    <row r="34" spans="2:11" x14ac:dyDescent="0.25">
      <c r="C34" s="58" t="s">
        <v>323</v>
      </c>
      <c r="D34" s="63">
        <v>2000</v>
      </c>
      <c r="E34" s="61">
        <f>E29</f>
        <v>64622</v>
      </c>
      <c r="F34" s="62">
        <f>G29</f>
        <v>91617400</v>
      </c>
      <c r="G34" s="64">
        <v>21.78</v>
      </c>
      <c r="H34" s="64">
        <f>E34*G34</f>
        <v>1407467.1600000001</v>
      </c>
    </row>
    <row r="35" spans="2:11" x14ac:dyDescent="0.25">
      <c r="C35" s="58" t="s">
        <v>318</v>
      </c>
      <c r="D35" s="63">
        <v>98000</v>
      </c>
      <c r="E35" s="61"/>
      <c r="F35" s="62">
        <f>H29</f>
        <v>108368400</v>
      </c>
      <c r="G35" s="65">
        <v>7.34</v>
      </c>
      <c r="H35" s="65">
        <f>(F35*G35)/1000</f>
        <v>795424.05599999998</v>
      </c>
    </row>
    <row r="36" spans="2:11" x14ac:dyDescent="0.25">
      <c r="C36" s="58" t="s">
        <v>318</v>
      </c>
      <c r="D36" s="63">
        <v>400000</v>
      </c>
      <c r="E36" s="61"/>
      <c r="F36" s="62">
        <f>I29</f>
        <v>2866900</v>
      </c>
      <c r="G36" s="65">
        <v>5.97</v>
      </c>
      <c r="H36" s="65">
        <f>(F36*G36)/1000</f>
        <v>17115.393</v>
      </c>
    </row>
    <row r="37" spans="2:11" x14ac:dyDescent="0.25">
      <c r="C37" s="58" t="s">
        <v>318</v>
      </c>
      <c r="D37" s="63">
        <v>500000</v>
      </c>
      <c r="E37" s="61"/>
      <c r="F37" s="62">
        <f>J29</f>
        <v>1499400</v>
      </c>
      <c r="G37" s="65">
        <v>4.3600000000000003</v>
      </c>
      <c r="H37" s="65">
        <f>(F37*G37)/1000</f>
        <v>6537.3840000000009</v>
      </c>
    </row>
    <row r="38" spans="2:11" x14ac:dyDescent="0.25">
      <c r="C38" s="58"/>
      <c r="D38" s="58"/>
      <c r="E38" s="58"/>
      <c r="F38" s="58"/>
      <c r="G38" s="58"/>
      <c r="H38" s="58"/>
    </row>
    <row r="39" spans="2:11" x14ac:dyDescent="0.25">
      <c r="C39" s="58" t="s">
        <v>314</v>
      </c>
      <c r="D39" s="58"/>
      <c r="E39" s="61">
        <f>SUM(E34:E37)</f>
        <v>64622</v>
      </c>
      <c r="F39" s="61">
        <f>SUM(F34:F37)</f>
        <v>204352100</v>
      </c>
      <c r="G39" s="58"/>
      <c r="H39" s="66">
        <f>SUM(H34:H37)</f>
        <v>2226543.9930000002</v>
      </c>
    </row>
    <row r="41" spans="2:11" x14ac:dyDescent="0.25">
      <c r="B41" s="3" t="s">
        <v>326</v>
      </c>
    </row>
    <row r="42" spans="2:11" x14ac:dyDescent="0.25">
      <c r="C42" s="58"/>
      <c r="D42" s="58"/>
      <c r="E42" s="58"/>
      <c r="F42" s="58"/>
      <c r="G42" s="59" t="s">
        <v>323</v>
      </c>
      <c r="H42" s="59" t="s">
        <v>318</v>
      </c>
      <c r="I42" s="59" t="s">
        <v>318</v>
      </c>
      <c r="J42" s="59" t="s">
        <v>319</v>
      </c>
      <c r="K42" s="58"/>
    </row>
    <row r="43" spans="2:11" x14ac:dyDescent="0.25">
      <c r="C43" s="58"/>
      <c r="D43" s="59" t="s">
        <v>320</v>
      </c>
      <c r="E43" s="59" t="s">
        <v>321</v>
      </c>
      <c r="F43" s="59" t="s">
        <v>322</v>
      </c>
      <c r="G43" s="67">
        <v>4000</v>
      </c>
      <c r="H43" s="67">
        <v>96000</v>
      </c>
      <c r="I43" s="67">
        <v>400000</v>
      </c>
      <c r="J43" s="67">
        <v>500000</v>
      </c>
      <c r="K43" s="59" t="s">
        <v>116</v>
      </c>
    </row>
    <row r="44" spans="2:11" x14ac:dyDescent="0.25">
      <c r="C44" s="58" t="s">
        <v>323</v>
      </c>
      <c r="D44" s="63">
        <v>4000</v>
      </c>
      <c r="E44" s="58">
        <v>504</v>
      </c>
      <c r="F44" s="61">
        <v>758800</v>
      </c>
      <c r="G44" s="62">
        <f>F44</f>
        <v>758800</v>
      </c>
      <c r="H44" s="58"/>
      <c r="I44" s="58"/>
      <c r="J44" s="58"/>
      <c r="K44" s="62">
        <f>SUM(G44:J44)</f>
        <v>758800</v>
      </c>
    </row>
    <row r="45" spans="2:11" x14ac:dyDescent="0.25">
      <c r="C45" s="58" t="s">
        <v>318</v>
      </c>
      <c r="D45" s="63">
        <v>96000</v>
      </c>
      <c r="E45" s="58">
        <v>548</v>
      </c>
      <c r="F45" s="61">
        <v>8444400</v>
      </c>
      <c r="G45" s="62">
        <f>E45*G43</f>
        <v>2192000</v>
      </c>
      <c r="H45" s="62">
        <f>F45-G45</f>
        <v>6252400</v>
      </c>
      <c r="I45" s="58"/>
      <c r="J45" s="58"/>
      <c r="K45" s="62">
        <f t="shared" ref="K45:K49" si="2">SUM(G45:J45)</f>
        <v>8444400</v>
      </c>
    </row>
    <row r="46" spans="2:11" x14ac:dyDescent="0.25">
      <c r="C46" s="58" t="s">
        <v>318</v>
      </c>
      <c r="D46" s="63">
        <v>400000</v>
      </c>
      <c r="E46" s="58">
        <v>24</v>
      </c>
      <c r="F46" s="61">
        <v>4486800</v>
      </c>
      <c r="G46" s="62">
        <f>E46*G43</f>
        <v>96000</v>
      </c>
      <c r="H46" s="62">
        <f>E46*H43</f>
        <v>2304000</v>
      </c>
      <c r="I46" s="62">
        <f>F46-G46-H46</f>
        <v>2086800</v>
      </c>
      <c r="J46" s="58"/>
      <c r="K46" s="62">
        <f t="shared" si="2"/>
        <v>4486800</v>
      </c>
    </row>
    <row r="47" spans="2:11" x14ac:dyDescent="0.25">
      <c r="C47" s="58" t="s">
        <v>319</v>
      </c>
      <c r="D47" s="63">
        <v>500000</v>
      </c>
      <c r="E47" s="58"/>
      <c r="F47" s="61"/>
      <c r="G47" s="58"/>
      <c r="H47" s="58"/>
      <c r="I47" s="58"/>
      <c r="J47" s="58"/>
      <c r="K47" s="62"/>
    </row>
    <row r="48" spans="2:11" x14ac:dyDescent="0.25">
      <c r="C48" s="58"/>
      <c r="D48" s="58"/>
      <c r="E48" s="58"/>
      <c r="F48" s="58"/>
      <c r="G48" s="58"/>
      <c r="H48" s="58"/>
      <c r="I48" s="58"/>
      <c r="J48" s="58"/>
      <c r="K48" s="62"/>
    </row>
    <row r="49" spans="2:12" x14ac:dyDescent="0.25">
      <c r="C49" s="58" t="s">
        <v>314</v>
      </c>
      <c r="D49" s="58"/>
      <c r="E49" s="61">
        <f>SUM(E44:E47)</f>
        <v>1076</v>
      </c>
      <c r="F49" s="61">
        <f>SUM(F44:F47)</f>
        <v>13690000</v>
      </c>
      <c r="G49" s="61">
        <f>SUM(G44:G47)</f>
        <v>3046800</v>
      </c>
      <c r="H49" s="61">
        <f>SUM(H44:H47)</f>
        <v>8556400</v>
      </c>
      <c r="I49" s="61">
        <f>SUM(I44:I47)</f>
        <v>2086800</v>
      </c>
      <c r="J49" s="58"/>
      <c r="K49" s="62">
        <f t="shared" si="2"/>
        <v>13690000</v>
      </c>
      <c r="L49" s="52">
        <f>SUM(K44:K46)</f>
        <v>13690000</v>
      </c>
    </row>
    <row r="51" spans="2:12" x14ac:dyDescent="0.25">
      <c r="B51" s="3" t="s">
        <v>327</v>
      </c>
    </row>
    <row r="53" spans="2:12" x14ac:dyDescent="0.25">
      <c r="C53" s="58"/>
      <c r="D53" s="59" t="s">
        <v>320</v>
      </c>
      <c r="E53" s="59" t="s">
        <v>321</v>
      </c>
      <c r="F53" s="59" t="s">
        <v>322</v>
      </c>
      <c r="G53" s="59" t="s">
        <v>211</v>
      </c>
      <c r="H53" s="59" t="s">
        <v>304</v>
      </c>
    </row>
    <row r="54" spans="2:12" x14ac:dyDescent="0.25">
      <c r="C54" s="58" t="s">
        <v>328</v>
      </c>
      <c r="D54" s="63">
        <v>4000</v>
      </c>
      <c r="E54" s="62">
        <f>E49</f>
        <v>1076</v>
      </c>
      <c r="F54" s="62">
        <f>G49</f>
        <v>3046800</v>
      </c>
      <c r="G54" s="64">
        <v>36.450000000000003</v>
      </c>
      <c r="H54" s="64">
        <f>E54*G54</f>
        <v>39220.200000000004</v>
      </c>
    </row>
    <row r="55" spans="2:12" x14ac:dyDescent="0.25">
      <c r="C55" s="58" t="s">
        <v>318</v>
      </c>
      <c r="D55" s="63">
        <v>96000</v>
      </c>
      <c r="E55" s="58"/>
      <c r="F55" s="62">
        <f>H49</f>
        <v>8556400</v>
      </c>
      <c r="G55" s="65">
        <v>7.34</v>
      </c>
      <c r="H55" s="65">
        <f>(F55*G55)/1000</f>
        <v>62803.976000000002</v>
      </c>
    </row>
    <row r="56" spans="2:12" x14ac:dyDescent="0.25">
      <c r="C56" s="58" t="s">
        <v>318</v>
      </c>
      <c r="D56" s="63">
        <v>400000</v>
      </c>
      <c r="E56" s="58"/>
      <c r="F56" s="62">
        <f>I49</f>
        <v>2086800</v>
      </c>
      <c r="G56" s="65">
        <v>5.97</v>
      </c>
      <c r="H56" s="65">
        <f>(F56*G56)/1000</f>
        <v>12458.196</v>
      </c>
    </row>
    <row r="57" spans="2:12" x14ac:dyDescent="0.25">
      <c r="C57" s="58" t="s">
        <v>319</v>
      </c>
      <c r="D57" s="63">
        <v>500000</v>
      </c>
      <c r="E57" s="58"/>
      <c r="F57" s="58"/>
      <c r="G57" s="65">
        <v>4.3600000000000003</v>
      </c>
      <c r="H57" s="58"/>
    </row>
    <row r="58" spans="2:12" x14ac:dyDescent="0.25">
      <c r="C58" s="58"/>
      <c r="D58" s="58"/>
      <c r="E58" s="58"/>
      <c r="F58" s="58"/>
      <c r="G58" s="58"/>
      <c r="H58" s="58"/>
    </row>
    <row r="59" spans="2:12" x14ac:dyDescent="0.25">
      <c r="C59" s="58" t="s">
        <v>314</v>
      </c>
      <c r="D59" s="58"/>
      <c r="E59" s="61">
        <f>SUM(E54:E57)</f>
        <v>1076</v>
      </c>
      <c r="F59" s="61">
        <f>SUM(F54:F57)</f>
        <v>13690000</v>
      </c>
      <c r="G59" s="58"/>
      <c r="H59" s="64">
        <f>SUM(H54:H57)</f>
        <v>114482.372</v>
      </c>
    </row>
    <row r="61" spans="2:12" x14ac:dyDescent="0.25">
      <c r="B61" s="3" t="s">
        <v>329</v>
      </c>
    </row>
    <row r="62" spans="2:12" x14ac:dyDescent="0.25">
      <c r="C62" s="58"/>
      <c r="D62" s="58"/>
      <c r="E62" s="58"/>
      <c r="F62" s="58"/>
      <c r="G62" s="59" t="s">
        <v>323</v>
      </c>
      <c r="H62" s="59" t="s">
        <v>318</v>
      </c>
      <c r="I62" s="59" t="s">
        <v>318</v>
      </c>
      <c r="J62" s="59" t="s">
        <v>319</v>
      </c>
      <c r="K62" s="58"/>
    </row>
    <row r="63" spans="2:12" x14ac:dyDescent="0.25">
      <c r="C63" s="58"/>
      <c r="D63" s="59" t="s">
        <v>320</v>
      </c>
      <c r="E63" s="59" t="s">
        <v>321</v>
      </c>
      <c r="F63" s="59" t="s">
        <v>322</v>
      </c>
      <c r="G63" s="67">
        <v>8000</v>
      </c>
      <c r="H63" s="67">
        <v>92000</v>
      </c>
      <c r="I63" s="67">
        <v>400000</v>
      </c>
      <c r="J63" s="67">
        <v>500000</v>
      </c>
      <c r="K63" s="59" t="s">
        <v>116</v>
      </c>
    </row>
    <row r="64" spans="2:12" x14ac:dyDescent="0.25">
      <c r="C64" s="58" t="s">
        <v>323</v>
      </c>
      <c r="D64" s="63">
        <v>8000</v>
      </c>
      <c r="E64" s="61">
        <v>30</v>
      </c>
      <c r="F64" s="61">
        <v>50400</v>
      </c>
      <c r="G64" s="61">
        <f>F64</f>
        <v>50400</v>
      </c>
      <c r="H64" s="61"/>
      <c r="I64" s="61"/>
      <c r="J64" s="61"/>
      <c r="K64" s="61">
        <f>SUM(G64:J64)</f>
        <v>50400</v>
      </c>
    </row>
    <row r="65" spans="2:12" x14ac:dyDescent="0.25">
      <c r="C65" s="58" t="s">
        <v>318</v>
      </c>
      <c r="D65" s="63">
        <v>92000</v>
      </c>
      <c r="E65" s="61">
        <v>47</v>
      </c>
      <c r="F65" s="61">
        <v>1220100</v>
      </c>
      <c r="G65" s="61">
        <f>E65*G63</f>
        <v>376000</v>
      </c>
      <c r="H65" s="61">
        <f>F65-G65</f>
        <v>844100</v>
      </c>
      <c r="I65" s="61"/>
      <c r="J65" s="61"/>
      <c r="K65" s="61">
        <f t="shared" ref="K65:K67" si="3">SUM(G65:J65)</f>
        <v>1220100</v>
      </c>
    </row>
    <row r="66" spans="2:12" x14ac:dyDescent="0.25">
      <c r="C66" s="58" t="s">
        <v>318</v>
      </c>
      <c r="D66" s="63">
        <v>400000</v>
      </c>
      <c r="E66" s="61">
        <v>15</v>
      </c>
      <c r="F66" s="61">
        <v>3748800</v>
      </c>
      <c r="G66" s="61">
        <f>E66*G63</f>
        <v>120000</v>
      </c>
      <c r="H66" s="61">
        <f>E66*H63</f>
        <v>1380000</v>
      </c>
      <c r="I66" s="61">
        <f>F66-G66-H66</f>
        <v>2248800</v>
      </c>
      <c r="J66" s="61"/>
      <c r="K66" s="61">
        <f t="shared" si="3"/>
        <v>3748800</v>
      </c>
    </row>
    <row r="67" spans="2:12" x14ac:dyDescent="0.25">
      <c r="C67" s="58" t="s">
        <v>319</v>
      </c>
      <c r="D67" s="63">
        <v>500000</v>
      </c>
      <c r="E67" s="61">
        <v>4</v>
      </c>
      <c r="F67" s="61">
        <v>1831300</v>
      </c>
      <c r="G67" s="61">
        <f>E67*G63</f>
        <v>32000</v>
      </c>
      <c r="H67" s="61">
        <f>E67*H63</f>
        <v>368000</v>
      </c>
      <c r="I67" s="61">
        <f>F67-G67-H67</f>
        <v>1431300</v>
      </c>
      <c r="J67" s="61"/>
      <c r="K67" s="61">
        <f t="shared" si="3"/>
        <v>1831300</v>
      </c>
    </row>
    <row r="68" spans="2:12" x14ac:dyDescent="0.25">
      <c r="C68" s="58"/>
      <c r="D68" s="58"/>
      <c r="E68" s="61"/>
      <c r="F68" s="58"/>
      <c r="G68" s="58"/>
      <c r="H68" s="58"/>
      <c r="I68" s="58"/>
      <c r="J68" s="58"/>
      <c r="K68" s="58"/>
    </row>
    <row r="69" spans="2:12" x14ac:dyDescent="0.25">
      <c r="C69" s="58" t="s">
        <v>314</v>
      </c>
      <c r="D69" s="58"/>
      <c r="E69" s="61">
        <f>SUM(E64:E67)</f>
        <v>96</v>
      </c>
      <c r="F69" s="61">
        <f t="shared" ref="F69:I69" si="4">SUM(F64:F67)</f>
        <v>6850600</v>
      </c>
      <c r="G69" s="61">
        <f t="shared" si="4"/>
        <v>578400</v>
      </c>
      <c r="H69" s="61">
        <f t="shared" si="4"/>
        <v>2592100</v>
      </c>
      <c r="I69" s="61">
        <f t="shared" si="4"/>
        <v>3680100</v>
      </c>
      <c r="J69" s="58"/>
      <c r="K69" s="62">
        <f>SUM(G69:I69)</f>
        <v>6850600</v>
      </c>
      <c r="L69" s="52">
        <f>SUM(K64:K67)</f>
        <v>6850600</v>
      </c>
    </row>
    <row r="71" spans="2:12" x14ac:dyDescent="0.25">
      <c r="B71" s="3" t="s">
        <v>330</v>
      </c>
    </row>
    <row r="73" spans="2:12" x14ac:dyDescent="0.25">
      <c r="C73" s="58"/>
      <c r="D73" s="59" t="s">
        <v>320</v>
      </c>
      <c r="E73" s="59" t="s">
        <v>321</v>
      </c>
      <c r="F73" s="59" t="s">
        <v>322</v>
      </c>
      <c r="G73" s="59" t="s">
        <v>211</v>
      </c>
      <c r="H73" s="59" t="s">
        <v>304</v>
      </c>
    </row>
    <row r="74" spans="2:12" x14ac:dyDescent="0.25">
      <c r="C74" s="58" t="s">
        <v>323</v>
      </c>
      <c r="D74" s="61">
        <v>8000</v>
      </c>
      <c r="E74" s="61">
        <f>E69</f>
        <v>96</v>
      </c>
      <c r="F74" s="62">
        <f>G69</f>
        <v>578400</v>
      </c>
      <c r="G74" s="64">
        <v>65.819999999999993</v>
      </c>
      <c r="H74" s="68">
        <f>E74*G74</f>
        <v>6318.7199999999993</v>
      </c>
    </row>
    <row r="75" spans="2:12" x14ac:dyDescent="0.25">
      <c r="C75" s="58" t="s">
        <v>318</v>
      </c>
      <c r="D75" s="61">
        <v>92000</v>
      </c>
      <c r="E75" s="61"/>
      <c r="F75" s="62">
        <f>H69</f>
        <v>2592100</v>
      </c>
      <c r="G75" s="65">
        <v>7.34</v>
      </c>
      <c r="H75" s="65">
        <f>(F75*G75)/1000</f>
        <v>19026.013999999999</v>
      </c>
    </row>
    <row r="76" spans="2:12" x14ac:dyDescent="0.25">
      <c r="C76" s="58" t="s">
        <v>318</v>
      </c>
      <c r="D76" s="61">
        <v>400000</v>
      </c>
      <c r="E76" s="61"/>
      <c r="F76" s="62">
        <f>I69</f>
        <v>3680100</v>
      </c>
      <c r="G76" s="65">
        <v>5.97</v>
      </c>
      <c r="H76" s="65">
        <f>(F76*G76)/1000</f>
        <v>21970.197</v>
      </c>
    </row>
    <row r="77" spans="2:12" x14ac:dyDescent="0.25">
      <c r="C77" s="58" t="s">
        <v>319</v>
      </c>
      <c r="D77" s="61">
        <v>500000</v>
      </c>
      <c r="E77" s="61"/>
      <c r="F77" s="58"/>
      <c r="G77" s="65">
        <v>4.3600000000000003</v>
      </c>
      <c r="H77" s="58"/>
    </row>
    <row r="78" spans="2:12" x14ac:dyDescent="0.25">
      <c r="C78" s="58"/>
      <c r="D78" s="58"/>
      <c r="E78" s="61"/>
      <c r="F78" s="58"/>
      <c r="G78" s="58"/>
      <c r="H78" s="58"/>
    </row>
    <row r="79" spans="2:12" x14ac:dyDescent="0.25">
      <c r="C79" s="58" t="s">
        <v>314</v>
      </c>
      <c r="D79" s="58"/>
      <c r="E79" s="61">
        <f t="shared" ref="E79:H79" si="5">SUM(E74:E77)</f>
        <v>96</v>
      </c>
      <c r="F79" s="61">
        <f t="shared" si="5"/>
        <v>6850600</v>
      </c>
      <c r="G79" s="58"/>
      <c r="H79" s="64">
        <f t="shared" si="5"/>
        <v>47314.930999999997</v>
      </c>
    </row>
    <row r="81" spans="2:12" x14ac:dyDescent="0.25">
      <c r="B81" s="3" t="s">
        <v>331</v>
      </c>
    </row>
    <row r="82" spans="2:12" x14ac:dyDescent="0.25">
      <c r="B82" s="3"/>
    </row>
    <row r="83" spans="2:12" x14ac:dyDescent="0.25">
      <c r="C83" s="58"/>
      <c r="D83" s="58"/>
      <c r="E83" s="58"/>
      <c r="F83" s="58"/>
      <c r="G83" s="59" t="s">
        <v>323</v>
      </c>
      <c r="H83" s="59" t="s">
        <v>318</v>
      </c>
      <c r="I83" s="59" t="s">
        <v>318</v>
      </c>
      <c r="J83" s="59" t="s">
        <v>319</v>
      </c>
      <c r="K83" s="58"/>
    </row>
    <row r="84" spans="2:12" x14ac:dyDescent="0.25">
      <c r="C84" s="58"/>
      <c r="D84" s="59" t="s">
        <v>320</v>
      </c>
      <c r="E84" s="59" t="s">
        <v>321</v>
      </c>
      <c r="F84" s="59" t="s">
        <v>322</v>
      </c>
      <c r="G84" s="67">
        <v>15000</v>
      </c>
      <c r="H84" s="67">
        <v>85000</v>
      </c>
      <c r="I84" s="67">
        <v>400000</v>
      </c>
      <c r="J84" s="61">
        <v>500000</v>
      </c>
      <c r="K84" s="59" t="s">
        <v>116</v>
      </c>
    </row>
    <row r="85" spans="2:12" x14ac:dyDescent="0.25">
      <c r="C85" s="58" t="s">
        <v>323</v>
      </c>
      <c r="D85" s="61">
        <v>15000</v>
      </c>
      <c r="E85" s="61">
        <v>125</v>
      </c>
      <c r="F85" s="61">
        <v>649500</v>
      </c>
      <c r="G85" s="61">
        <f>F85</f>
        <v>649500</v>
      </c>
      <c r="H85" s="61"/>
      <c r="I85" s="61"/>
      <c r="J85" s="61"/>
      <c r="K85" s="61">
        <f>SUM(G85:I85)</f>
        <v>649500</v>
      </c>
    </row>
    <row r="86" spans="2:12" x14ac:dyDescent="0.25">
      <c r="C86" s="58" t="s">
        <v>318</v>
      </c>
      <c r="D86" s="61">
        <v>85000</v>
      </c>
      <c r="E86" s="61">
        <v>69</v>
      </c>
      <c r="F86" s="61">
        <v>2686300</v>
      </c>
      <c r="G86" s="61">
        <f>E86*G84</f>
        <v>1035000</v>
      </c>
      <c r="H86" s="61">
        <f>F86-G86</f>
        <v>1651300</v>
      </c>
      <c r="I86" s="61"/>
      <c r="J86" s="61"/>
      <c r="K86" s="61">
        <f>SUM(G86:I86)</f>
        <v>2686300</v>
      </c>
    </row>
    <row r="87" spans="2:12" x14ac:dyDescent="0.25">
      <c r="C87" s="58" t="s">
        <v>318</v>
      </c>
      <c r="D87" s="61">
        <v>400000</v>
      </c>
      <c r="E87" s="61">
        <v>31</v>
      </c>
      <c r="F87" s="61">
        <v>4262700</v>
      </c>
      <c r="G87" s="61">
        <f>E87*G84</f>
        <v>465000</v>
      </c>
      <c r="H87" s="61">
        <f>E87*H84</f>
        <v>2635000</v>
      </c>
      <c r="I87" s="61">
        <f>F87-G87-H87</f>
        <v>1162700</v>
      </c>
      <c r="J87" s="61"/>
      <c r="K87" s="61">
        <f>SUM(G87:I87)</f>
        <v>4262700</v>
      </c>
    </row>
    <row r="88" spans="2:12" x14ac:dyDescent="0.25">
      <c r="C88" s="58" t="s">
        <v>319</v>
      </c>
      <c r="D88" s="61">
        <v>500000</v>
      </c>
      <c r="E88" s="61"/>
      <c r="F88" s="61"/>
      <c r="G88" s="61"/>
      <c r="H88" s="61"/>
      <c r="I88" s="61"/>
      <c r="J88" s="61"/>
      <c r="K88" s="61"/>
    </row>
    <row r="89" spans="2:12" x14ac:dyDescent="0.25">
      <c r="C89" s="58"/>
      <c r="D89" s="58"/>
      <c r="E89" s="61"/>
      <c r="F89" s="61"/>
      <c r="G89" s="61"/>
      <c r="H89" s="61"/>
      <c r="I89" s="61"/>
      <c r="J89" s="61"/>
      <c r="K89" s="61"/>
    </row>
    <row r="90" spans="2:12" x14ac:dyDescent="0.25">
      <c r="C90" s="58" t="s">
        <v>314</v>
      </c>
      <c r="D90" s="58"/>
      <c r="E90" s="61">
        <f>SUM(E85:E87)</f>
        <v>225</v>
      </c>
      <c r="F90" s="61">
        <f t="shared" ref="F90:I90" si="6">SUM(F85:F87)</f>
        <v>7598500</v>
      </c>
      <c r="G90" s="61">
        <f t="shared" si="6"/>
        <v>2149500</v>
      </c>
      <c r="H90" s="61">
        <f t="shared" si="6"/>
        <v>4286300</v>
      </c>
      <c r="I90" s="61">
        <f t="shared" si="6"/>
        <v>1162700</v>
      </c>
      <c r="J90" s="61"/>
      <c r="K90" s="61">
        <f>SUM(G90:I90)</f>
        <v>7598500</v>
      </c>
      <c r="L90" s="52">
        <f>SUM(K85:K87)</f>
        <v>7598500</v>
      </c>
    </row>
    <row r="92" spans="2:12" x14ac:dyDescent="0.25">
      <c r="B92" s="3" t="s">
        <v>332</v>
      </c>
    </row>
    <row r="94" spans="2:12" x14ac:dyDescent="0.25">
      <c r="C94" s="58"/>
      <c r="D94" s="59" t="s">
        <v>320</v>
      </c>
      <c r="E94" s="59" t="s">
        <v>321</v>
      </c>
      <c r="F94" s="59" t="s">
        <v>322</v>
      </c>
      <c r="G94" s="59" t="s">
        <v>211</v>
      </c>
      <c r="H94" s="59" t="s">
        <v>304</v>
      </c>
    </row>
    <row r="95" spans="2:12" x14ac:dyDescent="0.25">
      <c r="C95" s="58" t="s">
        <v>323</v>
      </c>
      <c r="D95" s="61">
        <v>15000</v>
      </c>
      <c r="E95" s="62">
        <f>E90</f>
        <v>225</v>
      </c>
      <c r="F95" s="62">
        <f>G90</f>
        <v>2149500</v>
      </c>
      <c r="G95" s="64">
        <v>117.19</v>
      </c>
      <c r="H95" s="64">
        <f>E95*G95</f>
        <v>26367.75</v>
      </c>
    </row>
    <row r="96" spans="2:12" x14ac:dyDescent="0.25">
      <c r="C96" s="58" t="s">
        <v>318</v>
      </c>
      <c r="D96" s="61">
        <v>85000</v>
      </c>
      <c r="E96" s="58"/>
      <c r="F96" s="62">
        <f>H90</f>
        <v>4286300</v>
      </c>
      <c r="G96" s="65">
        <v>7.34</v>
      </c>
      <c r="H96" s="69">
        <f>(F96*G96)/1000</f>
        <v>31461.441999999999</v>
      </c>
    </row>
    <row r="97" spans="2:16" x14ac:dyDescent="0.25">
      <c r="C97" s="58" t="s">
        <v>318</v>
      </c>
      <c r="D97" s="61">
        <v>400000</v>
      </c>
      <c r="E97" s="58"/>
      <c r="F97" s="62">
        <f>I87</f>
        <v>1162700</v>
      </c>
      <c r="G97" s="65">
        <v>5.97</v>
      </c>
      <c r="H97" s="69">
        <f>(F97*G97)/1000</f>
        <v>6941.3190000000004</v>
      </c>
    </row>
    <row r="98" spans="2:16" x14ac:dyDescent="0.25">
      <c r="C98" s="58"/>
      <c r="D98" s="61">
        <v>500000</v>
      </c>
      <c r="E98" s="58"/>
      <c r="F98" s="58"/>
      <c r="G98" s="65">
        <v>4.3600000000000003</v>
      </c>
      <c r="H98" s="58"/>
    </row>
    <row r="99" spans="2:16" x14ac:dyDescent="0.25">
      <c r="C99" s="58"/>
      <c r="D99" s="58"/>
      <c r="E99" s="58"/>
      <c r="F99" s="58"/>
      <c r="G99" s="58"/>
      <c r="H99" s="58"/>
    </row>
    <row r="100" spans="2:16" x14ac:dyDescent="0.25">
      <c r="C100" s="58" t="s">
        <v>314</v>
      </c>
      <c r="D100" s="58"/>
      <c r="E100" s="58">
        <f>SUM(E95:E97)</f>
        <v>225</v>
      </c>
      <c r="F100" s="61">
        <f t="shared" ref="F100:H100" si="7">SUM(F95:F97)</f>
        <v>7598500</v>
      </c>
      <c r="G100" s="58"/>
      <c r="H100" s="64">
        <f t="shared" si="7"/>
        <v>64770.510999999999</v>
      </c>
      <c r="P100" s="55"/>
    </row>
    <row r="102" spans="2:16" x14ac:dyDescent="0.25">
      <c r="B102" s="3" t="s">
        <v>333</v>
      </c>
    </row>
    <row r="103" spans="2:16" x14ac:dyDescent="0.25">
      <c r="C103" s="58"/>
      <c r="D103" s="58"/>
      <c r="E103" s="58"/>
      <c r="F103" s="58"/>
      <c r="G103" s="59" t="s">
        <v>323</v>
      </c>
      <c r="H103" s="59" t="s">
        <v>318</v>
      </c>
      <c r="I103" s="59" t="s">
        <v>318</v>
      </c>
      <c r="J103" s="59" t="s">
        <v>319</v>
      </c>
      <c r="K103" s="58"/>
    </row>
    <row r="104" spans="2:16" x14ac:dyDescent="0.25">
      <c r="C104" s="70"/>
      <c r="D104" s="71" t="s">
        <v>320</v>
      </c>
      <c r="E104" s="71" t="s">
        <v>321</v>
      </c>
      <c r="F104" s="71" t="s">
        <v>322</v>
      </c>
      <c r="G104" s="72">
        <v>25000</v>
      </c>
      <c r="H104" s="72">
        <v>75000</v>
      </c>
      <c r="I104" s="72">
        <v>400000</v>
      </c>
      <c r="J104" s="73">
        <v>500000</v>
      </c>
      <c r="K104" s="71" t="s">
        <v>116</v>
      </c>
    </row>
    <row r="105" spans="2:16" x14ac:dyDescent="0.25">
      <c r="C105" s="58" t="s">
        <v>323</v>
      </c>
      <c r="D105" s="61">
        <v>25000</v>
      </c>
      <c r="E105" s="58"/>
      <c r="F105" s="58"/>
      <c r="G105" s="58"/>
      <c r="H105" s="58"/>
      <c r="I105" s="58"/>
      <c r="J105" s="58"/>
      <c r="K105" s="58">
        <f>SUM(G105:I105)</f>
        <v>0</v>
      </c>
    </row>
    <row r="106" spans="2:16" x14ac:dyDescent="0.25">
      <c r="C106" s="58" t="s">
        <v>318</v>
      </c>
      <c r="D106" s="61">
        <v>75000</v>
      </c>
      <c r="E106" s="58">
        <v>1</v>
      </c>
      <c r="F106" s="61">
        <v>275500</v>
      </c>
      <c r="G106" s="61">
        <f>E106*G104</f>
        <v>25000</v>
      </c>
      <c r="H106" s="61">
        <f>F106-G106</f>
        <v>250500</v>
      </c>
      <c r="I106" s="61"/>
      <c r="J106" s="61"/>
      <c r="K106" s="61">
        <f>SUM(G106:J106)</f>
        <v>275500</v>
      </c>
    </row>
    <row r="107" spans="2:16" x14ac:dyDescent="0.25">
      <c r="C107" s="58" t="s">
        <v>318</v>
      </c>
      <c r="D107" s="61">
        <v>400000</v>
      </c>
      <c r="E107" s="58">
        <v>1</v>
      </c>
      <c r="F107" s="61">
        <v>498300</v>
      </c>
      <c r="G107" s="61">
        <f>E107*G106</f>
        <v>25000</v>
      </c>
      <c r="H107" s="61">
        <f>E107*H104</f>
        <v>75000</v>
      </c>
      <c r="I107" s="61">
        <f>F107-G107-H107</f>
        <v>398300</v>
      </c>
      <c r="J107" s="61"/>
      <c r="K107" s="61">
        <f>SUM(G107:J107)</f>
        <v>498300</v>
      </c>
    </row>
    <row r="108" spans="2:16" x14ac:dyDescent="0.25">
      <c r="C108" s="58" t="s">
        <v>319</v>
      </c>
      <c r="D108" s="61">
        <v>500000</v>
      </c>
      <c r="E108" s="58">
        <v>10</v>
      </c>
      <c r="F108" s="61">
        <v>6507900</v>
      </c>
      <c r="G108" s="61">
        <f>E108*G104</f>
        <v>250000</v>
      </c>
      <c r="H108" s="61">
        <f>E108*H104</f>
        <v>750000</v>
      </c>
      <c r="I108" s="61">
        <f>E108*I104</f>
        <v>4000000</v>
      </c>
      <c r="J108" s="61">
        <f>F108-G108-H108-I108</f>
        <v>1507900</v>
      </c>
      <c r="K108" s="61">
        <f>SUM(G108:J108)</f>
        <v>6507900</v>
      </c>
    </row>
    <row r="109" spans="2:16" x14ac:dyDescent="0.25"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2:16" x14ac:dyDescent="0.25">
      <c r="C110" s="58" t="s">
        <v>314</v>
      </c>
      <c r="D110" s="58"/>
      <c r="E110" s="58">
        <f t="shared" ref="E110:J110" si="8">SUM(E105:E108)</f>
        <v>12</v>
      </c>
      <c r="F110" s="61">
        <f t="shared" si="8"/>
        <v>7281700</v>
      </c>
      <c r="G110" s="61">
        <f t="shared" si="8"/>
        <v>300000</v>
      </c>
      <c r="H110" s="61">
        <f t="shared" si="8"/>
        <v>1075500</v>
      </c>
      <c r="I110" s="61">
        <f t="shared" si="8"/>
        <v>4398300</v>
      </c>
      <c r="J110" s="61">
        <f t="shared" si="8"/>
        <v>1507900</v>
      </c>
      <c r="K110" s="62">
        <f>SUM(G110:J110)</f>
        <v>7281700</v>
      </c>
      <c r="L110" s="74">
        <f>SUM(K105:K108)</f>
        <v>7281700</v>
      </c>
    </row>
    <row r="112" spans="2:16" x14ac:dyDescent="0.25">
      <c r="B112" s="3" t="s">
        <v>334</v>
      </c>
    </row>
    <row r="114" spans="2:9" x14ac:dyDescent="0.25">
      <c r="C114" s="58"/>
      <c r="D114" s="59" t="s">
        <v>320</v>
      </c>
      <c r="E114" s="59" t="s">
        <v>321</v>
      </c>
      <c r="F114" s="59" t="s">
        <v>322</v>
      </c>
      <c r="G114" s="59" t="s">
        <v>211</v>
      </c>
      <c r="H114" s="59" t="s">
        <v>304</v>
      </c>
    </row>
    <row r="115" spans="2:9" x14ac:dyDescent="0.25">
      <c r="C115" s="58" t="s">
        <v>323</v>
      </c>
      <c r="D115" s="61">
        <v>25000</v>
      </c>
      <c r="E115" s="58">
        <f>E110</f>
        <v>12</v>
      </c>
      <c r="F115" s="62">
        <f>G110</f>
        <v>300000</v>
      </c>
      <c r="G115" s="64">
        <v>190.6</v>
      </c>
      <c r="H115" s="68">
        <f>E115*G115</f>
        <v>2287.1999999999998</v>
      </c>
    </row>
    <row r="116" spans="2:9" x14ac:dyDescent="0.25">
      <c r="C116" s="58" t="s">
        <v>318</v>
      </c>
      <c r="D116" s="61">
        <v>75000</v>
      </c>
      <c r="E116" s="58"/>
      <c r="F116" s="62">
        <f>H110</f>
        <v>1075500</v>
      </c>
      <c r="G116" s="65">
        <v>7.34</v>
      </c>
      <c r="H116" s="65">
        <f>(F116*G116)/1000</f>
        <v>7894.17</v>
      </c>
    </row>
    <row r="117" spans="2:9" x14ac:dyDescent="0.25">
      <c r="C117" s="58" t="s">
        <v>318</v>
      </c>
      <c r="D117" s="61">
        <v>400000</v>
      </c>
      <c r="E117" s="58"/>
      <c r="F117" s="62">
        <f>I110</f>
        <v>4398300</v>
      </c>
      <c r="G117" s="65">
        <v>5.97</v>
      </c>
      <c r="H117" s="65">
        <f t="shared" ref="H117:H118" si="9">(F117*G117)/1000</f>
        <v>26257.850999999999</v>
      </c>
    </row>
    <row r="118" spans="2:9" x14ac:dyDescent="0.25">
      <c r="C118" s="58" t="s">
        <v>319</v>
      </c>
      <c r="D118" s="61">
        <v>500000</v>
      </c>
      <c r="E118" s="58"/>
      <c r="F118" s="62">
        <f>J110</f>
        <v>1507900</v>
      </c>
      <c r="G118" s="65">
        <v>4.3600000000000003</v>
      </c>
      <c r="H118" s="65">
        <f t="shared" si="9"/>
        <v>6574.4440000000013</v>
      </c>
    </row>
    <row r="119" spans="2:9" x14ac:dyDescent="0.25">
      <c r="C119" s="58"/>
      <c r="D119" s="61"/>
      <c r="E119" s="58"/>
      <c r="F119" s="58"/>
      <c r="G119" s="58"/>
      <c r="H119" s="58"/>
    </row>
    <row r="120" spans="2:9" x14ac:dyDescent="0.25">
      <c r="C120" s="58" t="s">
        <v>314</v>
      </c>
      <c r="D120" s="58"/>
      <c r="E120" s="58">
        <f>SUM(E115:E117)</f>
        <v>12</v>
      </c>
      <c r="F120" s="62">
        <f>SUM(F115:F118)</f>
        <v>7281700</v>
      </c>
      <c r="G120" s="58"/>
      <c r="H120" s="64">
        <f>SUM(H115:H118)</f>
        <v>43013.665000000001</v>
      </c>
    </row>
    <row r="122" spans="2:9" x14ac:dyDescent="0.25">
      <c r="B122" s="3" t="s">
        <v>313</v>
      </c>
    </row>
    <row r="124" spans="2:9" x14ac:dyDescent="0.25">
      <c r="C124" s="58"/>
      <c r="D124" s="59" t="s">
        <v>320</v>
      </c>
      <c r="E124" s="59" t="s">
        <v>321</v>
      </c>
      <c r="F124" s="59" t="s">
        <v>322</v>
      </c>
      <c r="G124" s="59" t="s">
        <v>335</v>
      </c>
      <c r="H124" s="59" t="s">
        <v>336</v>
      </c>
      <c r="I124" s="59" t="s">
        <v>116</v>
      </c>
    </row>
    <row r="125" spans="2:9" x14ac:dyDescent="0.25">
      <c r="C125" s="58" t="s">
        <v>323</v>
      </c>
      <c r="D125" s="63">
        <v>25000</v>
      </c>
      <c r="E125" s="58"/>
      <c r="F125" s="58"/>
      <c r="G125" s="58"/>
      <c r="H125" s="58"/>
      <c r="I125" s="58">
        <f>SUM(G125:H125)</f>
        <v>0</v>
      </c>
    </row>
    <row r="126" spans="2:9" x14ac:dyDescent="0.25">
      <c r="C126" s="58" t="s">
        <v>319</v>
      </c>
      <c r="D126" s="63">
        <v>25000</v>
      </c>
      <c r="E126" s="58"/>
      <c r="F126" s="58"/>
      <c r="G126" s="58"/>
      <c r="H126" s="58"/>
      <c r="I126" s="58">
        <f>SUM(G126:H126)</f>
        <v>0</v>
      </c>
    </row>
    <row r="127" spans="2:9" x14ac:dyDescent="0.25">
      <c r="C127" s="58"/>
      <c r="D127" s="58"/>
      <c r="E127" s="58"/>
      <c r="F127" s="58"/>
      <c r="G127" s="58"/>
      <c r="H127" s="58"/>
      <c r="I127" s="58"/>
    </row>
    <row r="128" spans="2:9" x14ac:dyDescent="0.25">
      <c r="C128" s="58" t="s">
        <v>314</v>
      </c>
      <c r="D128" s="58"/>
      <c r="E128" s="58">
        <f>SUM(E125:E126)</f>
        <v>0</v>
      </c>
      <c r="F128" s="58">
        <f t="shared" ref="F128:H128" si="10">SUM(F125:F126)</f>
        <v>0</v>
      </c>
      <c r="G128" s="58">
        <f t="shared" si="10"/>
        <v>0</v>
      </c>
      <c r="H128" s="58">
        <f t="shared" si="10"/>
        <v>0</v>
      </c>
      <c r="I128" s="58"/>
    </row>
    <row r="130" spans="2:8" x14ac:dyDescent="0.25">
      <c r="B130" s="3" t="s">
        <v>313</v>
      </c>
    </row>
    <row r="132" spans="2:8" x14ac:dyDescent="0.25">
      <c r="C132" s="58"/>
      <c r="D132" s="59" t="s">
        <v>320</v>
      </c>
      <c r="E132" s="59" t="s">
        <v>321</v>
      </c>
      <c r="F132" s="59" t="s">
        <v>322</v>
      </c>
      <c r="G132" s="59" t="s">
        <v>211</v>
      </c>
      <c r="H132" s="59" t="s">
        <v>304</v>
      </c>
    </row>
    <row r="133" spans="2:8" x14ac:dyDescent="0.25">
      <c r="C133" s="58" t="s">
        <v>323</v>
      </c>
      <c r="D133" s="61">
        <v>64962900</v>
      </c>
      <c r="E133" s="58">
        <v>96</v>
      </c>
      <c r="F133" s="58"/>
      <c r="G133" s="64">
        <v>2.4500000000000002</v>
      </c>
      <c r="H133" s="66">
        <f>(D133*G133)/1000</f>
        <v>159159.10500000001</v>
      </c>
    </row>
    <row r="134" spans="2:8" x14ac:dyDescent="0.25">
      <c r="C134" s="58" t="s">
        <v>319</v>
      </c>
      <c r="D134" s="58"/>
      <c r="E134" s="58"/>
      <c r="F134" s="58"/>
      <c r="G134" s="58"/>
      <c r="H134" s="58"/>
    </row>
    <row r="135" spans="2:8" x14ac:dyDescent="0.25">
      <c r="C135" s="58"/>
      <c r="D135" s="58"/>
      <c r="E135" s="58"/>
      <c r="F135" s="58"/>
      <c r="G135" s="58"/>
      <c r="H135" s="58"/>
    </row>
    <row r="136" spans="2:8" x14ac:dyDescent="0.25">
      <c r="C136" s="58" t="s">
        <v>314</v>
      </c>
      <c r="D136" s="58"/>
      <c r="E136" s="58">
        <f>SUM(E133:E134)</f>
        <v>96</v>
      </c>
      <c r="F136" s="58">
        <f t="shared" ref="F136:H136" si="11">SUM(F133:F134)</f>
        <v>0</v>
      </c>
      <c r="G136" s="58"/>
      <c r="H136" s="64">
        <f t="shared" si="11"/>
        <v>159159.10500000001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A8B3-D6EB-4A43-A490-9738669C732D}">
  <dimension ref="A1:Z70"/>
  <sheetViews>
    <sheetView workbookViewId="0">
      <selection activeCell="D48" sqref="D48"/>
    </sheetView>
  </sheetViews>
  <sheetFormatPr defaultRowHeight="15.75" x14ac:dyDescent="0.25"/>
  <cols>
    <col min="1" max="1" width="15.375" style="9" bestFit="1" customWidth="1"/>
    <col min="2" max="2" width="2.125" customWidth="1"/>
    <col min="3" max="3" width="41.25" style="9" bestFit="1" customWidth="1"/>
    <col min="4" max="4" width="2.125" customWidth="1"/>
    <col min="5" max="5" width="7.375" style="9" bestFit="1" customWidth="1"/>
    <col min="6" max="6" width="8.875" style="9" bestFit="1" customWidth="1"/>
    <col min="7" max="7" width="10.875" style="9" bestFit="1" customWidth="1"/>
    <col min="8" max="8" width="2.125" customWidth="1"/>
    <col min="9" max="9" width="9.125" style="9" bestFit="1" customWidth="1"/>
    <col min="10" max="10" width="9" style="9" bestFit="1"/>
    <col min="11" max="11" width="11" style="9" bestFit="1" customWidth="1"/>
    <col min="12" max="12" width="2.125" customWidth="1"/>
    <col min="13" max="13" width="12.125" style="9" bestFit="1" customWidth="1"/>
    <col min="15" max="16" width="10.125" bestFit="1" customWidth="1"/>
    <col min="18" max="18" width="10.125" bestFit="1" customWidth="1"/>
    <col min="19" max="19" width="11.75" bestFit="1" customWidth="1"/>
    <col min="26" max="26" width="9.875" bestFit="1" customWidth="1"/>
  </cols>
  <sheetData>
    <row r="1" spans="1:26" x14ac:dyDescent="0.25">
      <c r="E1" s="75" t="s">
        <v>156</v>
      </c>
      <c r="F1" s="75"/>
      <c r="G1" s="75"/>
      <c r="I1" s="75" t="s">
        <v>157</v>
      </c>
      <c r="J1" s="75"/>
      <c r="K1" s="75"/>
      <c r="M1" s="10" t="s">
        <v>158</v>
      </c>
      <c r="V1" s="10"/>
      <c r="X1" s="10"/>
      <c r="Z1" s="10"/>
    </row>
    <row r="2" spans="1:26" x14ac:dyDescent="0.25">
      <c r="A2" s="11" t="s">
        <v>159</v>
      </c>
      <c r="C2" s="11" t="s">
        <v>160</v>
      </c>
      <c r="E2" s="11" t="s">
        <v>161</v>
      </c>
      <c r="F2" s="11" t="s">
        <v>162</v>
      </c>
      <c r="G2" s="11" t="s">
        <v>163</v>
      </c>
      <c r="I2" s="11" t="s">
        <v>161</v>
      </c>
      <c r="J2" s="11" t="s">
        <v>162</v>
      </c>
      <c r="K2" s="11" t="s">
        <v>163</v>
      </c>
      <c r="M2" s="11" t="s">
        <v>164</v>
      </c>
      <c r="P2" s="3" t="s">
        <v>165</v>
      </c>
    </row>
    <row r="3" spans="1:26" x14ac:dyDescent="0.25">
      <c r="A3" s="12" t="s">
        <v>166</v>
      </c>
      <c r="C3" s="13" t="s">
        <v>167</v>
      </c>
      <c r="E3" s="14">
        <v>11</v>
      </c>
      <c r="F3" s="15">
        <f>E3*1.5</f>
        <v>16.5</v>
      </c>
      <c r="G3" s="15">
        <f>E3*2</f>
        <v>22</v>
      </c>
      <c r="I3" s="14">
        <v>857.12</v>
      </c>
      <c r="J3" s="14"/>
      <c r="K3" s="14"/>
      <c r="M3" s="16">
        <f>(E3*I3)+(F3*J3)+(G3*K3)</f>
        <v>9428.32</v>
      </c>
      <c r="X3" s="6"/>
      <c r="Z3" s="17"/>
    </row>
    <row r="4" spans="1:26" x14ac:dyDescent="0.25">
      <c r="A4" s="12" t="s">
        <v>168</v>
      </c>
      <c r="C4" s="13" t="s">
        <v>169</v>
      </c>
      <c r="E4" s="14">
        <v>18.11</v>
      </c>
      <c r="F4" s="15">
        <f t="shared" ref="F4:F20" si="0">E4*1.5</f>
        <v>27.164999999999999</v>
      </c>
      <c r="G4" s="15">
        <f t="shared" ref="G4:G20" si="1">E4*2</f>
        <v>36.22</v>
      </c>
      <c r="I4" s="14">
        <f>49.51+1964.97+63.52</f>
        <v>2078</v>
      </c>
      <c r="J4" s="14">
        <v>29.22</v>
      </c>
      <c r="K4" s="14">
        <v>8</v>
      </c>
      <c r="M4" s="15">
        <f>(E4*I4)+(F4*J4)+(G4*K4)</f>
        <v>38716.101300000002</v>
      </c>
      <c r="P4" s="13" t="s">
        <v>170</v>
      </c>
      <c r="R4" s="6"/>
      <c r="S4" s="18">
        <f>M25</f>
        <v>-16342.660450000083</v>
      </c>
      <c r="X4" s="6"/>
      <c r="Z4" s="17"/>
    </row>
    <row r="5" spans="1:26" x14ac:dyDescent="0.25">
      <c r="A5" s="12" t="s">
        <v>171</v>
      </c>
      <c r="C5" s="13" t="s">
        <v>172</v>
      </c>
      <c r="E5" s="14">
        <v>13.72</v>
      </c>
      <c r="F5" s="15">
        <f t="shared" si="0"/>
        <v>20.580000000000002</v>
      </c>
      <c r="G5" s="15">
        <f t="shared" si="1"/>
        <v>27.44</v>
      </c>
      <c r="I5" s="14">
        <f>1919.08+89.98+63.94</f>
        <v>2073</v>
      </c>
      <c r="J5" s="14">
        <v>25.11</v>
      </c>
      <c r="K5" s="14">
        <v>7</v>
      </c>
      <c r="M5" s="15">
        <f t="shared" ref="M5:M20" si="2">(E5*I5)+(F5*J5)+(G5*K5)</f>
        <v>29150.403800000004</v>
      </c>
      <c r="P5" t="s">
        <v>173</v>
      </c>
      <c r="S5" s="19">
        <v>7.6499999999999999E-2</v>
      </c>
      <c r="X5" s="6"/>
      <c r="Z5" s="17"/>
    </row>
    <row r="6" spans="1:26" x14ac:dyDescent="0.25">
      <c r="A6" s="12" t="s">
        <v>174</v>
      </c>
      <c r="C6" s="13" t="s">
        <v>175</v>
      </c>
      <c r="E6" s="14">
        <v>18.3</v>
      </c>
      <c r="F6" s="15">
        <f t="shared" si="0"/>
        <v>27.450000000000003</v>
      </c>
      <c r="G6" s="15">
        <f t="shared" si="1"/>
        <v>36.6</v>
      </c>
      <c r="I6" s="14">
        <f>1877.75+3.25+107</f>
        <v>1988</v>
      </c>
      <c r="J6" s="14">
        <v>10.57</v>
      </c>
      <c r="K6" s="14">
        <v>96</v>
      </c>
      <c r="M6" s="15">
        <f t="shared" si="2"/>
        <v>40184.146500000003</v>
      </c>
      <c r="O6" s="6"/>
      <c r="X6" s="6"/>
      <c r="Z6" s="17"/>
    </row>
    <row r="7" spans="1:26" ht="16.5" thickBot="1" x14ac:dyDescent="0.3">
      <c r="A7" s="12" t="s">
        <v>176</v>
      </c>
      <c r="C7" s="13" t="s">
        <v>177</v>
      </c>
      <c r="E7" s="14">
        <v>17.600000000000001</v>
      </c>
      <c r="F7" s="15">
        <f t="shared" si="0"/>
        <v>26.400000000000002</v>
      </c>
      <c r="G7" s="15">
        <f t="shared" si="1"/>
        <v>35.200000000000003</v>
      </c>
      <c r="I7" s="14">
        <f>36.5+1968.25+60</f>
        <v>2064.75</v>
      </c>
      <c r="J7" s="14">
        <v>185.17</v>
      </c>
      <c r="K7" s="14">
        <v>12.25</v>
      </c>
      <c r="M7" s="15">
        <f t="shared" si="2"/>
        <v>41659.288</v>
      </c>
      <c r="P7" t="s">
        <v>178</v>
      </c>
      <c r="S7" s="20">
        <f>S4*S5</f>
        <v>-1250.2135244250064</v>
      </c>
      <c r="X7" s="6"/>
      <c r="Z7" s="17"/>
    </row>
    <row r="8" spans="1:26" ht="16.5" thickTop="1" x14ac:dyDescent="0.25">
      <c r="A8" s="12" t="s">
        <v>179</v>
      </c>
      <c r="C8" s="13" t="s">
        <v>180</v>
      </c>
      <c r="E8" s="14">
        <v>18.170000000000002</v>
      </c>
      <c r="F8" s="15">
        <f t="shared" si="0"/>
        <v>27.255000000000003</v>
      </c>
      <c r="G8" s="15">
        <f t="shared" si="1"/>
        <v>36.340000000000003</v>
      </c>
      <c r="I8" s="14">
        <v>518.66999999999996</v>
      </c>
      <c r="J8" s="14">
        <v>0.56999999999999995</v>
      </c>
      <c r="K8" s="14">
        <v>26</v>
      </c>
      <c r="M8" s="15">
        <f t="shared" si="2"/>
        <v>10384.60925</v>
      </c>
      <c r="X8" s="6"/>
      <c r="Z8" s="17"/>
    </row>
    <row r="9" spans="1:26" x14ac:dyDescent="0.25">
      <c r="A9" s="12" t="s">
        <v>181</v>
      </c>
      <c r="C9" s="13" t="s">
        <v>182</v>
      </c>
      <c r="E9" s="14">
        <v>31.83</v>
      </c>
      <c r="F9" s="15">
        <f t="shared" si="0"/>
        <v>47.744999999999997</v>
      </c>
      <c r="G9" s="15">
        <f t="shared" si="1"/>
        <v>63.66</v>
      </c>
      <c r="I9" s="14">
        <f>968+120+968+24</f>
        <v>2080</v>
      </c>
      <c r="J9" s="14"/>
      <c r="K9" s="14"/>
      <c r="M9" s="15">
        <f t="shared" si="2"/>
        <v>66206.399999999994</v>
      </c>
      <c r="X9" s="6"/>
      <c r="Z9" s="17"/>
    </row>
    <row r="10" spans="1:26" x14ac:dyDescent="0.25">
      <c r="A10" s="12" t="s">
        <v>183</v>
      </c>
      <c r="C10" s="13" t="s">
        <v>184</v>
      </c>
      <c r="E10" s="14">
        <v>12.5</v>
      </c>
      <c r="F10" s="15">
        <f t="shared" si="0"/>
        <v>18.75</v>
      </c>
      <c r="G10" s="15">
        <f t="shared" si="1"/>
        <v>25</v>
      </c>
      <c r="I10" s="14">
        <v>2080</v>
      </c>
      <c r="J10" s="14"/>
      <c r="K10" s="14"/>
      <c r="M10" s="15">
        <f t="shared" si="2"/>
        <v>26000</v>
      </c>
      <c r="P10" s="3" t="s">
        <v>185</v>
      </c>
      <c r="R10" s="6"/>
      <c r="X10" s="6"/>
      <c r="Z10" s="17"/>
    </row>
    <row r="11" spans="1:26" x14ac:dyDescent="0.25">
      <c r="A11" s="12" t="s">
        <v>186</v>
      </c>
      <c r="C11" s="13" t="s">
        <v>177</v>
      </c>
      <c r="E11" s="14">
        <v>17.600000000000001</v>
      </c>
      <c r="F11" s="15">
        <f t="shared" si="0"/>
        <v>26.400000000000002</v>
      </c>
      <c r="G11" s="15">
        <f t="shared" si="1"/>
        <v>35.200000000000003</v>
      </c>
      <c r="I11" s="14">
        <f>67+1912.39+100</f>
        <v>2079.3900000000003</v>
      </c>
      <c r="J11" s="14">
        <v>175.43</v>
      </c>
      <c r="K11" s="14">
        <v>4.9400000000000004</v>
      </c>
      <c r="M11" s="15">
        <f t="shared" si="2"/>
        <v>41402.504000000008</v>
      </c>
      <c r="R11" s="6"/>
      <c r="X11" s="6"/>
      <c r="Z11" s="17"/>
    </row>
    <row r="12" spans="1:26" x14ac:dyDescent="0.25">
      <c r="A12" s="12" t="s">
        <v>187</v>
      </c>
      <c r="C12" s="13" t="s">
        <v>177</v>
      </c>
      <c r="E12" s="14">
        <v>15.99</v>
      </c>
      <c r="F12" s="15">
        <f t="shared" si="0"/>
        <v>23.984999999999999</v>
      </c>
      <c r="G12" s="15">
        <f t="shared" si="1"/>
        <v>31.98</v>
      </c>
      <c r="I12" s="14">
        <f>59.75+1986.93+26.5</f>
        <v>2073.1800000000003</v>
      </c>
      <c r="J12" s="14">
        <v>196.21</v>
      </c>
      <c r="K12" s="14">
        <v>9.57</v>
      </c>
      <c r="M12" s="15">
        <f t="shared" si="2"/>
        <v>38162.293650000007</v>
      </c>
      <c r="P12" t="s">
        <v>188</v>
      </c>
      <c r="S12" s="18">
        <f>M25</f>
        <v>-16342.660450000083</v>
      </c>
      <c r="X12" s="6"/>
      <c r="Z12" s="17"/>
    </row>
    <row r="13" spans="1:26" x14ac:dyDescent="0.25">
      <c r="A13" s="12" t="s">
        <v>189</v>
      </c>
      <c r="C13" s="13" t="s">
        <v>175</v>
      </c>
      <c r="E13" s="14">
        <v>24.57</v>
      </c>
      <c r="F13" s="15">
        <f t="shared" si="0"/>
        <v>36.855000000000004</v>
      </c>
      <c r="G13" s="15">
        <f t="shared" si="1"/>
        <v>49.14</v>
      </c>
      <c r="I13" s="14">
        <f>859.58+125.17+859.25+180</f>
        <v>2024</v>
      </c>
      <c r="J13" s="14">
        <f>28.12+25.78</f>
        <v>53.900000000000006</v>
      </c>
      <c r="K13" s="14">
        <f>28+28</f>
        <v>56</v>
      </c>
      <c r="M13" s="15">
        <f t="shared" si="2"/>
        <v>54468.004499999995</v>
      </c>
      <c r="N13" s="6"/>
      <c r="P13" t="s">
        <v>190</v>
      </c>
      <c r="S13" s="19">
        <v>0.24060000000000001</v>
      </c>
      <c r="X13" s="6"/>
      <c r="Z13" s="17"/>
    </row>
    <row r="14" spans="1:26" x14ac:dyDescent="0.25">
      <c r="A14" s="12" t="s">
        <v>191</v>
      </c>
      <c r="C14" s="13" t="s">
        <v>175</v>
      </c>
      <c r="E14" s="14">
        <v>18.41</v>
      </c>
      <c r="F14" s="15">
        <f t="shared" si="0"/>
        <v>27.615000000000002</v>
      </c>
      <c r="G14" s="15">
        <f t="shared" si="1"/>
        <v>36.82</v>
      </c>
      <c r="I14" s="14">
        <f>998+998+40</f>
        <v>2036</v>
      </c>
      <c r="J14" s="14">
        <f>66.61+31.87</f>
        <v>98.48</v>
      </c>
      <c r="K14" s="14">
        <f>22.2+22.2</f>
        <v>44.4</v>
      </c>
      <c r="M14" s="15">
        <f t="shared" si="2"/>
        <v>41837.093200000003</v>
      </c>
      <c r="X14" s="6"/>
      <c r="Z14" s="17"/>
    </row>
    <row r="15" spans="1:26" ht="16.5" thickBot="1" x14ac:dyDescent="0.3">
      <c r="A15" s="12" t="s">
        <v>192</v>
      </c>
      <c r="C15" s="13" t="s">
        <v>193</v>
      </c>
      <c r="E15" s="14">
        <v>21</v>
      </c>
      <c r="F15" s="15">
        <f t="shared" si="0"/>
        <v>31.5</v>
      </c>
      <c r="G15" s="15">
        <f t="shared" si="1"/>
        <v>42</v>
      </c>
      <c r="I15" s="14">
        <f>81.13+1981.02+16</f>
        <v>2078.15</v>
      </c>
      <c r="J15" s="14">
        <v>244.64</v>
      </c>
      <c r="K15" s="14">
        <v>5.4</v>
      </c>
      <c r="M15" s="15">
        <f t="shared" si="2"/>
        <v>51574.11</v>
      </c>
      <c r="P15" t="s">
        <v>185</v>
      </c>
      <c r="S15" s="20">
        <f>S12*S13</f>
        <v>-3932.0441042700199</v>
      </c>
      <c r="X15" s="6"/>
      <c r="Z15" s="17"/>
    </row>
    <row r="16" spans="1:26" ht="16.5" thickTop="1" x14ac:dyDescent="0.25">
      <c r="A16" s="12" t="s">
        <v>194</v>
      </c>
      <c r="C16" s="13" t="s">
        <v>175</v>
      </c>
      <c r="E16" s="14">
        <v>17.149999999999999</v>
      </c>
      <c r="F16" s="15">
        <f t="shared" si="0"/>
        <v>25.724999999999998</v>
      </c>
      <c r="G16" s="15">
        <f t="shared" si="1"/>
        <v>34.299999999999997</v>
      </c>
      <c r="I16" s="14">
        <f>952+56+952+64</f>
        <v>2024</v>
      </c>
      <c r="J16" s="14">
        <f>37.39+33.82</f>
        <v>71.210000000000008</v>
      </c>
      <c r="K16" s="14">
        <f>28.18+28.19</f>
        <v>56.370000000000005</v>
      </c>
      <c r="M16" s="15">
        <f t="shared" si="2"/>
        <v>38476.968249999998</v>
      </c>
      <c r="X16" s="6"/>
      <c r="Z16" s="17"/>
    </row>
    <row r="17" spans="1:26" x14ac:dyDescent="0.25">
      <c r="A17" s="12" t="s">
        <v>195</v>
      </c>
      <c r="C17" s="13" t="s">
        <v>196</v>
      </c>
      <c r="E17" s="14">
        <v>16.89</v>
      </c>
      <c r="F17" s="15">
        <f t="shared" si="0"/>
        <v>25.335000000000001</v>
      </c>
      <c r="G17" s="15">
        <f t="shared" si="1"/>
        <v>33.78</v>
      </c>
      <c r="I17" s="9">
        <f>2047.88+8.12+24</f>
        <v>2080</v>
      </c>
      <c r="J17" s="14">
        <v>8.83</v>
      </c>
      <c r="K17" s="14"/>
      <c r="M17" s="15">
        <f t="shared" si="2"/>
        <v>35354.908050000005</v>
      </c>
      <c r="X17" s="6"/>
      <c r="Z17" s="17"/>
    </row>
    <row r="18" spans="1:26" x14ac:dyDescent="0.25">
      <c r="A18" s="12" t="s">
        <v>197</v>
      </c>
      <c r="C18" s="13" t="s">
        <v>198</v>
      </c>
      <c r="E18" s="14">
        <v>17.16</v>
      </c>
      <c r="F18" s="15">
        <f t="shared" si="0"/>
        <v>25.740000000000002</v>
      </c>
      <c r="G18" s="15">
        <f t="shared" si="1"/>
        <v>34.32</v>
      </c>
      <c r="I18" s="14">
        <f>2040.66+25.47+13.87</f>
        <v>2080</v>
      </c>
      <c r="J18" s="14">
        <v>2.19</v>
      </c>
      <c r="K18" s="14"/>
      <c r="M18" s="15">
        <f t="shared" si="2"/>
        <v>35749.170600000005</v>
      </c>
      <c r="X18" s="6"/>
      <c r="Z18" s="17"/>
    </row>
    <row r="19" spans="1:26" x14ac:dyDescent="0.25">
      <c r="A19" s="12" t="s">
        <v>199</v>
      </c>
      <c r="C19" s="13" t="s">
        <v>200</v>
      </c>
      <c r="E19" s="21">
        <v>26.91</v>
      </c>
      <c r="F19" s="15">
        <f t="shared" si="0"/>
        <v>40.365000000000002</v>
      </c>
      <c r="G19" s="15">
        <f t="shared" si="1"/>
        <v>53.82</v>
      </c>
      <c r="I19" s="21">
        <f>2015.34+17.24+47.42</f>
        <v>2080</v>
      </c>
      <c r="J19" s="21">
        <v>5.53</v>
      </c>
      <c r="K19" s="21"/>
      <c r="M19" s="15">
        <f t="shared" si="2"/>
        <v>56196.018450000003</v>
      </c>
      <c r="X19" s="6"/>
      <c r="Z19" s="17"/>
    </row>
    <row r="20" spans="1:26" x14ac:dyDescent="0.25">
      <c r="A20" s="12" t="s">
        <v>201</v>
      </c>
      <c r="C20" s="13" t="s">
        <v>177</v>
      </c>
      <c r="E20" s="22">
        <v>13</v>
      </c>
      <c r="F20" s="23">
        <f t="shared" si="0"/>
        <v>19.5</v>
      </c>
      <c r="G20" s="23">
        <f t="shared" si="1"/>
        <v>26</v>
      </c>
      <c r="I20" s="22">
        <v>2080</v>
      </c>
      <c r="J20" s="22"/>
      <c r="K20" s="22"/>
      <c r="M20" s="23">
        <f t="shared" si="2"/>
        <v>27040</v>
      </c>
    </row>
    <row r="21" spans="1:26" x14ac:dyDescent="0.25">
      <c r="Z21" s="24"/>
    </row>
    <row r="22" spans="1:26" x14ac:dyDescent="0.25">
      <c r="C22" s="13" t="s">
        <v>116</v>
      </c>
      <c r="J22" s="13" t="s">
        <v>202</v>
      </c>
      <c r="M22" s="25">
        <f>SUM(M3:M20)</f>
        <v>681990.33954999992</v>
      </c>
    </row>
    <row r="23" spans="1:26" x14ac:dyDescent="0.25">
      <c r="J23" s="13" t="s">
        <v>203</v>
      </c>
      <c r="M23" s="22">
        <v>-698333</v>
      </c>
    </row>
    <row r="25" spans="1:26" ht="16.5" thickBot="1" x14ac:dyDescent="0.3">
      <c r="E25" s="75"/>
      <c r="F25" s="75"/>
      <c r="G25" s="10"/>
      <c r="I25" s="26"/>
      <c r="J25" t="s">
        <v>117</v>
      </c>
      <c r="M25" s="27">
        <f>SUM(M22:M24)</f>
        <v>-16342.660450000083</v>
      </c>
    </row>
    <row r="26" spans="1:26" ht="16.5" thickTop="1" x14ac:dyDescent="0.25">
      <c r="A26" s="10"/>
      <c r="C26" s="10"/>
      <c r="E26" s="10"/>
      <c r="F26" s="10"/>
      <c r="G26" s="10"/>
      <c r="I26" s="10"/>
    </row>
    <row r="27" spans="1:26" x14ac:dyDescent="0.25">
      <c r="A27" s="13"/>
      <c r="C27" s="13"/>
      <c r="E27" s="21"/>
      <c r="F27" s="15"/>
      <c r="G27" s="15"/>
    </row>
    <row r="28" spans="1:26" x14ac:dyDescent="0.25">
      <c r="A28" s="13"/>
      <c r="C28" s="13"/>
      <c r="E28" s="21"/>
      <c r="F28" s="15"/>
      <c r="G28" s="15"/>
    </row>
    <row r="29" spans="1:26" x14ac:dyDescent="0.25">
      <c r="A29" s="13"/>
      <c r="C29" s="13"/>
      <c r="E29" s="21"/>
      <c r="F29" s="15"/>
      <c r="G29" s="15"/>
    </row>
    <row r="30" spans="1:26" x14ac:dyDescent="0.25">
      <c r="A30" s="13"/>
      <c r="C30" s="13"/>
      <c r="E30" s="21"/>
      <c r="F30" s="15"/>
      <c r="G30" s="15"/>
    </row>
    <row r="31" spans="1:26" x14ac:dyDescent="0.25">
      <c r="A31" s="13"/>
      <c r="C31" s="13"/>
      <c r="E31" s="21"/>
      <c r="F31" s="15"/>
      <c r="G31" s="15"/>
    </row>
    <row r="32" spans="1:26" x14ac:dyDescent="0.25">
      <c r="A32" s="13"/>
      <c r="C32" s="13"/>
      <c r="E32" s="21"/>
      <c r="F32" s="15"/>
      <c r="G32" s="15"/>
    </row>
    <row r="33" spans="1:7" x14ac:dyDescent="0.25">
      <c r="A33" s="13"/>
      <c r="C33" s="13"/>
      <c r="E33" s="21"/>
      <c r="F33" s="15"/>
      <c r="G33" s="15"/>
    </row>
    <row r="34" spans="1:7" x14ac:dyDescent="0.25">
      <c r="A34" s="13"/>
      <c r="C34" s="13"/>
      <c r="E34" s="21"/>
      <c r="F34" s="15"/>
      <c r="G34" s="15"/>
    </row>
    <row r="35" spans="1:7" x14ac:dyDescent="0.25">
      <c r="A35" s="13"/>
      <c r="C35" s="13"/>
      <c r="E35" s="21"/>
      <c r="F35" s="15"/>
      <c r="G35" s="15"/>
    </row>
    <row r="36" spans="1:7" x14ac:dyDescent="0.25">
      <c r="A36" s="13"/>
      <c r="C36" s="13"/>
      <c r="E36" s="21"/>
      <c r="F36" s="15"/>
      <c r="G36" s="15"/>
    </row>
    <row r="37" spans="1:7" x14ac:dyDescent="0.25">
      <c r="A37" s="13"/>
      <c r="C37" s="13"/>
      <c r="E37" s="21"/>
      <c r="F37" s="15"/>
      <c r="G37" s="15"/>
    </row>
    <row r="38" spans="1:7" x14ac:dyDescent="0.25">
      <c r="A38" s="13"/>
      <c r="C38" s="13"/>
      <c r="E38" s="21"/>
      <c r="F38" s="15"/>
      <c r="G38" s="15"/>
    </row>
    <row r="39" spans="1:7" x14ac:dyDescent="0.25">
      <c r="A39" s="13"/>
      <c r="C39" s="13"/>
      <c r="E39" s="21"/>
      <c r="F39" s="15"/>
      <c r="G39" s="15"/>
    </row>
    <row r="40" spans="1:7" x14ac:dyDescent="0.25">
      <c r="A40" s="13"/>
      <c r="C40" s="13"/>
      <c r="E40" s="21"/>
      <c r="F40" s="15"/>
      <c r="G40" s="15"/>
    </row>
    <row r="41" spans="1:7" x14ac:dyDescent="0.25">
      <c r="A41" s="13"/>
      <c r="C41" s="13"/>
      <c r="E41" s="21"/>
      <c r="F41" s="15"/>
      <c r="G41" s="15"/>
    </row>
    <row r="42" spans="1:7" x14ac:dyDescent="0.25">
      <c r="A42" s="13"/>
      <c r="C42" s="13"/>
      <c r="E42" s="21"/>
      <c r="F42" s="15"/>
      <c r="G42" s="15"/>
    </row>
    <row r="43" spans="1:7" x14ac:dyDescent="0.25">
      <c r="A43" s="13"/>
      <c r="C43" s="13"/>
      <c r="E43" s="21"/>
      <c r="F43" s="15"/>
      <c r="G43" s="15"/>
    </row>
    <row r="44" spans="1:7" x14ac:dyDescent="0.25">
      <c r="A44" s="13"/>
      <c r="C44" s="13"/>
      <c r="E44" s="21"/>
      <c r="F44" s="15"/>
      <c r="G44" s="15"/>
    </row>
    <row r="46" spans="1:7" x14ac:dyDescent="0.25">
      <c r="C46" s="13"/>
    </row>
    <row r="49" spans="1:13" x14ac:dyDescent="0.25">
      <c r="E49" s="75"/>
      <c r="F49" s="75"/>
      <c r="G49" s="10"/>
      <c r="I49" s="75"/>
      <c r="J49" s="75"/>
      <c r="K49" s="10"/>
      <c r="M49" s="10"/>
    </row>
    <row r="50" spans="1:13" x14ac:dyDescent="0.25">
      <c r="A50" s="10"/>
      <c r="C50" s="10"/>
      <c r="E50" s="10"/>
      <c r="F50" s="10"/>
      <c r="G50" s="10"/>
      <c r="I50" s="10"/>
      <c r="J50" s="10"/>
      <c r="K50" s="10"/>
      <c r="M50" s="10"/>
    </row>
    <row r="51" spans="1:13" x14ac:dyDescent="0.25">
      <c r="A51" s="13"/>
      <c r="C51" s="13"/>
      <c r="E51" s="21"/>
      <c r="F51" s="15"/>
      <c r="G51" s="15"/>
    </row>
    <row r="52" spans="1:13" x14ac:dyDescent="0.25">
      <c r="A52" s="13"/>
      <c r="C52" s="13"/>
      <c r="E52" s="21"/>
      <c r="F52" s="15"/>
      <c r="G52" s="15"/>
    </row>
    <row r="53" spans="1:13" x14ac:dyDescent="0.25">
      <c r="A53" s="13"/>
      <c r="C53" s="13"/>
      <c r="E53" s="21"/>
      <c r="F53" s="15"/>
      <c r="G53" s="15"/>
    </row>
    <row r="54" spans="1:13" x14ac:dyDescent="0.25">
      <c r="A54" s="13"/>
      <c r="C54" s="13"/>
      <c r="E54" s="21"/>
      <c r="F54" s="15"/>
      <c r="G54" s="15"/>
    </row>
    <row r="55" spans="1:13" x14ac:dyDescent="0.25">
      <c r="A55" s="13"/>
      <c r="C55" s="13"/>
      <c r="E55" s="21"/>
      <c r="F55" s="15"/>
      <c r="G55" s="15"/>
    </row>
    <row r="56" spans="1:13" x14ac:dyDescent="0.25">
      <c r="A56" s="13"/>
      <c r="C56" s="13"/>
      <c r="E56" s="21"/>
      <c r="F56" s="15"/>
      <c r="G56" s="15"/>
    </row>
    <row r="57" spans="1:13" x14ac:dyDescent="0.25">
      <c r="A57" s="13"/>
      <c r="C57" s="13"/>
      <c r="E57" s="21"/>
      <c r="F57" s="15"/>
      <c r="G57" s="15"/>
    </row>
    <row r="58" spans="1:13" x14ac:dyDescent="0.25">
      <c r="A58" s="13"/>
      <c r="C58" s="13"/>
      <c r="E58" s="21"/>
      <c r="F58" s="15"/>
      <c r="G58" s="15"/>
    </row>
    <row r="59" spans="1:13" x14ac:dyDescent="0.25">
      <c r="A59" s="13"/>
      <c r="C59" s="13"/>
      <c r="E59" s="21"/>
      <c r="F59" s="15"/>
      <c r="G59" s="15"/>
    </row>
    <row r="60" spans="1:13" x14ac:dyDescent="0.25">
      <c r="A60" s="13"/>
      <c r="C60" s="13"/>
      <c r="E60" s="21"/>
      <c r="F60" s="15"/>
      <c r="G60" s="15"/>
    </row>
    <row r="61" spans="1:13" x14ac:dyDescent="0.25">
      <c r="A61" s="13"/>
      <c r="C61" s="13"/>
      <c r="E61" s="21"/>
      <c r="F61" s="15"/>
      <c r="G61" s="15"/>
    </row>
    <row r="62" spans="1:13" x14ac:dyDescent="0.25">
      <c r="A62" s="13"/>
      <c r="C62" s="13"/>
      <c r="E62" s="21"/>
      <c r="F62" s="15"/>
      <c r="G62" s="15"/>
    </row>
    <row r="63" spans="1:13" x14ac:dyDescent="0.25">
      <c r="A63" s="13"/>
      <c r="C63" s="13"/>
      <c r="E63" s="21"/>
      <c r="F63" s="15"/>
      <c r="G63" s="15"/>
    </row>
    <row r="64" spans="1:13" x14ac:dyDescent="0.25">
      <c r="A64" s="13"/>
      <c r="C64" s="13"/>
      <c r="E64" s="21"/>
      <c r="F64" s="15"/>
      <c r="G64" s="15"/>
    </row>
    <row r="65" spans="1:7" x14ac:dyDescent="0.25">
      <c r="A65" s="13"/>
      <c r="C65" s="13"/>
      <c r="E65" s="21"/>
      <c r="F65" s="15"/>
      <c r="G65" s="15"/>
    </row>
    <row r="66" spans="1:7" x14ac:dyDescent="0.25">
      <c r="A66" s="13"/>
      <c r="C66" s="13"/>
      <c r="E66" s="21"/>
      <c r="F66" s="15"/>
      <c r="G66" s="15"/>
    </row>
    <row r="67" spans="1:7" x14ac:dyDescent="0.25">
      <c r="A67" s="13"/>
      <c r="C67" s="13"/>
      <c r="E67" s="21"/>
      <c r="F67" s="15"/>
      <c r="G67" s="15"/>
    </row>
    <row r="68" spans="1:7" x14ac:dyDescent="0.25">
      <c r="A68" s="13"/>
      <c r="C68" s="13"/>
      <c r="E68" s="21"/>
      <c r="F68" s="15"/>
      <c r="G68" s="15"/>
    </row>
    <row r="70" spans="1:7" x14ac:dyDescent="0.25">
      <c r="C70" s="13"/>
    </row>
  </sheetData>
  <mergeCells count="5">
    <mergeCell ref="E1:G1"/>
    <mergeCell ref="I1:K1"/>
    <mergeCell ref="E25:F25"/>
    <mergeCell ref="E49:F49"/>
    <mergeCell ref="I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BEDA-A696-464E-97FD-82D91B0031F3}">
  <dimension ref="A1:BD186"/>
  <sheetViews>
    <sheetView tabSelected="1" workbookViewId="0">
      <selection activeCell="R34" sqref="R34"/>
    </sheetView>
  </sheetViews>
  <sheetFormatPr defaultRowHeight="15.75" x14ac:dyDescent="0.25"/>
  <cols>
    <col min="2" max="2" width="4.625" customWidth="1"/>
    <col min="3" max="3" width="26.75" bestFit="1" customWidth="1"/>
    <col min="5" max="5" width="10.125" bestFit="1" customWidth="1"/>
    <col min="7" max="7" width="13.625" bestFit="1" customWidth="1"/>
    <col min="10" max="10" width="34.875" bestFit="1" customWidth="1"/>
    <col min="12" max="12" width="12.125" bestFit="1" customWidth="1"/>
    <col min="14" max="14" width="12.125" bestFit="1" customWidth="1"/>
    <col min="15" max="15" width="11.125" bestFit="1" customWidth="1"/>
    <col min="16" max="16" width="13" customWidth="1"/>
    <col min="17" max="17" width="11.125" bestFit="1" customWidth="1"/>
    <col min="18" max="18" width="11.125" customWidth="1"/>
    <col min="19" max="19" width="15.375" bestFit="1" customWidth="1"/>
    <col min="20" max="20" width="2.125" customWidth="1"/>
    <col min="21" max="21" width="4.625" bestFit="1" customWidth="1"/>
    <col min="22" max="22" width="2.125" customWidth="1"/>
    <col min="23" max="23" width="33.125" bestFit="1" customWidth="1"/>
    <col min="24" max="24" width="2.125" customWidth="1"/>
    <col min="25" max="25" width="11.75" bestFit="1" customWidth="1"/>
    <col min="26" max="26" width="12.625" customWidth="1"/>
    <col min="27" max="27" width="9.875" bestFit="1" customWidth="1"/>
    <col min="28" max="28" width="2.125" customWidth="1"/>
    <col min="29" max="29" width="10.125" bestFit="1" customWidth="1"/>
    <col min="30" max="30" width="2.125" customWidth="1"/>
    <col min="35" max="36" width="11.125" bestFit="1" customWidth="1"/>
    <col min="38" max="38" width="11.125" bestFit="1" customWidth="1"/>
  </cols>
  <sheetData>
    <row r="1" spans="2:56" x14ac:dyDescent="0.25">
      <c r="C1" s="28" t="s">
        <v>204</v>
      </c>
    </row>
    <row r="2" spans="2:56" x14ac:dyDescent="0.25">
      <c r="C2" s="29"/>
    </row>
    <row r="3" spans="2:56" x14ac:dyDescent="0.25">
      <c r="G3" s="10" t="s">
        <v>205</v>
      </c>
    </row>
    <row r="4" spans="2:56" ht="16.5" thickBot="1" x14ac:dyDescent="0.3">
      <c r="E4" s="1" t="s">
        <v>206</v>
      </c>
      <c r="G4" s="1" t="s">
        <v>207</v>
      </c>
      <c r="N4" s="1" t="s">
        <v>116</v>
      </c>
      <c r="S4" s="9" t="s">
        <v>208</v>
      </c>
      <c r="T4" s="9"/>
      <c r="U4" s="9"/>
      <c r="W4" s="9"/>
      <c r="Y4" s="9" t="s">
        <v>209</v>
      </c>
      <c r="AC4" s="9"/>
    </row>
    <row r="5" spans="2:56" x14ac:dyDescent="0.25">
      <c r="S5" s="30" t="s">
        <v>210</v>
      </c>
      <c r="T5" s="9"/>
      <c r="U5" s="30" t="s">
        <v>211</v>
      </c>
      <c r="W5" s="30" t="s">
        <v>117</v>
      </c>
      <c r="Y5" s="30" t="s">
        <v>212</v>
      </c>
      <c r="Z5" s="9"/>
      <c r="AA5" s="31"/>
      <c r="AC5" s="9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</row>
    <row r="6" spans="2:56" x14ac:dyDescent="0.25">
      <c r="B6" s="3" t="s">
        <v>213</v>
      </c>
      <c r="J6" t="s">
        <v>214</v>
      </c>
      <c r="L6" t="s">
        <v>215</v>
      </c>
      <c r="N6" s="18">
        <f>G7+G55+G133</f>
        <v>348.87</v>
      </c>
      <c r="P6" t="s">
        <v>216</v>
      </c>
      <c r="S6" s="32">
        <f>N18+N19</f>
        <v>3183.43</v>
      </c>
      <c r="T6" s="6"/>
      <c r="U6" s="24">
        <v>0.22</v>
      </c>
      <c r="W6" s="6">
        <f>S6*U6</f>
        <v>700.3546</v>
      </c>
      <c r="Y6" s="32">
        <f>S6-W6</f>
        <v>2483.0753999999997</v>
      </c>
      <c r="Z6" s="24"/>
      <c r="AA6" s="24"/>
      <c r="AC6" s="6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2:56" x14ac:dyDescent="0.25">
      <c r="C7" t="s">
        <v>214</v>
      </c>
      <c r="E7" t="s">
        <v>215</v>
      </c>
      <c r="G7" s="32">
        <v>116.29</v>
      </c>
      <c r="J7" t="s">
        <v>214</v>
      </c>
      <c r="L7" t="s">
        <v>217</v>
      </c>
      <c r="N7" s="6">
        <f>G17+G27+G37+G47+G94+G113+G154</f>
        <v>441.63000000000011</v>
      </c>
      <c r="P7" t="s">
        <v>218</v>
      </c>
      <c r="R7" s="5"/>
      <c r="S7" s="6">
        <f>N15+N16+N17</f>
        <v>10863.5</v>
      </c>
      <c r="U7" s="24">
        <v>0.34</v>
      </c>
      <c r="W7" s="6">
        <f t="shared" ref="W7:W10" si="0">S7*U7</f>
        <v>3693.59</v>
      </c>
      <c r="Y7" s="6">
        <f t="shared" ref="Y7:Y10" si="1">S7-W7</f>
        <v>7169.91</v>
      </c>
      <c r="AA7" s="24"/>
      <c r="AC7" s="33"/>
      <c r="AG7" s="43"/>
      <c r="AH7" s="43"/>
      <c r="AI7" s="33"/>
      <c r="AJ7" s="43"/>
      <c r="AK7" s="43"/>
      <c r="AL7" s="43"/>
      <c r="AM7" s="43"/>
      <c r="AN7" s="43"/>
      <c r="AO7" s="43"/>
      <c r="AP7" s="43"/>
      <c r="AQ7" s="43"/>
      <c r="AR7" s="44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2:56" x14ac:dyDescent="0.25">
      <c r="C8" t="s">
        <v>219</v>
      </c>
      <c r="E8" t="s">
        <v>220</v>
      </c>
      <c r="G8" s="5">
        <v>24.98</v>
      </c>
      <c r="J8" t="s">
        <v>214</v>
      </c>
      <c r="L8" t="s">
        <v>221</v>
      </c>
      <c r="N8" s="6">
        <f>G65+G84+G123+G144</f>
        <v>108.68</v>
      </c>
      <c r="P8" t="s">
        <v>10</v>
      </c>
      <c r="R8" s="6"/>
      <c r="S8" s="6">
        <f>SUM(N10:N14)</f>
        <v>966.41</v>
      </c>
      <c r="W8" s="6">
        <f t="shared" si="0"/>
        <v>0</v>
      </c>
      <c r="Y8" s="6">
        <f t="shared" si="1"/>
        <v>966.41</v>
      </c>
      <c r="AC8" s="6"/>
      <c r="AG8" s="43"/>
      <c r="AH8" s="43"/>
      <c r="AI8" s="3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2:56" x14ac:dyDescent="0.25">
      <c r="C9" t="s">
        <v>222</v>
      </c>
      <c r="E9" t="s">
        <v>223</v>
      </c>
      <c r="G9" s="5">
        <v>2</v>
      </c>
      <c r="J9" t="s">
        <v>214</v>
      </c>
      <c r="L9" t="s">
        <v>224</v>
      </c>
      <c r="N9" s="6">
        <f>G74+G103</f>
        <v>144.38</v>
      </c>
      <c r="P9" t="s">
        <v>225</v>
      </c>
      <c r="R9" s="6"/>
      <c r="S9" s="18">
        <f>SUM(N6:N9)</f>
        <v>1043.56</v>
      </c>
      <c r="U9" s="24">
        <v>0.6</v>
      </c>
      <c r="W9" s="6">
        <f t="shared" si="0"/>
        <v>626.13599999999997</v>
      </c>
      <c r="Y9" s="6">
        <f>S9-W9</f>
        <v>417.42399999999998</v>
      </c>
      <c r="AC9" s="6"/>
      <c r="AG9" s="43"/>
      <c r="AH9" s="43"/>
      <c r="AI9" s="3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</row>
    <row r="10" spans="2:56" x14ac:dyDescent="0.25">
      <c r="C10" t="s">
        <v>222</v>
      </c>
      <c r="E10" t="s">
        <v>226</v>
      </c>
      <c r="G10" s="5">
        <v>18.5</v>
      </c>
      <c r="J10" t="s">
        <v>219</v>
      </c>
      <c r="L10" t="s">
        <v>220</v>
      </c>
      <c r="N10" s="6">
        <f>G8+G18+G28+G38+G56+G66+G75+G85+G95+G104+G114+G124+G134+G145+G155</f>
        <v>378.96999999999997</v>
      </c>
      <c r="P10" t="s">
        <v>227</v>
      </c>
      <c r="S10" s="6">
        <f>SUM(N20:N21)</f>
        <v>57.320000000000007</v>
      </c>
      <c r="W10" s="6">
        <f t="shared" si="0"/>
        <v>0</v>
      </c>
      <c r="Y10" s="7">
        <f t="shared" si="1"/>
        <v>57.320000000000007</v>
      </c>
      <c r="AG10" s="43"/>
      <c r="AH10" s="43"/>
      <c r="AI10" s="3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2:56" x14ac:dyDescent="0.25">
      <c r="C11" t="s">
        <v>228</v>
      </c>
      <c r="E11" t="s">
        <v>229</v>
      </c>
      <c r="G11" s="5">
        <v>19.36</v>
      </c>
      <c r="J11" t="s">
        <v>222</v>
      </c>
      <c r="L11" t="s">
        <v>223</v>
      </c>
      <c r="N11" s="6">
        <f>G9+G19+G29+G39+G48+G57+G67+G76+G86+G96+G105+G115+G125+G135+G146+G156</f>
        <v>29.6</v>
      </c>
      <c r="S11" s="6"/>
      <c r="W11" s="6"/>
      <c r="AC11" s="6"/>
      <c r="AG11" s="43"/>
      <c r="AH11" s="43"/>
      <c r="AI11" s="3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2:56" x14ac:dyDescent="0.25">
      <c r="C12" t="s">
        <v>230</v>
      </c>
      <c r="E12" t="s">
        <v>224</v>
      </c>
      <c r="G12" s="34">
        <v>1083</v>
      </c>
      <c r="J12" t="s">
        <v>222</v>
      </c>
      <c r="L12" t="s">
        <v>226</v>
      </c>
      <c r="N12" s="6">
        <f>G10+G20+G30+G40+G49+G58+G68+G77+G87+G97+G106+G116+G126+G136+G147+G157</f>
        <v>273.81</v>
      </c>
      <c r="R12" s="6"/>
      <c r="S12" s="6">
        <f>SUM(S6:S10)</f>
        <v>16114.22</v>
      </c>
      <c r="W12" t="s">
        <v>231</v>
      </c>
      <c r="Y12" s="6">
        <f>SUM(Y6:Y10)</f>
        <v>11094.1394</v>
      </c>
      <c r="AC12" s="35"/>
      <c r="AG12" s="43"/>
      <c r="AH12" s="43"/>
      <c r="AI12" s="3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</row>
    <row r="13" spans="2:56" x14ac:dyDescent="0.25">
      <c r="J13" t="s">
        <v>228</v>
      </c>
      <c r="L13" t="s">
        <v>229</v>
      </c>
      <c r="N13" s="6">
        <f>G11+G21+G31+G41+G59+G78+G88+G98+G107+G117+G127</f>
        <v>219.54</v>
      </c>
      <c r="W13" t="s">
        <v>232</v>
      </c>
      <c r="Y13" s="36">
        <v>12</v>
      </c>
      <c r="AG13" s="43"/>
      <c r="AH13" s="43"/>
      <c r="AI13" s="3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</row>
    <row r="14" spans="2:56" ht="16.5" thickBot="1" x14ac:dyDescent="0.3">
      <c r="E14" t="s">
        <v>116</v>
      </c>
      <c r="G14" s="20">
        <f>SUM(G7:G13)</f>
        <v>1264.1300000000001</v>
      </c>
      <c r="J14" t="s">
        <v>228</v>
      </c>
      <c r="L14" t="s">
        <v>233</v>
      </c>
      <c r="N14" s="6">
        <f>G137+G148+G158</f>
        <v>64.489999999999995</v>
      </c>
      <c r="AG14" s="43"/>
      <c r="AH14" s="43"/>
      <c r="AI14" s="3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</row>
    <row r="15" spans="2:56" ht="16.5" thickTop="1" x14ac:dyDescent="0.25">
      <c r="J15" t="s">
        <v>230</v>
      </c>
      <c r="L15" t="s">
        <v>224</v>
      </c>
      <c r="N15" s="6">
        <f>G12+G79+G108</f>
        <v>3249</v>
      </c>
      <c r="W15" t="s">
        <v>234</v>
      </c>
      <c r="Y15" s="5">
        <f>Y12*Y13</f>
        <v>133129.6728</v>
      </c>
      <c r="AG15" s="43"/>
      <c r="AH15" s="43"/>
      <c r="AI15" s="3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</row>
    <row r="16" spans="2:56" x14ac:dyDescent="0.25">
      <c r="B16" s="3" t="s">
        <v>171</v>
      </c>
      <c r="J16" t="s">
        <v>230</v>
      </c>
      <c r="L16" t="s">
        <v>217</v>
      </c>
      <c r="N16" s="6">
        <f>G32+G42+G118</f>
        <v>3784.0199999999995</v>
      </c>
      <c r="W16" t="s">
        <v>235</v>
      </c>
      <c r="Y16" s="42">
        <v>-172409.96</v>
      </c>
      <c r="Z16" s="9" t="s">
        <v>236</v>
      </c>
      <c r="AG16" s="43"/>
      <c r="AH16" s="43"/>
      <c r="AI16" s="3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</row>
    <row r="17" spans="2:56" x14ac:dyDescent="0.25">
      <c r="C17" t="s">
        <v>214</v>
      </c>
      <c r="E17" t="s">
        <v>217</v>
      </c>
      <c r="G17" s="5">
        <v>63.09</v>
      </c>
      <c r="J17" t="s">
        <v>230</v>
      </c>
      <c r="L17" t="s">
        <v>215</v>
      </c>
      <c r="N17" s="6">
        <f>G60+G138</f>
        <v>3830.48</v>
      </c>
      <c r="AG17" s="43"/>
      <c r="AH17" s="43"/>
      <c r="AI17" s="3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</row>
    <row r="18" spans="2:56" ht="16.5" thickBot="1" x14ac:dyDescent="0.3">
      <c r="C18" t="s">
        <v>219</v>
      </c>
      <c r="E18" t="s">
        <v>220</v>
      </c>
      <c r="G18" s="5">
        <v>14.47</v>
      </c>
      <c r="J18" t="s">
        <v>230</v>
      </c>
      <c r="L18" t="s">
        <v>221</v>
      </c>
      <c r="N18" s="6">
        <f>G69+G89+G128+G149</f>
        <v>2429.7199999999998</v>
      </c>
      <c r="W18" t="s">
        <v>237</v>
      </c>
      <c r="Y18" s="37">
        <f>SUM(Y15:Y16)</f>
        <v>-39280.287199999992</v>
      </c>
      <c r="AG18" s="43"/>
      <c r="AH18" s="43"/>
      <c r="AI18" s="3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</row>
    <row r="19" spans="2:56" ht="16.5" thickTop="1" x14ac:dyDescent="0.25">
      <c r="C19" t="s">
        <v>222</v>
      </c>
      <c r="E19" t="s">
        <v>223</v>
      </c>
      <c r="G19" s="5">
        <v>1.3</v>
      </c>
      <c r="J19" t="s">
        <v>238</v>
      </c>
      <c r="N19" s="6">
        <f>G159</f>
        <v>753.71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</row>
    <row r="20" spans="2:56" x14ac:dyDescent="0.25">
      <c r="C20" t="s">
        <v>222</v>
      </c>
      <c r="E20" t="s">
        <v>226</v>
      </c>
      <c r="G20" s="5">
        <v>12.03</v>
      </c>
      <c r="J20" t="s">
        <v>239</v>
      </c>
      <c r="L20" t="s">
        <v>217</v>
      </c>
      <c r="N20" s="6">
        <f>G22+G50+G99+G160</f>
        <v>40.880000000000003</v>
      </c>
      <c r="Y20" s="15" t="s">
        <v>240</v>
      </c>
      <c r="AG20" s="43"/>
      <c r="AH20" s="43"/>
      <c r="AI20" s="45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</row>
    <row r="21" spans="2:56" x14ac:dyDescent="0.25">
      <c r="C21" t="s">
        <v>228</v>
      </c>
      <c r="E21" t="s">
        <v>229</v>
      </c>
      <c r="G21" s="5">
        <v>13.54</v>
      </c>
      <c r="J21" t="s">
        <v>239</v>
      </c>
      <c r="L21" t="s">
        <v>215</v>
      </c>
      <c r="N21" s="7">
        <f>G139</f>
        <v>16.440000000000001</v>
      </c>
      <c r="S21" s="30" t="s">
        <v>241</v>
      </c>
      <c r="U21" s="19" t="s">
        <v>211</v>
      </c>
      <c r="W21" s="30" t="s">
        <v>117</v>
      </c>
      <c r="Y21" s="30" t="s">
        <v>212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</row>
    <row r="22" spans="2:56" x14ac:dyDescent="0.25">
      <c r="C22" t="s">
        <v>239</v>
      </c>
      <c r="E22" t="s">
        <v>217</v>
      </c>
      <c r="G22" s="34">
        <v>10.220000000000001</v>
      </c>
      <c r="P22" t="s">
        <v>242</v>
      </c>
      <c r="S22" s="32">
        <f>O37</f>
        <v>4335.5599999999995</v>
      </c>
      <c r="U22" s="24">
        <v>0.34</v>
      </c>
      <c r="W22" s="6">
        <f>S22*U22</f>
        <v>1474.0904</v>
      </c>
      <c r="Y22" s="39">
        <f>S22-W22</f>
        <v>2861.4695999999994</v>
      </c>
      <c r="AG22" s="43"/>
      <c r="AH22" s="43"/>
      <c r="AI22" s="45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</row>
    <row r="23" spans="2:56" x14ac:dyDescent="0.25">
      <c r="L23" t="s">
        <v>243</v>
      </c>
      <c r="N23" s="18">
        <f>SUM(N6:N22)</f>
        <v>16114.219999999998</v>
      </c>
      <c r="O23" s="18">
        <f>G14+G24+G34+G44+G52+G62+G71+G81+G91+G101+G110+G120+G130+G141+G151+G162</f>
        <v>16114.220000000001</v>
      </c>
      <c r="S23" s="18"/>
      <c r="T23" s="18"/>
      <c r="U23" s="18"/>
      <c r="V23" s="18"/>
      <c r="W23" s="18"/>
      <c r="X23" s="18"/>
      <c r="Y23" s="18"/>
      <c r="Z23" s="18"/>
      <c r="AA23" s="18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</row>
    <row r="24" spans="2:56" ht="16.5" thickBot="1" x14ac:dyDescent="0.3">
      <c r="E24" t="s">
        <v>116</v>
      </c>
      <c r="G24" s="38">
        <f>SUM(G17:G23)</f>
        <v>114.65</v>
      </c>
      <c r="L24" t="s">
        <v>232</v>
      </c>
      <c r="N24" s="19">
        <v>12</v>
      </c>
      <c r="W24" t="s">
        <v>244</v>
      </c>
      <c r="Y24" s="6">
        <f>Y22</f>
        <v>2861.4695999999994</v>
      </c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</row>
    <row r="25" spans="2:56" ht="16.5" thickTop="1" x14ac:dyDescent="0.25">
      <c r="W25" t="s">
        <v>235</v>
      </c>
      <c r="Y25" s="7">
        <f>-L71</f>
        <v>-4037.0499999999993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</row>
    <row r="26" spans="2:56" x14ac:dyDescent="0.25">
      <c r="B26" s="3" t="s">
        <v>174</v>
      </c>
      <c r="L26" t="s">
        <v>245</v>
      </c>
      <c r="N26" s="18">
        <f>N23*N24</f>
        <v>193370.63999999996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</row>
    <row r="27" spans="2:56" ht="16.5" thickBot="1" x14ac:dyDescent="0.3">
      <c r="C27" t="s">
        <v>214</v>
      </c>
      <c r="E27" t="s">
        <v>217</v>
      </c>
      <c r="G27" s="5">
        <v>63.09</v>
      </c>
      <c r="W27" t="s">
        <v>246</v>
      </c>
      <c r="Y27" s="37">
        <f>SUM(Y24:Y25)</f>
        <v>-1175.5803999999998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</row>
    <row r="28" spans="2:56" ht="16.5" thickTop="1" x14ac:dyDescent="0.25">
      <c r="C28" t="s">
        <v>219</v>
      </c>
      <c r="E28" t="s">
        <v>220</v>
      </c>
      <c r="G28" s="5">
        <v>25.23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</row>
    <row r="29" spans="2:56" x14ac:dyDescent="0.25">
      <c r="C29" t="s">
        <v>222</v>
      </c>
      <c r="E29" t="s">
        <v>223</v>
      </c>
      <c r="G29" s="5">
        <v>2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</row>
    <row r="30" spans="2:56" ht="16.5" thickBot="1" x14ac:dyDescent="0.3">
      <c r="C30" t="s">
        <v>222</v>
      </c>
      <c r="E30" t="s">
        <v>226</v>
      </c>
      <c r="G30" s="5">
        <v>18.5</v>
      </c>
      <c r="W30" t="s">
        <v>247</v>
      </c>
      <c r="Y30" s="20">
        <f>Y18+Y27</f>
        <v>-40455.86759999999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</row>
    <row r="31" spans="2:56" ht="16.5" thickTop="1" x14ac:dyDescent="0.25">
      <c r="C31" t="s">
        <v>228</v>
      </c>
      <c r="E31" t="s">
        <v>229</v>
      </c>
      <c r="G31" s="5">
        <v>19.55</v>
      </c>
      <c r="AG31" s="43"/>
      <c r="AH31" s="43"/>
      <c r="AI31" s="43"/>
      <c r="AJ31" s="45"/>
      <c r="AK31" s="43"/>
      <c r="AL31" s="45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</row>
    <row r="32" spans="2:56" x14ac:dyDescent="0.25">
      <c r="C32" t="s">
        <v>230</v>
      </c>
      <c r="E32" t="s">
        <v>217</v>
      </c>
      <c r="G32" s="34">
        <v>1261.3399999999999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</row>
    <row r="33" spans="2:56" x14ac:dyDescent="0.25">
      <c r="J33" t="s">
        <v>248</v>
      </c>
      <c r="L33" s="5">
        <v>513.85</v>
      </c>
      <c r="M33" t="s">
        <v>249</v>
      </c>
      <c r="O33" s="6">
        <f>L33*4</f>
        <v>2055.4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</row>
    <row r="34" spans="2:56" ht="16.5" thickBot="1" x14ac:dyDescent="0.3">
      <c r="E34" t="s">
        <v>116</v>
      </c>
      <c r="G34" s="38">
        <f>SUM(G27:G33)</f>
        <v>1389.71</v>
      </c>
      <c r="J34" t="s">
        <v>250</v>
      </c>
      <c r="L34" s="5">
        <v>498.94</v>
      </c>
      <c r="M34" t="s">
        <v>249</v>
      </c>
      <c r="O34" s="6">
        <f>L34*4</f>
        <v>1995.76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</row>
    <row r="35" spans="2:56" ht="16.5" thickTop="1" x14ac:dyDescent="0.25">
      <c r="J35" t="s">
        <v>251</v>
      </c>
      <c r="L35" s="34">
        <v>23.7</v>
      </c>
      <c r="M35" t="s">
        <v>252</v>
      </c>
      <c r="O35" s="7">
        <f>L35*12</f>
        <v>284.39999999999998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6" spans="2:56" x14ac:dyDescent="0.25">
      <c r="B36" s="3" t="s">
        <v>176</v>
      </c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</row>
    <row r="37" spans="2:56" x14ac:dyDescent="0.25">
      <c r="C37" t="s">
        <v>214</v>
      </c>
      <c r="E37" t="s">
        <v>217</v>
      </c>
      <c r="G37" s="5">
        <v>63.09</v>
      </c>
      <c r="L37" s="6"/>
      <c r="M37" t="s">
        <v>253</v>
      </c>
      <c r="O37" s="6">
        <f>SUM(O33:O36)</f>
        <v>4335.5599999999995</v>
      </c>
      <c r="P37" s="6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</row>
    <row r="38" spans="2:56" x14ac:dyDescent="0.25">
      <c r="C38" t="s">
        <v>219</v>
      </c>
      <c r="E38" t="s">
        <v>220</v>
      </c>
      <c r="G38" s="5">
        <v>24.27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</row>
    <row r="39" spans="2:56" x14ac:dyDescent="0.25">
      <c r="C39" t="s">
        <v>222</v>
      </c>
      <c r="E39" t="s">
        <v>223</v>
      </c>
      <c r="G39" s="5">
        <v>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</row>
    <row r="40" spans="2:56" x14ac:dyDescent="0.25">
      <c r="C40" t="s">
        <v>222</v>
      </c>
      <c r="E40" t="s">
        <v>226</v>
      </c>
      <c r="G40" s="5">
        <v>18.5</v>
      </c>
      <c r="J40" s="19" t="s">
        <v>254</v>
      </c>
    </row>
    <row r="41" spans="2:56" x14ac:dyDescent="0.25">
      <c r="C41" t="s">
        <v>228</v>
      </c>
      <c r="E41" t="s">
        <v>229</v>
      </c>
      <c r="G41" s="5">
        <v>18.8</v>
      </c>
    </row>
    <row r="42" spans="2:56" x14ac:dyDescent="0.25">
      <c r="C42" t="s">
        <v>230</v>
      </c>
      <c r="E42" t="s">
        <v>217</v>
      </c>
      <c r="G42" s="34">
        <v>1261.3399999999999</v>
      </c>
      <c r="J42" t="s">
        <v>255</v>
      </c>
      <c r="L42" s="5">
        <v>428.22</v>
      </c>
    </row>
    <row r="43" spans="2:56" x14ac:dyDescent="0.25">
      <c r="J43" t="s">
        <v>256</v>
      </c>
      <c r="L43" s="5">
        <v>431.97</v>
      </c>
    </row>
    <row r="44" spans="2:56" ht="16.5" thickBot="1" x14ac:dyDescent="0.3">
      <c r="E44" t="s">
        <v>116</v>
      </c>
      <c r="G44" s="38">
        <f>SUM(G37:G43)</f>
        <v>1388</v>
      </c>
      <c r="J44" t="s">
        <v>257</v>
      </c>
      <c r="L44" s="5">
        <v>18.2</v>
      </c>
    </row>
    <row r="45" spans="2:56" ht="16.5" thickTop="1" x14ac:dyDescent="0.25">
      <c r="J45" t="s">
        <v>258</v>
      </c>
      <c r="L45" s="5">
        <v>18.2</v>
      </c>
    </row>
    <row r="46" spans="2:56" x14ac:dyDescent="0.25">
      <c r="B46" s="3" t="s">
        <v>259</v>
      </c>
      <c r="J46" t="s">
        <v>260</v>
      </c>
      <c r="L46" s="5">
        <v>18.2</v>
      </c>
    </row>
    <row r="47" spans="2:56" x14ac:dyDescent="0.25">
      <c r="C47" t="s">
        <v>214</v>
      </c>
      <c r="E47" t="s">
        <v>217</v>
      </c>
      <c r="G47" s="5">
        <v>63.09</v>
      </c>
      <c r="J47" t="s">
        <v>261</v>
      </c>
      <c r="L47" s="5">
        <v>18.2</v>
      </c>
    </row>
    <row r="48" spans="2:56" x14ac:dyDescent="0.25">
      <c r="C48" t="s">
        <v>222</v>
      </c>
      <c r="E48" t="s">
        <v>223</v>
      </c>
      <c r="G48" s="5">
        <v>1</v>
      </c>
      <c r="J48" t="s">
        <v>262</v>
      </c>
      <c r="L48" s="5">
        <v>457.88</v>
      </c>
    </row>
    <row r="49" spans="2:12" x14ac:dyDescent="0.25">
      <c r="C49" t="s">
        <v>222</v>
      </c>
      <c r="E49" t="s">
        <v>226</v>
      </c>
      <c r="G49" s="5">
        <v>9.25</v>
      </c>
      <c r="J49" t="s">
        <v>263</v>
      </c>
      <c r="L49" s="5">
        <v>469.34</v>
      </c>
    </row>
    <row r="50" spans="2:12" x14ac:dyDescent="0.25">
      <c r="C50" t="s">
        <v>239</v>
      </c>
      <c r="E50" t="s">
        <v>217</v>
      </c>
      <c r="G50" s="34">
        <v>10.220000000000001</v>
      </c>
      <c r="J50" t="s">
        <v>264</v>
      </c>
      <c r="L50" s="5">
        <v>18.2</v>
      </c>
    </row>
    <row r="51" spans="2:12" x14ac:dyDescent="0.25">
      <c r="J51" t="s">
        <v>265</v>
      </c>
      <c r="L51" s="5">
        <v>22.1</v>
      </c>
    </row>
    <row r="52" spans="2:12" ht="16.5" thickBot="1" x14ac:dyDescent="0.3">
      <c r="E52" t="s">
        <v>116</v>
      </c>
      <c r="G52" s="40">
        <f>SUM(G47:G51)</f>
        <v>83.56</v>
      </c>
      <c r="J52" t="s">
        <v>266</v>
      </c>
      <c r="L52" s="5">
        <v>22.1</v>
      </c>
    </row>
    <row r="53" spans="2:12" ht="16.5" thickTop="1" x14ac:dyDescent="0.25">
      <c r="J53" t="s">
        <v>267</v>
      </c>
      <c r="L53" s="5">
        <v>18.2</v>
      </c>
    </row>
    <row r="54" spans="2:12" x14ac:dyDescent="0.25">
      <c r="B54" s="3" t="s">
        <v>181</v>
      </c>
      <c r="J54" t="s">
        <v>268</v>
      </c>
      <c r="L54" s="5">
        <v>22.1</v>
      </c>
    </row>
    <row r="55" spans="2:12" x14ac:dyDescent="0.25">
      <c r="C55" t="s">
        <v>214</v>
      </c>
      <c r="E55" t="s">
        <v>215</v>
      </c>
      <c r="G55" s="5">
        <v>116.29</v>
      </c>
      <c r="J55" t="s">
        <v>269</v>
      </c>
      <c r="L55" s="5">
        <v>18.2</v>
      </c>
    </row>
    <row r="56" spans="2:12" x14ac:dyDescent="0.25">
      <c r="C56" t="s">
        <v>219</v>
      </c>
      <c r="E56" t="s">
        <v>220</v>
      </c>
      <c r="G56" s="5">
        <v>42</v>
      </c>
      <c r="J56" t="s">
        <v>270</v>
      </c>
      <c r="L56" s="5">
        <v>469.34</v>
      </c>
    </row>
    <row r="57" spans="2:12" x14ac:dyDescent="0.25">
      <c r="C57" t="s">
        <v>222</v>
      </c>
      <c r="E57" t="s">
        <v>223</v>
      </c>
      <c r="G57" s="5">
        <v>2</v>
      </c>
      <c r="J57" t="s">
        <v>271</v>
      </c>
      <c r="L57" s="5">
        <v>457.88</v>
      </c>
    </row>
    <row r="58" spans="2:12" x14ac:dyDescent="0.25">
      <c r="C58" t="s">
        <v>222</v>
      </c>
      <c r="E58" t="s">
        <v>226</v>
      </c>
      <c r="G58" s="5">
        <v>18.5</v>
      </c>
      <c r="J58" t="s">
        <v>268</v>
      </c>
      <c r="L58" s="5">
        <v>22.1</v>
      </c>
    </row>
    <row r="59" spans="2:12" x14ac:dyDescent="0.25">
      <c r="C59" t="s">
        <v>228</v>
      </c>
      <c r="E59" t="s">
        <v>229</v>
      </c>
      <c r="G59" s="5">
        <v>33.67</v>
      </c>
      <c r="J59" t="s">
        <v>272</v>
      </c>
      <c r="L59" s="5">
        <v>22.1</v>
      </c>
    </row>
    <row r="60" spans="2:12" x14ac:dyDescent="0.25">
      <c r="C60" t="s">
        <v>230</v>
      </c>
      <c r="E60" t="s">
        <v>215</v>
      </c>
      <c r="G60" s="34">
        <v>1915.24</v>
      </c>
      <c r="J60" t="s">
        <v>273</v>
      </c>
      <c r="L60" s="5">
        <v>18.2</v>
      </c>
    </row>
    <row r="61" spans="2:12" x14ac:dyDescent="0.25">
      <c r="J61" t="s">
        <v>273</v>
      </c>
      <c r="L61" s="5">
        <v>18.2</v>
      </c>
    </row>
    <row r="62" spans="2:12" ht="16.5" thickBot="1" x14ac:dyDescent="0.3">
      <c r="E62" t="s">
        <v>116</v>
      </c>
      <c r="G62" s="41">
        <f>SUM(G55:G61)</f>
        <v>2127.6999999999998</v>
      </c>
      <c r="J62" t="s">
        <v>274</v>
      </c>
      <c r="L62" s="5">
        <v>22.1</v>
      </c>
    </row>
    <row r="63" spans="2:12" ht="16.5" thickTop="1" x14ac:dyDescent="0.25">
      <c r="J63" t="s">
        <v>275</v>
      </c>
      <c r="L63" s="5">
        <v>18.2</v>
      </c>
    </row>
    <row r="64" spans="2:12" x14ac:dyDescent="0.25">
      <c r="B64" s="3" t="s">
        <v>183</v>
      </c>
      <c r="J64" t="s">
        <v>276</v>
      </c>
      <c r="L64" s="5">
        <v>457.88</v>
      </c>
    </row>
    <row r="65" spans="2:12" x14ac:dyDescent="0.25">
      <c r="C65" t="s">
        <v>214</v>
      </c>
      <c r="E65" t="s">
        <v>221</v>
      </c>
      <c r="G65" s="5">
        <v>27.17</v>
      </c>
      <c r="J65" t="s">
        <v>277</v>
      </c>
      <c r="L65" s="5">
        <v>469.34</v>
      </c>
    </row>
    <row r="66" spans="2:12" x14ac:dyDescent="0.25">
      <c r="C66" t="s">
        <v>219</v>
      </c>
      <c r="E66" t="s">
        <v>220</v>
      </c>
      <c r="G66" s="5">
        <v>17.47</v>
      </c>
      <c r="J66" t="s">
        <v>274</v>
      </c>
      <c r="L66" s="5">
        <v>22.1</v>
      </c>
    </row>
    <row r="67" spans="2:12" x14ac:dyDescent="0.25">
      <c r="C67" t="s">
        <v>222</v>
      </c>
      <c r="E67" t="s">
        <v>223</v>
      </c>
      <c r="G67" s="5">
        <v>2</v>
      </c>
      <c r="J67" t="s">
        <v>278</v>
      </c>
      <c r="L67" s="5">
        <v>18.2</v>
      </c>
    </row>
    <row r="68" spans="2:12" x14ac:dyDescent="0.25">
      <c r="C68" t="s">
        <v>222</v>
      </c>
      <c r="E68" t="s">
        <v>226</v>
      </c>
      <c r="G68" s="5">
        <v>18.5</v>
      </c>
      <c r="J68" t="s">
        <v>279</v>
      </c>
      <c r="L68" s="5">
        <v>18.2</v>
      </c>
    </row>
    <row r="69" spans="2:12" x14ac:dyDescent="0.25">
      <c r="C69" t="s">
        <v>230</v>
      </c>
      <c r="E69" t="s">
        <v>221</v>
      </c>
      <c r="G69" s="34">
        <v>607.42999999999995</v>
      </c>
      <c r="J69" t="s">
        <v>280</v>
      </c>
      <c r="L69" s="34">
        <v>22.1</v>
      </c>
    </row>
    <row r="71" spans="2:12" ht="16.5" thickBot="1" x14ac:dyDescent="0.3">
      <c r="E71" t="s">
        <v>116</v>
      </c>
      <c r="G71" s="40">
        <f>SUM(G65:G70)</f>
        <v>672.56999999999994</v>
      </c>
      <c r="J71" t="s">
        <v>116</v>
      </c>
      <c r="L71" s="6">
        <f>SUM(L42:L70)</f>
        <v>4037.0499999999993</v>
      </c>
    </row>
    <row r="72" spans="2:12" ht="16.5" thickTop="1" x14ac:dyDescent="0.25"/>
    <row r="73" spans="2:12" x14ac:dyDescent="0.25">
      <c r="B73" s="3" t="s">
        <v>186</v>
      </c>
    </row>
    <row r="74" spans="2:12" x14ac:dyDescent="0.25">
      <c r="C74" t="s">
        <v>214</v>
      </c>
      <c r="E74" t="s">
        <v>224</v>
      </c>
      <c r="G74" s="5">
        <v>72.19</v>
      </c>
    </row>
    <row r="75" spans="2:12" x14ac:dyDescent="0.25">
      <c r="C75" t="s">
        <v>219</v>
      </c>
      <c r="E75" t="s">
        <v>220</v>
      </c>
      <c r="G75" s="5">
        <v>24.27</v>
      </c>
    </row>
    <row r="76" spans="2:12" x14ac:dyDescent="0.25">
      <c r="C76" t="s">
        <v>222</v>
      </c>
      <c r="E76" t="s">
        <v>223</v>
      </c>
      <c r="G76" s="5">
        <v>2</v>
      </c>
    </row>
    <row r="77" spans="2:12" x14ac:dyDescent="0.25">
      <c r="C77" t="s">
        <v>222</v>
      </c>
      <c r="E77" t="s">
        <v>226</v>
      </c>
      <c r="G77" s="5">
        <v>18.5</v>
      </c>
    </row>
    <row r="78" spans="2:12" x14ac:dyDescent="0.25">
      <c r="C78" t="s">
        <v>228</v>
      </c>
      <c r="E78" t="s">
        <v>229</v>
      </c>
      <c r="G78" s="5">
        <v>18.8</v>
      </c>
    </row>
    <row r="79" spans="2:12" x14ac:dyDescent="0.25">
      <c r="C79" t="s">
        <v>230</v>
      </c>
      <c r="E79" t="s">
        <v>224</v>
      </c>
      <c r="G79" s="34">
        <v>1083</v>
      </c>
    </row>
    <row r="81" spans="2:7" ht="16.5" thickBot="1" x14ac:dyDescent="0.3">
      <c r="E81" t="s">
        <v>116</v>
      </c>
      <c r="G81" s="38">
        <f>SUM(G74:G80)</f>
        <v>1218.76</v>
      </c>
    </row>
    <row r="82" spans="2:7" ht="16.5" thickTop="1" x14ac:dyDescent="0.25"/>
    <row r="83" spans="2:7" x14ac:dyDescent="0.25">
      <c r="B83" s="3" t="s">
        <v>187</v>
      </c>
    </row>
    <row r="84" spans="2:7" x14ac:dyDescent="0.25">
      <c r="C84" t="s">
        <v>214</v>
      </c>
      <c r="E84" t="s">
        <v>221</v>
      </c>
      <c r="G84" s="5">
        <v>27.17</v>
      </c>
    </row>
    <row r="85" spans="2:7" x14ac:dyDescent="0.25">
      <c r="C85" t="s">
        <v>219</v>
      </c>
      <c r="E85" t="s">
        <v>220</v>
      </c>
      <c r="G85" s="5">
        <v>20.38</v>
      </c>
    </row>
    <row r="86" spans="2:7" x14ac:dyDescent="0.25">
      <c r="C86" t="s">
        <v>222</v>
      </c>
      <c r="E86" t="s">
        <v>223</v>
      </c>
      <c r="G86" s="5">
        <v>2</v>
      </c>
    </row>
    <row r="87" spans="2:7" x14ac:dyDescent="0.25">
      <c r="C87" t="s">
        <v>222</v>
      </c>
      <c r="E87" t="s">
        <v>226</v>
      </c>
      <c r="G87" s="5">
        <v>18.5</v>
      </c>
    </row>
    <row r="88" spans="2:7" x14ac:dyDescent="0.25">
      <c r="C88" t="s">
        <v>228</v>
      </c>
      <c r="E88" t="s">
        <v>229</v>
      </c>
      <c r="G88" s="5">
        <v>15.79</v>
      </c>
    </row>
    <row r="89" spans="2:7" x14ac:dyDescent="0.25">
      <c r="C89" t="s">
        <v>230</v>
      </c>
      <c r="E89" t="s">
        <v>221</v>
      </c>
      <c r="G89" s="34">
        <v>607.42999999999995</v>
      </c>
    </row>
    <row r="91" spans="2:7" ht="16.5" thickBot="1" x14ac:dyDescent="0.3">
      <c r="E91" t="s">
        <v>116</v>
      </c>
      <c r="G91" s="38">
        <f>SUM(G84:G90)</f>
        <v>691.27</v>
      </c>
    </row>
    <row r="92" spans="2:7" ht="16.5" thickTop="1" x14ac:dyDescent="0.25"/>
    <row r="93" spans="2:7" x14ac:dyDescent="0.25">
      <c r="B93" s="3" t="s">
        <v>189</v>
      </c>
    </row>
    <row r="94" spans="2:7" x14ac:dyDescent="0.25">
      <c r="C94" t="s">
        <v>214</v>
      </c>
      <c r="E94" t="s">
        <v>217</v>
      </c>
      <c r="G94">
        <v>63.09</v>
      </c>
    </row>
    <row r="95" spans="2:7" x14ac:dyDescent="0.25">
      <c r="C95" t="s">
        <v>219</v>
      </c>
      <c r="E95" t="s">
        <v>220</v>
      </c>
      <c r="G95">
        <v>33.880000000000003</v>
      </c>
    </row>
    <row r="96" spans="2:7" x14ac:dyDescent="0.25">
      <c r="C96" t="s">
        <v>222</v>
      </c>
      <c r="E96" t="s">
        <v>223</v>
      </c>
      <c r="G96">
        <v>1.3</v>
      </c>
    </row>
    <row r="97" spans="2:7" x14ac:dyDescent="0.25">
      <c r="C97" t="s">
        <v>222</v>
      </c>
      <c r="E97" t="s">
        <v>226</v>
      </c>
      <c r="G97">
        <v>12.03</v>
      </c>
    </row>
    <row r="98" spans="2:7" x14ac:dyDescent="0.25">
      <c r="C98" t="s">
        <v>228</v>
      </c>
      <c r="E98" t="s">
        <v>229</v>
      </c>
      <c r="G98">
        <v>26.25</v>
      </c>
    </row>
    <row r="99" spans="2:7" x14ac:dyDescent="0.25">
      <c r="C99" t="s">
        <v>239</v>
      </c>
      <c r="E99" t="s">
        <v>217</v>
      </c>
      <c r="G99" s="19">
        <v>10.220000000000001</v>
      </c>
    </row>
    <row r="101" spans="2:7" ht="16.5" thickBot="1" x14ac:dyDescent="0.3">
      <c r="E101" t="s">
        <v>116</v>
      </c>
      <c r="G101" s="40">
        <f>SUM(G94:G100)</f>
        <v>146.77000000000001</v>
      </c>
    </row>
    <row r="102" spans="2:7" ht="16.5" thickTop="1" x14ac:dyDescent="0.25">
      <c r="B102" s="3" t="s">
        <v>281</v>
      </c>
    </row>
    <row r="103" spans="2:7" x14ac:dyDescent="0.25">
      <c r="C103" t="s">
        <v>214</v>
      </c>
      <c r="E103" t="s">
        <v>224</v>
      </c>
      <c r="G103" s="5">
        <v>72.19</v>
      </c>
    </row>
    <row r="104" spans="2:7" x14ac:dyDescent="0.25">
      <c r="C104" t="s">
        <v>219</v>
      </c>
      <c r="E104" t="s">
        <v>220</v>
      </c>
      <c r="G104" s="5">
        <v>23.69</v>
      </c>
    </row>
    <row r="105" spans="2:7" x14ac:dyDescent="0.25">
      <c r="C105" t="s">
        <v>222</v>
      </c>
      <c r="E105" t="s">
        <v>223</v>
      </c>
      <c r="G105" s="5">
        <v>2</v>
      </c>
    </row>
    <row r="106" spans="2:7" x14ac:dyDescent="0.25">
      <c r="C106" t="s">
        <v>222</v>
      </c>
      <c r="E106" t="s">
        <v>226</v>
      </c>
      <c r="G106" s="5">
        <v>18.5</v>
      </c>
    </row>
    <row r="107" spans="2:7" x14ac:dyDescent="0.25">
      <c r="C107" t="s">
        <v>228</v>
      </c>
      <c r="E107" t="s">
        <v>229</v>
      </c>
      <c r="G107" s="5">
        <v>18.350000000000001</v>
      </c>
    </row>
    <row r="108" spans="2:7" x14ac:dyDescent="0.25">
      <c r="C108" t="s">
        <v>230</v>
      </c>
      <c r="E108" t="s">
        <v>224</v>
      </c>
      <c r="G108" s="34">
        <v>1083</v>
      </c>
    </row>
    <row r="110" spans="2:7" ht="16.5" thickBot="1" x14ac:dyDescent="0.3">
      <c r="E110" t="s">
        <v>116</v>
      </c>
      <c r="G110" s="38">
        <f>SUM(G103:G109)</f>
        <v>1217.73</v>
      </c>
    </row>
    <row r="111" spans="2:7" ht="16.5" thickTop="1" x14ac:dyDescent="0.25"/>
    <row r="112" spans="2:7" x14ac:dyDescent="0.25">
      <c r="B112" s="3" t="s">
        <v>192</v>
      </c>
    </row>
    <row r="113" spans="2:7" x14ac:dyDescent="0.25">
      <c r="C113" t="s">
        <v>214</v>
      </c>
      <c r="E113" t="s">
        <v>217</v>
      </c>
      <c r="G113" s="5">
        <v>63.09</v>
      </c>
    </row>
    <row r="114" spans="2:7" x14ac:dyDescent="0.25">
      <c r="C114" t="s">
        <v>219</v>
      </c>
      <c r="E114" t="s">
        <v>220</v>
      </c>
      <c r="G114" s="5">
        <v>24.27</v>
      </c>
    </row>
    <row r="115" spans="2:7" x14ac:dyDescent="0.25">
      <c r="C115" t="s">
        <v>222</v>
      </c>
      <c r="E115" t="s">
        <v>223</v>
      </c>
      <c r="G115" s="5">
        <v>2</v>
      </c>
    </row>
    <row r="116" spans="2:7" x14ac:dyDescent="0.25">
      <c r="C116" t="s">
        <v>222</v>
      </c>
      <c r="E116" t="s">
        <v>226</v>
      </c>
      <c r="G116" s="5">
        <v>18.5</v>
      </c>
    </row>
    <row r="117" spans="2:7" x14ac:dyDescent="0.25">
      <c r="C117" t="s">
        <v>228</v>
      </c>
      <c r="E117" t="s">
        <v>229</v>
      </c>
      <c r="G117" s="5">
        <v>18.8</v>
      </c>
    </row>
    <row r="118" spans="2:7" x14ac:dyDescent="0.25">
      <c r="C118" t="s">
        <v>230</v>
      </c>
      <c r="E118" t="s">
        <v>217</v>
      </c>
      <c r="G118" s="34">
        <v>1261.3399999999999</v>
      </c>
    </row>
    <row r="120" spans="2:7" ht="16.5" thickBot="1" x14ac:dyDescent="0.3">
      <c r="E120" t="s">
        <v>116</v>
      </c>
      <c r="G120" s="38">
        <f>SUM(G113:G119)</f>
        <v>1388</v>
      </c>
    </row>
    <row r="121" spans="2:7" ht="16.5" thickTop="1" x14ac:dyDescent="0.25"/>
    <row r="122" spans="2:7" x14ac:dyDescent="0.25">
      <c r="B122" s="3" t="s">
        <v>194</v>
      </c>
    </row>
    <row r="123" spans="2:7" x14ac:dyDescent="0.25">
      <c r="C123" t="s">
        <v>214</v>
      </c>
      <c r="E123" t="s">
        <v>221</v>
      </c>
      <c r="G123" s="5">
        <v>27.17</v>
      </c>
    </row>
    <row r="124" spans="2:7" x14ac:dyDescent="0.25">
      <c r="C124" t="s">
        <v>219</v>
      </c>
      <c r="E124" t="s">
        <v>220</v>
      </c>
      <c r="G124" s="5">
        <v>21.46</v>
      </c>
    </row>
    <row r="125" spans="2:7" x14ac:dyDescent="0.25">
      <c r="C125" t="s">
        <v>222</v>
      </c>
      <c r="E125" t="s">
        <v>223</v>
      </c>
      <c r="G125" s="5">
        <v>2</v>
      </c>
    </row>
    <row r="126" spans="2:7" x14ac:dyDescent="0.25">
      <c r="C126" t="s">
        <v>222</v>
      </c>
      <c r="E126" t="s">
        <v>226</v>
      </c>
      <c r="G126" s="5">
        <v>18.5</v>
      </c>
    </row>
    <row r="127" spans="2:7" x14ac:dyDescent="0.25">
      <c r="C127" t="s">
        <v>228</v>
      </c>
      <c r="E127" t="s">
        <v>229</v>
      </c>
      <c r="G127" s="5">
        <v>16.63</v>
      </c>
    </row>
    <row r="128" spans="2:7" x14ac:dyDescent="0.25">
      <c r="C128" t="s">
        <v>230</v>
      </c>
      <c r="E128" t="s">
        <v>221</v>
      </c>
      <c r="G128" s="34">
        <v>607.42999999999995</v>
      </c>
    </row>
    <row r="130" spans="2:7" ht="16.5" thickBot="1" x14ac:dyDescent="0.3">
      <c r="E130" t="s">
        <v>116</v>
      </c>
      <c r="G130" s="38">
        <f>SUM(G123:G129)</f>
        <v>693.18999999999994</v>
      </c>
    </row>
    <row r="131" spans="2:7" ht="16.5" thickTop="1" x14ac:dyDescent="0.25"/>
    <row r="132" spans="2:7" x14ac:dyDescent="0.25">
      <c r="B132" s="3" t="s">
        <v>195</v>
      </c>
    </row>
    <row r="133" spans="2:7" x14ac:dyDescent="0.25">
      <c r="C133" t="s">
        <v>214</v>
      </c>
      <c r="E133" t="s">
        <v>215</v>
      </c>
      <c r="G133" s="5">
        <v>116.29</v>
      </c>
    </row>
    <row r="134" spans="2:7" x14ac:dyDescent="0.25">
      <c r="C134" t="s">
        <v>219</v>
      </c>
      <c r="E134" t="s">
        <v>220</v>
      </c>
      <c r="G134" s="5">
        <v>21.84</v>
      </c>
    </row>
    <row r="135" spans="2:7" x14ac:dyDescent="0.25">
      <c r="C135" t="s">
        <v>222</v>
      </c>
      <c r="E135" t="s">
        <v>223</v>
      </c>
      <c r="G135" s="5">
        <v>2</v>
      </c>
    </row>
    <row r="136" spans="2:7" x14ac:dyDescent="0.25">
      <c r="C136" t="s">
        <v>222</v>
      </c>
      <c r="E136" t="s">
        <v>226</v>
      </c>
      <c r="G136" s="5">
        <v>18.5</v>
      </c>
    </row>
    <row r="137" spans="2:7" x14ac:dyDescent="0.25">
      <c r="C137" t="s">
        <v>228</v>
      </c>
      <c r="E137" t="s">
        <v>233</v>
      </c>
      <c r="G137" s="5">
        <v>16.920000000000002</v>
      </c>
    </row>
    <row r="138" spans="2:7" x14ac:dyDescent="0.25">
      <c r="C138" t="s">
        <v>230</v>
      </c>
      <c r="E138" t="s">
        <v>215</v>
      </c>
      <c r="G138" s="5">
        <v>1915.24</v>
      </c>
    </row>
    <row r="139" spans="2:7" x14ac:dyDescent="0.25">
      <c r="C139" t="s">
        <v>239</v>
      </c>
      <c r="E139" t="s">
        <v>215</v>
      </c>
      <c r="G139" s="34">
        <v>16.440000000000001</v>
      </c>
    </row>
    <row r="141" spans="2:7" ht="16.5" thickBot="1" x14ac:dyDescent="0.3">
      <c r="E141" t="s">
        <v>116</v>
      </c>
      <c r="G141" s="38">
        <f>SUM(G133:G140)</f>
        <v>2107.23</v>
      </c>
    </row>
    <row r="142" spans="2:7" ht="16.5" thickTop="1" x14ac:dyDescent="0.25"/>
    <row r="143" spans="2:7" x14ac:dyDescent="0.25">
      <c r="B143" s="3" t="s">
        <v>197</v>
      </c>
    </row>
    <row r="144" spans="2:7" x14ac:dyDescent="0.25">
      <c r="C144" t="s">
        <v>214</v>
      </c>
      <c r="E144" t="s">
        <v>221</v>
      </c>
      <c r="G144" s="5">
        <v>27.17</v>
      </c>
    </row>
    <row r="145" spans="2:7" x14ac:dyDescent="0.25">
      <c r="C145" t="s">
        <v>219</v>
      </c>
      <c r="E145" t="s">
        <v>220</v>
      </c>
      <c r="G145" s="5">
        <v>23.66</v>
      </c>
    </row>
    <row r="146" spans="2:7" x14ac:dyDescent="0.25">
      <c r="C146" t="s">
        <v>222</v>
      </c>
      <c r="E146" t="s">
        <v>223</v>
      </c>
      <c r="G146" s="5">
        <v>2</v>
      </c>
    </row>
    <row r="147" spans="2:7" x14ac:dyDescent="0.25">
      <c r="C147" t="s">
        <v>222</v>
      </c>
      <c r="E147" t="s">
        <v>226</v>
      </c>
      <c r="G147" s="5">
        <v>18.5</v>
      </c>
    </row>
    <row r="148" spans="2:7" x14ac:dyDescent="0.25">
      <c r="C148" t="s">
        <v>228</v>
      </c>
      <c r="E148" t="s">
        <v>233</v>
      </c>
      <c r="G148" s="5">
        <v>18.829999999999998</v>
      </c>
    </row>
    <row r="149" spans="2:7" x14ac:dyDescent="0.25">
      <c r="C149" t="s">
        <v>230</v>
      </c>
      <c r="E149" t="s">
        <v>221</v>
      </c>
      <c r="G149" s="34">
        <v>607.42999999999995</v>
      </c>
    </row>
    <row r="151" spans="2:7" ht="16.5" thickBot="1" x14ac:dyDescent="0.3">
      <c r="E151" t="s">
        <v>116</v>
      </c>
      <c r="G151" s="40">
        <f>SUM(G144:G150)</f>
        <v>697.58999999999992</v>
      </c>
    </row>
    <row r="152" spans="2:7" ht="16.5" thickTop="1" x14ac:dyDescent="0.25"/>
    <row r="153" spans="2:7" x14ac:dyDescent="0.25">
      <c r="B153" s="3" t="s">
        <v>282</v>
      </c>
    </row>
    <row r="154" spans="2:7" x14ac:dyDescent="0.25">
      <c r="C154" t="s">
        <v>214</v>
      </c>
      <c r="E154" t="s">
        <v>217</v>
      </c>
      <c r="G154" s="5">
        <v>63.09</v>
      </c>
    </row>
    <row r="155" spans="2:7" x14ac:dyDescent="0.25">
      <c r="C155" t="s">
        <v>219</v>
      </c>
      <c r="E155" t="s">
        <v>220</v>
      </c>
      <c r="G155" s="5">
        <v>37.1</v>
      </c>
    </row>
    <row r="156" spans="2:7" x14ac:dyDescent="0.25">
      <c r="C156" t="s">
        <v>222</v>
      </c>
      <c r="E156" t="s">
        <v>223</v>
      </c>
      <c r="G156" s="5">
        <v>2</v>
      </c>
    </row>
    <row r="157" spans="2:7" x14ac:dyDescent="0.25">
      <c r="C157" t="s">
        <v>222</v>
      </c>
      <c r="E157" t="s">
        <v>226</v>
      </c>
      <c r="G157" s="5">
        <v>18.5</v>
      </c>
    </row>
    <row r="158" spans="2:7" x14ac:dyDescent="0.25">
      <c r="C158" t="s">
        <v>228</v>
      </c>
      <c r="E158" t="s">
        <v>233</v>
      </c>
      <c r="G158" s="5">
        <v>28.74</v>
      </c>
    </row>
    <row r="159" spans="2:7" x14ac:dyDescent="0.25">
      <c r="C159" t="s">
        <v>238</v>
      </c>
      <c r="E159" t="s">
        <v>221</v>
      </c>
      <c r="G159" s="5">
        <v>753.71</v>
      </c>
    </row>
    <row r="160" spans="2:7" x14ac:dyDescent="0.25">
      <c r="C160" t="s">
        <v>239</v>
      </c>
      <c r="E160" t="s">
        <v>217</v>
      </c>
      <c r="G160" s="34">
        <v>10.220000000000001</v>
      </c>
    </row>
    <row r="162" spans="1:7" ht="16.5" thickBot="1" x14ac:dyDescent="0.3">
      <c r="E162" t="s">
        <v>116</v>
      </c>
      <c r="G162" s="38">
        <f>SUM(G154:G161)</f>
        <v>913.36000000000013</v>
      </c>
    </row>
    <row r="163" spans="1:7" ht="16.5" thickTop="1" x14ac:dyDescent="0.25"/>
    <row r="164" spans="1:7" x14ac:dyDescent="0.25">
      <c r="A164" s="3" t="s">
        <v>283</v>
      </c>
    </row>
    <row r="165" spans="1:7" x14ac:dyDescent="0.25">
      <c r="B165" s="3" t="s">
        <v>284</v>
      </c>
    </row>
    <row r="166" spans="1:7" x14ac:dyDescent="0.25">
      <c r="C166" t="s">
        <v>214</v>
      </c>
      <c r="E166" t="s">
        <v>221</v>
      </c>
      <c r="G166" s="5">
        <v>27.17</v>
      </c>
    </row>
    <row r="167" spans="1:7" x14ac:dyDescent="0.25">
      <c r="C167" t="s">
        <v>222</v>
      </c>
      <c r="E167" t="s">
        <v>223</v>
      </c>
      <c r="G167" s="5">
        <v>2</v>
      </c>
    </row>
    <row r="168" spans="1:7" x14ac:dyDescent="0.25">
      <c r="C168" t="s">
        <v>222</v>
      </c>
      <c r="E168" t="s">
        <v>226</v>
      </c>
      <c r="G168" s="5">
        <v>18.5</v>
      </c>
    </row>
    <row r="169" spans="1:7" x14ac:dyDescent="0.25">
      <c r="C169" t="s">
        <v>239</v>
      </c>
      <c r="E169" t="s">
        <v>221</v>
      </c>
      <c r="G169" s="34">
        <v>5.87</v>
      </c>
    </row>
    <row r="171" spans="1:7" x14ac:dyDescent="0.25">
      <c r="E171" t="s">
        <v>116</v>
      </c>
      <c r="G171">
        <f>SUM(G166:G170)</f>
        <v>53.54</v>
      </c>
    </row>
    <row r="172" spans="1:7" x14ac:dyDescent="0.25">
      <c r="B172" s="3" t="s">
        <v>285</v>
      </c>
    </row>
    <row r="173" spans="1:7" x14ac:dyDescent="0.25">
      <c r="C173" t="s">
        <v>214</v>
      </c>
      <c r="E173" t="s">
        <v>215</v>
      </c>
      <c r="G173" s="5">
        <v>116.29</v>
      </c>
    </row>
    <row r="174" spans="1:7" x14ac:dyDescent="0.25">
      <c r="C174" t="s">
        <v>222</v>
      </c>
      <c r="E174" t="s">
        <v>223</v>
      </c>
      <c r="G174" s="5">
        <v>2</v>
      </c>
    </row>
    <row r="175" spans="1:7" x14ac:dyDescent="0.25">
      <c r="C175" t="s">
        <v>222</v>
      </c>
      <c r="E175" t="s">
        <v>226</v>
      </c>
      <c r="G175" s="5">
        <v>18.5</v>
      </c>
    </row>
    <row r="176" spans="1:7" x14ac:dyDescent="0.25">
      <c r="C176" t="s">
        <v>239</v>
      </c>
      <c r="E176" t="s">
        <v>215</v>
      </c>
      <c r="G176" s="34">
        <v>16.440000000000001</v>
      </c>
    </row>
    <row r="178" spans="2:7" ht="16.5" thickBot="1" x14ac:dyDescent="0.3">
      <c r="E178" t="s">
        <v>116</v>
      </c>
      <c r="G178" s="40">
        <f>SUM(G173:G177)</f>
        <v>153.23000000000002</v>
      </c>
    </row>
    <row r="179" spans="2:7" ht="16.5" thickTop="1" x14ac:dyDescent="0.25">
      <c r="B179" s="3" t="s">
        <v>286</v>
      </c>
    </row>
    <row r="180" spans="2:7" x14ac:dyDescent="0.25">
      <c r="C180" t="s">
        <v>214</v>
      </c>
      <c r="E180" t="s">
        <v>221</v>
      </c>
      <c r="G180" s="5">
        <v>27.17</v>
      </c>
    </row>
    <row r="181" spans="2:7" x14ac:dyDescent="0.25">
      <c r="C181" t="s">
        <v>222</v>
      </c>
      <c r="E181" t="s">
        <v>223</v>
      </c>
      <c r="G181" s="5">
        <v>2</v>
      </c>
    </row>
    <row r="182" spans="2:7" x14ac:dyDescent="0.25">
      <c r="C182" t="s">
        <v>222</v>
      </c>
      <c r="E182" t="s">
        <v>226</v>
      </c>
      <c r="G182" s="5">
        <v>18.5</v>
      </c>
    </row>
    <row r="183" spans="2:7" x14ac:dyDescent="0.25">
      <c r="C183" t="s">
        <v>239</v>
      </c>
      <c r="E183" t="s">
        <v>221</v>
      </c>
      <c r="G183" s="34">
        <v>5.87</v>
      </c>
    </row>
    <row r="185" spans="2:7" ht="16.5" thickBot="1" x14ac:dyDescent="0.3">
      <c r="E185" t="s">
        <v>116</v>
      </c>
      <c r="G185" s="40">
        <f>SUM(G180:G184)</f>
        <v>53.54</v>
      </c>
    </row>
    <row r="186" spans="2:7" ht="16.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B297-F74B-4684-A7C6-21390C1E7BF4}">
  <dimension ref="A1:W32"/>
  <sheetViews>
    <sheetView workbookViewId="0">
      <selection activeCell="R10" sqref="R10"/>
    </sheetView>
  </sheetViews>
  <sheetFormatPr defaultRowHeight="15.75" x14ac:dyDescent="0.25"/>
  <cols>
    <col min="1" max="1" width="13.5" bestFit="1" customWidth="1"/>
    <col min="3" max="3" width="11.125" bestFit="1" customWidth="1"/>
    <col min="4" max="4" width="2.125" customWidth="1"/>
    <col min="5" max="5" width="10.125" bestFit="1" customWidth="1"/>
    <col min="6" max="6" width="2.125" customWidth="1"/>
    <col min="7" max="7" width="10.125" bestFit="1" customWidth="1"/>
    <col min="8" max="8" width="2.125" customWidth="1"/>
    <col min="9" max="9" width="11.125" bestFit="1" customWidth="1"/>
    <col min="10" max="10" width="2.125" customWidth="1"/>
    <col min="11" max="11" width="11.125" bestFit="1" customWidth="1"/>
    <col min="17" max="17" width="32.625" bestFit="1" customWidth="1"/>
    <col min="18" max="18" width="11.125" bestFit="1" customWidth="1"/>
    <col min="23" max="23" width="11.125" bestFit="1" customWidth="1"/>
  </cols>
  <sheetData>
    <row r="1" spans="1:21" x14ac:dyDescent="0.25">
      <c r="C1" s="75" t="s">
        <v>287</v>
      </c>
      <c r="D1" s="75"/>
      <c r="E1" s="75"/>
      <c r="F1" s="75"/>
      <c r="G1" s="75"/>
      <c r="H1" s="75"/>
      <c r="I1" s="75"/>
      <c r="J1" s="75"/>
      <c r="K1" s="75"/>
    </row>
    <row r="2" spans="1:21" x14ac:dyDescent="0.25">
      <c r="C2" s="11" t="s">
        <v>288</v>
      </c>
      <c r="E2" s="11" t="s">
        <v>289</v>
      </c>
      <c r="G2" s="11" t="s">
        <v>290</v>
      </c>
      <c r="I2" s="11" t="s">
        <v>291</v>
      </c>
      <c r="K2" s="11" t="s">
        <v>116</v>
      </c>
      <c r="Q2" t="s">
        <v>292</v>
      </c>
    </row>
    <row r="3" spans="1:21" x14ac:dyDescent="0.25">
      <c r="A3" s="46" t="s">
        <v>293</v>
      </c>
      <c r="C3" s="47">
        <v>61802.97</v>
      </c>
      <c r="D3" s="48"/>
      <c r="E3" s="47">
        <v>2962.93</v>
      </c>
      <c r="F3" s="48"/>
      <c r="G3" s="47">
        <v>359.94</v>
      </c>
      <c r="H3" s="48"/>
      <c r="I3" s="47">
        <v>14257.58</v>
      </c>
      <c r="K3" s="5">
        <f>SUM(E3:I3)</f>
        <v>17580.45</v>
      </c>
    </row>
    <row r="4" spans="1:21" x14ac:dyDescent="0.25">
      <c r="A4" s="49">
        <v>43831</v>
      </c>
      <c r="C4" s="5">
        <v>54303.96</v>
      </c>
      <c r="D4" s="5"/>
      <c r="E4" s="5">
        <v>2606.13</v>
      </c>
      <c r="F4" s="5"/>
      <c r="G4" s="5">
        <v>320.7</v>
      </c>
      <c r="H4" s="5"/>
      <c r="I4" s="5">
        <v>12540.68</v>
      </c>
      <c r="J4" s="5"/>
      <c r="K4" s="5">
        <f>SUM(E4:I4)</f>
        <v>15467.51</v>
      </c>
    </row>
    <row r="5" spans="1:21" x14ac:dyDescent="0.25">
      <c r="A5" s="49">
        <v>43862</v>
      </c>
      <c r="C5" s="5">
        <v>52255.27</v>
      </c>
      <c r="D5" s="5"/>
      <c r="E5" s="5">
        <v>2556.08</v>
      </c>
      <c r="F5" s="5"/>
      <c r="G5" s="5">
        <v>313.17</v>
      </c>
      <c r="H5" s="5"/>
      <c r="I5" s="5">
        <v>12299.78</v>
      </c>
      <c r="J5" s="5"/>
      <c r="K5" s="5">
        <f t="shared" ref="K5:K16" si="0">SUM(E5:I5)</f>
        <v>15169.03</v>
      </c>
      <c r="Q5" t="s">
        <v>294</v>
      </c>
      <c r="R5" s="50">
        <v>279050</v>
      </c>
      <c r="T5" t="s">
        <v>295</v>
      </c>
    </row>
    <row r="6" spans="1:21" x14ac:dyDescent="0.25">
      <c r="A6" s="49">
        <v>43891</v>
      </c>
      <c r="C6" s="5">
        <v>51210.59</v>
      </c>
      <c r="D6" s="5"/>
      <c r="E6" s="5">
        <v>2467.77</v>
      </c>
      <c r="F6" s="5"/>
      <c r="G6" s="5">
        <v>303.8</v>
      </c>
      <c r="H6" s="5"/>
      <c r="I6" s="5">
        <v>11874.85</v>
      </c>
      <c r="J6" s="5"/>
      <c r="K6" s="5">
        <f t="shared" si="0"/>
        <v>14646.42</v>
      </c>
      <c r="Q6" t="s">
        <v>296</v>
      </c>
      <c r="R6" s="36">
        <v>55958</v>
      </c>
      <c r="T6" t="s">
        <v>297</v>
      </c>
    </row>
    <row r="7" spans="1:21" x14ac:dyDescent="0.25">
      <c r="A7" s="49">
        <v>43922</v>
      </c>
      <c r="C7" s="5">
        <v>77254.880000000005</v>
      </c>
      <c r="D7" s="5"/>
      <c r="E7" s="5">
        <v>3785.3</v>
      </c>
      <c r="F7" s="5"/>
      <c r="G7" s="5">
        <v>465.95</v>
      </c>
      <c r="H7" s="5"/>
      <c r="I7" s="5">
        <v>18214.919999999998</v>
      </c>
      <c r="J7" s="5"/>
      <c r="K7" s="5">
        <f t="shared" si="0"/>
        <v>22466.17</v>
      </c>
      <c r="R7" s="50"/>
    </row>
    <row r="8" spans="1:21" ht="16.5" thickBot="1" x14ac:dyDescent="0.3">
      <c r="A8" s="49">
        <v>43952</v>
      </c>
      <c r="C8" s="5">
        <v>52931.42</v>
      </c>
      <c r="D8" s="5"/>
      <c r="E8" s="5">
        <v>2549.4699999999998</v>
      </c>
      <c r="F8" s="5"/>
      <c r="G8" s="5">
        <v>309.63</v>
      </c>
      <c r="H8" s="5"/>
      <c r="I8" s="5">
        <v>12268.05</v>
      </c>
      <c r="J8" s="5"/>
      <c r="K8" s="5">
        <f t="shared" si="0"/>
        <v>15127.15</v>
      </c>
      <c r="Q8" t="s">
        <v>116</v>
      </c>
      <c r="R8" s="51">
        <f>SUM(R5:R7)</f>
        <v>335008</v>
      </c>
    </row>
    <row r="9" spans="1:21" ht="16.5" thickTop="1" x14ac:dyDescent="0.25">
      <c r="A9" s="49">
        <v>43983</v>
      </c>
      <c r="C9" s="5">
        <v>53109.75</v>
      </c>
      <c r="D9" s="5"/>
      <c r="E9" s="5">
        <v>2573.17</v>
      </c>
      <c r="F9" s="5"/>
      <c r="G9" s="5">
        <v>314.58999999999997</v>
      </c>
      <c r="H9" s="5"/>
      <c r="I9" s="5">
        <v>12382.07</v>
      </c>
      <c r="J9" s="5"/>
      <c r="K9" s="5">
        <f t="shared" si="0"/>
        <v>15269.83</v>
      </c>
    </row>
    <row r="10" spans="1:21" x14ac:dyDescent="0.25">
      <c r="A10" s="49">
        <v>44013</v>
      </c>
      <c r="C10" s="5">
        <v>51065.89</v>
      </c>
      <c r="D10" s="5"/>
      <c r="E10" s="5">
        <v>2508.89</v>
      </c>
      <c r="F10" s="5"/>
      <c r="G10" s="5">
        <v>306.55</v>
      </c>
      <c r="H10" s="5"/>
      <c r="I10" s="5">
        <v>12072.72</v>
      </c>
      <c r="J10" s="5"/>
      <c r="K10" s="5">
        <f t="shared" si="0"/>
        <v>14888.16</v>
      </c>
      <c r="Q10" t="s">
        <v>117</v>
      </c>
      <c r="R10" s="6">
        <f>R8-(I18+G18)</f>
        <v>170287.83999999997</v>
      </c>
    </row>
    <row r="11" spans="1:21" x14ac:dyDescent="0.25">
      <c r="A11" s="49">
        <v>44044</v>
      </c>
      <c r="C11" s="5">
        <v>51843.16</v>
      </c>
      <c r="D11" s="5"/>
      <c r="E11" s="5">
        <v>2492.65</v>
      </c>
      <c r="F11" s="5"/>
      <c r="G11" s="5">
        <v>300.83999999999997</v>
      </c>
      <c r="H11" s="5"/>
      <c r="I11" s="5">
        <v>11994.6</v>
      </c>
      <c r="J11" s="5"/>
      <c r="K11" s="5">
        <f t="shared" si="0"/>
        <v>14788.09</v>
      </c>
    </row>
    <row r="12" spans="1:21" x14ac:dyDescent="0.25">
      <c r="A12" s="49">
        <v>44075</v>
      </c>
      <c r="C12" s="5">
        <v>52554.78</v>
      </c>
      <c r="D12" s="5"/>
      <c r="E12" s="5">
        <v>2547.12</v>
      </c>
      <c r="F12" s="5"/>
      <c r="G12" s="5">
        <v>311.32</v>
      </c>
      <c r="H12" s="5"/>
      <c r="I12" s="5">
        <v>12256.66</v>
      </c>
      <c r="J12" s="5"/>
      <c r="K12" s="5">
        <f t="shared" si="0"/>
        <v>15115.1</v>
      </c>
    </row>
    <row r="13" spans="1:21" x14ac:dyDescent="0.25">
      <c r="A13" s="49">
        <v>44105</v>
      </c>
      <c r="C13" s="5">
        <v>80772.179999999993</v>
      </c>
      <c r="D13" s="5"/>
      <c r="E13" s="5">
        <v>2806.6</v>
      </c>
      <c r="F13" s="5"/>
      <c r="G13" s="5">
        <v>463.1</v>
      </c>
      <c r="H13" s="5"/>
      <c r="I13" s="5">
        <v>18317.39</v>
      </c>
      <c r="J13" s="5"/>
      <c r="K13" s="5">
        <f t="shared" si="0"/>
        <v>21587.09</v>
      </c>
      <c r="U13" s="52"/>
    </row>
    <row r="14" spans="1:21" x14ac:dyDescent="0.25">
      <c r="A14" s="49">
        <v>44136</v>
      </c>
      <c r="C14" s="5">
        <v>54115.93</v>
      </c>
      <c r="D14" s="5"/>
      <c r="E14" s="5">
        <v>2508.9699999999998</v>
      </c>
      <c r="F14" s="5"/>
      <c r="G14" s="5">
        <v>306.54000000000002</v>
      </c>
      <c r="H14" s="5"/>
      <c r="I14" s="5">
        <v>12073.1</v>
      </c>
      <c r="J14" s="5"/>
      <c r="K14" s="5">
        <f t="shared" si="0"/>
        <v>14888.61</v>
      </c>
    </row>
    <row r="15" spans="1:21" x14ac:dyDescent="0.25">
      <c r="A15" s="49">
        <v>44166</v>
      </c>
      <c r="C15" s="34">
        <v>62492.65</v>
      </c>
      <c r="D15" s="5"/>
      <c r="E15" s="34">
        <v>2980.46</v>
      </c>
      <c r="F15" s="5"/>
      <c r="G15" s="34">
        <v>367.13</v>
      </c>
      <c r="H15" s="5"/>
      <c r="I15" s="34">
        <v>14342.02</v>
      </c>
      <c r="J15" s="5"/>
      <c r="K15" s="34">
        <f t="shared" si="0"/>
        <v>17689.61</v>
      </c>
    </row>
    <row r="16" spans="1:21" x14ac:dyDescent="0.25">
      <c r="A16" s="49">
        <v>44217</v>
      </c>
      <c r="C16" s="5">
        <v>55528.36</v>
      </c>
      <c r="D16" s="5"/>
      <c r="E16" s="5">
        <v>2711.82</v>
      </c>
      <c r="F16" s="5"/>
      <c r="G16" s="5">
        <v>328.12</v>
      </c>
      <c r="H16" s="5"/>
      <c r="I16" s="5">
        <v>13049.23</v>
      </c>
      <c r="J16" s="5"/>
      <c r="K16" s="33">
        <f t="shared" si="0"/>
        <v>16089.17</v>
      </c>
    </row>
    <row r="18" spans="1:23" ht="16.5" thickBot="1" x14ac:dyDescent="0.3">
      <c r="A18" t="s">
        <v>116</v>
      </c>
      <c r="C18" s="38">
        <f>SUM(C4:C15)</f>
        <v>693910.4600000002</v>
      </c>
      <c r="D18" s="6">
        <f t="shared" ref="D18:K18" si="1">SUM(D4:D15)</f>
        <v>0</v>
      </c>
      <c r="E18" s="38">
        <f t="shared" si="1"/>
        <v>32382.609999999997</v>
      </c>
      <c r="F18" s="6">
        <f t="shared" si="1"/>
        <v>0</v>
      </c>
      <c r="G18" s="38">
        <f t="shared" si="1"/>
        <v>4083.32</v>
      </c>
      <c r="H18" s="6">
        <f t="shared" si="1"/>
        <v>0</v>
      </c>
      <c r="I18" s="38">
        <f t="shared" si="1"/>
        <v>160636.84000000003</v>
      </c>
      <c r="J18" s="6">
        <f t="shared" si="1"/>
        <v>0</v>
      </c>
      <c r="K18" s="38">
        <f t="shared" si="1"/>
        <v>197102.76999999996</v>
      </c>
    </row>
    <row r="19" spans="1:23" ht="16.5" thickTop="1" x14ac:dyDescent="0.25"/>
    <row r="20" spans="1:23" x14ac:dyDescent="0.25">
      <c r="E20" s="6"/>
      <c r="F20" s="6"/>
      <c r="G20" s="6"/>
      <c r="I20" s="6"/>
    </row>
    <row r="22" spans="1:23" x14ac:dyDescent="0.25">
      <c r="G22" s="6"/>
      <c r="R22" s="50"/>
      <c r="U22" s="52"/>
      <c r="W22" s="6"/>
    </row>
    <row r="23" spans="1:23" x14ac:dyDescent="0.25">
      <c r="E23" s="5"/>
      <c r="F23" s="5"/>
      <c r="G23" s="5"/>
      <c r="H23" s="5"/>
      <c r="I23" s="5"/>
      <c r="K23" s="6"/>
    </row>
    <row r="24" spans="1:23" x14ac:dyDescent="0.25">
      <c r="R24" s="6"/>
    </row>
    <row r="25" spans="1:23" x14ac:dyDescent="0.25">
      <c r="E25" s="6"/>
      <c r="F25" s="6"/>
      <c r="G25" s="6"/>
      <c r="H25" s="6"/>
      <c r="I25" s="6"/>
      <c r="J25" s="6"/>
      <c r="K25" s="6"/>
    </row>
    <row r="26" spans="1:23" x14ac:dyDescent="0.25">
      <c r="R26" s="6"/>
    </row>
    <row r="30" spans="1:23" x14ac:dyDescent="0.25">
      <c r="R30" s="6"/>
    </row>
    <row r="32" spans="1:23" x14ac:dyDescent="0.25">
      <c r="R32" s="6"/>
    </row>
  </sheetData>
  <mergeCells count="1">
    <mergeCell ref="C1:K1"/>
  </mergeCells>
  <pageMargins left="0.7" right="0.7" top="0.75" bottom="0.75" header="0.3" footer="0.3"/>
  <ignoredErrors>
    <ignoredError sqref="C18:I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38E58-9658-4CC4-89DA-6BB833ECAC6F}">
  <dimension ref="A1:Y186"/>
  <sheetViews>
    <sheetView workbookViewId="0">
      <selection activeCell="Y157" sqref="Y157"/>
    </sheetView>
  </sheetViews>
  <sheetFormatPr defaultRowHeight="15.75" x14ac:dyDescent="0.25"/>
  <cols>
    <col min="2" max="2" width="2.125" customWidth="1"/>
    <col min="3" max="3" width="30.5" bestFit="1" customWidth="1"/>
    <col min="4" max="4" width="2.125" customWidth="1"/>
    <col min="5" max="5" width="10.75" bestFit="1" customWidth="1"/>
    <col min="6" max="6" width="2.125" customWidth="1"/>
    <col min="7" max="7" width="12.625" bestFit="1" customWidth="1"/>
    <col min="8" max="8" width="2.125" customWidth="1"/>
    <col min="9" max="9" width="12.875" bestFit="1" customWidth="1"/>
    <col min="10" max="10" width="2.125" customWidth="1"/>
    <col min="11" max="11" width="12.5" customWidth="1"/>
    <col min="12" max="12" width="2.125" customWidth="1"/>
    <col min="13" max="13" width="12.625" bestFit="1" customWidth="1"/>
    <col min="14" max="14" width="2.125" customWidth="1"/>
    <col min="15" max="15" width="12.625" bestFit="1" customWidth="1"/>
    <col min="16" max="16" width="2.125" customWidth="1"/>
    <col min="21" max="21" width="11.375" bestFit="1" customWidth="1"/>
    <col min="23" max="23" width="15.375" bestFit="1" customWidth="1"/>
    <col min="25" max="25" width="13" bestFit="1" customWidth="1"/>
  </cols>
  <sheetData>
    <row r="1" spans="1:21" x14ac:dyDescent="0.25">
      <c r="S1" s="75" t="s">
        <v>0</v>
      </c>
      <c r="T1" s="75"/>
      <c r="U1" s="75"/>
    </row>
    <row r="2" spans="1:21" ht="32.25" thickBot="1" x14ac:dyDescent="0.3">
      <c r="A2" s="1" t="s">
        <v>1</v>
      </c>
      <c r="C2" s="2" t="s">
        <v>2</v>
      </c>
      <c r="E2" s="2" t="s">
        <v>3</v>
      </c>
      <c r="G2" s="1" t="s">
        <v>4</v>
      </c>
      <c r="I2" s="2" t="s">
        <v>5</v>
      </c>
      <c r="K2" s="2" t="s">
        <v>6</v>
      </c>
      <c r="M2" s="2" t="s">
        <v>7</v>
      </c>
      <c r="O2" s="2" t="s">
        <v>8</v>
      </c>
      <c r="Q2" s="2" t="s">
        <v>9</v>
      </c>
      <c r="S2" s="1" t="s">
        <v>10</v>
      </c>
      <c r="U2" s="1" t="s">
        <v>11</v>
      </c>
    </row>
    <row r="4" spans="1:21" x14ac:dyDescent="0.25">
      <c r="A4" s="3" t="s">
        <v>12</v>
      </c>
    </row>
    <row r="6" spans="1:21" x14ac:dyDescent="0.25">
      <c r="A6">
        <v>11</v>
      </c>
      <c r="C6" t="s">
        <v>13</v>
      </c>
      <c r="E6" s="4">
        <v>34608</v>
      </c>
      <c r="G6" s="5">
        <v>1605869.04</v>
      </c>
      <c r="H6" s="5"/>
      <c r="I6" s="5">
        <v>1013731.29</v>
      </c>
      <c r="J6" s="5"/>
      <c r="K6" s="5">
        <v>40146.730000000003</v>
      </c>
      <c r="L6" s="5"/>
      <c r="M6" s="5">
        <f>I6+K6</f>
        <v>1053878.02</v>
      </c>
      <c r="N6" s="5"/>
      <c r="O6" s="5">
        <f>G6-M6</f>
        <v>551991.02</v>
      </c>
      <c r="Q6">
        <v>40</v>
      </c>
    </row>
    <row r="7" spans="1:21" x14ac:dyDescent="0.25">
      <c r="A7">
        <v>179</v>
      </c>
      <c r="C7" t="s">
        <v>14</v>
      </c>
      <c r="E7" s="4">
        <v>36951</v>
      </c>
      <c r="G7" s="5">
        <v>179296</v>
      </c>
      <c r="H7" s="5"/>
      <c r="I7" s="5">
        <v>67534.83</v>
      </c>
      <c r="J7" s="5"/>
      <c r="K7" s="5">
        <v>3585.92</v>
      </c>
      <c r="L7" s="5"/>
      <c r="M7" s="5">
        <f>I7+K7</f>
        <v>71120.75</v>
      </c>
      <c r="N7" s="5"/>
      <c r="O7" s="5">
        <f>G7-M7</f>
        <v>108175.25</v>
      </c>
      <c r="Q7">
        <v>50</v>
      </c>
    </row>
    <row r="8" spans="1:21" x14ac:dyDescent="0.25">
      <c r="A8">
        <v>180</v>
      </c>
      <c r="C8" t="s">
        <v>15</v>
      </c>
      <c r="E8" s="4">
        <v>37043</v>
      </c>
      <c r="G8" s="5">
        <v>9040</v>
      </c>
      <c r="H8" s="5"/>
      <c r="I8" s="5">
        <v>8399.67</v>
      </c>
      <c r="J8" s="5"/>
      <c r="K8" s="5">
        <v>452</v>
      </c>
      <c r="L8" s="5"/>
      <c r="M8" s="5">
        <f t="shared" ref="M8:M71" si="0">I8+K8</f>
        <v>8851.67</v>
      </c>
      <c r="N8" s="5"/>
      <c r="O8" s="5">
        <f t="shared" ref="O8:O71" si="1">G8-M8</f>
        <v>188.32999999999993</v>
      </c>
      <c r="Q8">
        <v>20</v>
      </c>
    </row>
    <row r="9" spans="1:21" x14ac:dyDescent="0.25">
      <c r="A9">
        <v>253</v>
      </c>
      <c r="C9" t="s">
        <v>16</v>
      </c>
      <c r="E9" s="4">
        <v>39630</v>
      </c>
      <c r="G9" s="5">
        <v>101385.05</v>
      </c>
      <c r="H9" s="5"/>
      <c r="I9" s="5">
        <v>23318.55</v>
      </c>
      <c r="J9" s="5"/>
      <c r="K9" s="5">
        <v>2027.7</v>
      </c>
      <c r="L9" s="5"/>
      <c r="M9" s="5">
        <f t="shared" si="0"/>
        <v>25346.25</v>
      </c>
      <c r="N9" s="5"/>
      <c r="O9" s="5">
        <f t="shared" si="1"/>
        <v>76038.8</v>
      </c>
      <c r="Q9">
        <v>50</v>
      </c>
    </row>
    <row r="10" spans="1:21" x14ac:dyDescent="0.25">
      <c r="A10">
        <v>285</v>
      </c>
      <c r="C10" t="s">
        <v>17</v>
      </c>
      <c r="E10" s="4">
        <v>41232</v>
      </c>
      <c r="G10" s="5">
        <v>6577249.4400000004</v>
      </c>
      <c r="H10" s="5"/>
      <c r="I10" s="5">
        <v>1163173.6000000001</v>
      </c>
      <c r="J10" s="5"/>
      <c r="K10" s="5">
        <v>164431.24</v>
      </c>
      <c r="L10" s="5"/>
      <c r="M10" s="5">
        <f t="shared" si="0"/>
        <v>1327604.8400000001</v>
      </c>
      <c r="N10" s="5"/>
      <c r="O10" s="5">
        <f t="shared" si="1"/>
        <v>5249644.6000000006</v>
      </c>
      <c r="Q10">
        <v>40</v>
      </c>
    </row>
    <row r="11" spans="1:21" x14ac:dyDescent="0.25">
      <c r="G11" s="5"/>
      <c r="H11" s="5"/>
      <c r="I11" s="5"/>
      <c r="J11" s="5"/>
      <c r="K11" s="5"/>
      <c r="L11" s="5"/>
      <c r="M11" s="5"/>
      <c r="N11" s="5"/>
      <c r="O11" s="5"/>
    </row>
    <row r="12" spans="1:21" x14ac:dyDescent="0.25">
      <c r="A12" s="3" t="s">
        <v>18</v>
      </c>
      <c r="G12" s="5"/>
      <c r="H12" s="5"/>
      <c r="I12" s="5"/>
      <c r="J12" s="5"/>
      <c r="K12" s="5"/>
      <c r="L12" s="5"/>
      <c r="M12" s="5"/>
      <c r="N12" s="5"/>
      <c r="O12" s="5"/>
    </row>
    <row r="13" spans="1:21" x14ac:dyDescent="0.25">
      <c r="G13" s="5"/>
      <c r="H13" s="5"/>
      <c r="I13" s="5"/>
      <c r="J13" s="5"/>
      <c r="K13" s="5"/>
      <c r="L13" s="5"/>
      <c r="M13" s="5"/>
      <c r="N13" s="5"/>
      <c r="O13" s="5"/>
    </row>
    <row r="14" spans="1:21" x14ac:dyDescent="0.25">
      <c r="A14">
        <v>270</v>
      </c>
      <c r="C14" t="s">
        <v>19</v>
      </c>
      <c r="E14" s="4">
        <v>40512</v>
      </c>
      <c r="G14" s="5">
        <v>4743</v>
      </c>
      <c r="H14" s="5"/>
      <c r="I14" s="5">
        <v>2872.15</v>
      </c>
      <c r="J14" s="5"/>
      <c r="K14" s="5">
        <v>316.2</v>
      </c>
      <c r="L14" s="5"/>
      <c r="M14" s="5">
        <f t="shared" si="0"/>
        <v>3188.35</v>
      </c>
      <c r="N14" s="5"/>
      <c r="O14" s="5">
        <f t="shared" si="1"/>
        <v>1554.65</v>
      </c>
      <c r="Q14">
        <v>15</v>
      </c>
    </row>
    <row r="15" spans="1:21" x14ac:dyDescent="0.25">
      <c r="A15">
        <v>316</v>
      </c>
      <c r="C15" t="s">
        <v>20</v>
      </c>
      <c r="E15" s="4">
        <v>42534</v>
      </c>
      <c r="G15" s="5">
        <v>3755</v>
      </c>
      <c r="H15" s="5"/>
      <c r="I15" s="5">
        <v>897.02</v>
      </c>
      <c r="J15" s="5"/>
      <c r="K15" s="5">
        <v>250.33</v>
      </c>
      <c r="L15" s="5"/>
      <c r="M15" s="5">
        <f t="shared" si="0"/>
        <v>1147.3499999999999</v>
      </c>
      <c r="N15" s="5"/>
      <c r="O15" s="5">
        <f t="shared" si="1"/>
        <v>2607.65</v>
      </c>
      <c r="Q15">
        <v>15</v>
      </c>
    </row>
    <row r="16" spans="1:21" x14ac:dyDescent="0.25">
      <c r="A16">
        <v>318</v>
      </c>
      <c r="C16" t="s">
        <v>21</v>
      </c>
      <c r="E16" s="4">
        <v>42831</v>
      </c>
      <c r="G16" s="5">
        <v>8900</v>
      </c>
      <c r="H16" s="5"/>
      <c r="I16" s="5">
        <v>2447.5</v>
      </c>
      <c r="J16" s="5"/>
      <c r="K16" s="5">
        <v>890</v>
      </c>
      <c r="L16" s="5"/>
      <c r="M16" s="5">
        <f t="shared" si="0"/>
        <v>3337.5</v>
      </c>
      <c r="N16" s="5"/>
      <c r="O16" s="5">
        <f t="shared" si="1"/>
        <v>5562.5</v>
      </c>
      <c r="Q16">
        <v>10</v>
      </c>
    </row>
    <row r="17" spans="1:23" x14ac:dyDescent="0.25">
      <c r="A17">
        <v>331</v>
      </c>
      <c r="C17" t="s">
        <v>22</v>
      </c>
      <c r="E17" s="4">
        <v>43763</v>
      </c>
      <c r="G17" s="5">
        <v>17657</v>
      </c>
      <c r="H17" s="5"/>
      <c r="I17" s="5">
        <v>75.459999999999994</v>
      </c>
      <c r="J17" s="5"/>
      <c r="K17" s="5">
        <v>452.74</v>
      </c>
      <c r="L17" s="5"/>
      <c r="M17" s="5">
        <f t="shared" si="0"/>
        <v>528.20000000000005</v>
      </c>
      <c r="N17" s="5"/>
      <c r="O17" s="5">
        <f t="shared" si="1"/>
        <v>17128.8</v>
      </c>
      <c r="Q17">
        <v>39</v>
      </c>
    </row>
    <row r="18" spans="1:23" x14ac:dyDescent="0.25">
      <c r="G18" s="5"/>
      <c r="H18" s="5"/>
      <c r="I18" s="5"/>
      <c r="J18" s="5"/>
      <c r="K18" s="5"/>
      <c r="L18" s="5"/>
      <c r="M18" s="5">
        <f t="shared" si="0"/>
        <v>0</v>
      </c>
      <c r="N18" s="5"/>
      <c r="O18" s="5">
        <f t="shared" si="1"/>
        <v>0</v>
      </c>
    </row>
    <row r="19" spans="1:23" x14ac:dyDescent="0.25">
      <c r="A19" s="3" t="s">
        <v>23</v>
      </c>
      <c r="G19" s="5"/>
      <c r="H19" s="5"/>
      <c r="I19" s="5"/>
      <c r="J19" s="5"/>
      <c r="K19" s="5"/>
      <c r="L19" s="5"/>
      <c r="M19" s="5">
        <f t="shared" si="0"/>
        <v>0</v>
      </c>
      <c r="N19" s="5"/>
      <c r="O19" s="5">
        <f t="shared" si="1"/>
        <v>0</v>
      </c>
    </row>
    <row r="20" spans="1:23" x14ac:dyDescent="0.25">
      <c r="G20" s="5"/>
      <c r="H20" s="5"/>
      <c r="I20" s="5"/>
      <c r="J20" s="5"/>
      <c r="K20" s="5"/>
      <c r="L20" s="5"/>
      <c r="M20" s="5">
        <f t="shared" si="0"/>
        <v>0</v>
      </c>
      <c r="N20" s="5"/>
      <c r="O20" s="5">
        <f t="shared" si="1"/>
        <v>0</v>
      </c>
    </row>
    <row r="21" spans="1:23" x14ac:dyDescent="0.25">
      <c r="A21">
        <v>20</v>
      </c>
      <c r="C21" t="s">
        <v>24</v>
      </c>
      <c r="E21" s="4">
        <v>26114</v>
      </c>
      <c r="G21" s="5">
        <v>32508.14</v>
      </c>
      <c r="H21" s="5"/>
      <c r="I21" s="5">
        <v>31316.14</v>
      </c>
      <c r="J21" s="5"/>
      <c r="K21" s="5">
        <v>650.16</v>
      </c>
      <c r="L21" s="5"/>
      <c r="M21" s="5">
        <f t="shared" si="0"/>
        <v>31966.3</v>
      </c>
      <c r="N21" s="5"/>
      <c r="O21" s="5">
        <f t="shared" si="1"/>
        <v>541.84000000000015</v>
      </c>
      <c r="Q21">
        <v>50</v>
      </c>
      <c r="S21">
        <v>62.5</v>
      </c>
      <c r="U21" s="6">
        <f>G21/S21</f>
        <v>520.13023999999996</v>
      </c>
      <c r="V21" s="6">
        <f>G21/Q21</f>
        <v>650.16279999999995</v>
      </c>
      <c r="W21" s="6">
        <f>U21-K21</f>
        <v>-130.02976000000001</v>
      </c>
    </row>
    <row r="22" spans="1:23" x14ac:dyDescent="0.25">
      <c r="A22">
        <v>21</v>
      </c>
      <c r="C22" t="s">
        <v>24</v>
      </c>
      <c r="E22" s="4">
        <v>26845</v>
      </c>
      <c r="G22" s="5">
        <v>39674.5</v>
      </c>
      <c r="H22" s="5"/>
      <c r="I22" s="5">
        <v>36633</v>
      </c>
      <c r="J22" s="5"/>
      <c r="K22" s="5">
        <v>793.49</v>
      </c>
      <c r="L22" s="5"/>
      <c r="M22" s="5">
        <f t="shared" si="0"/>
        <v>37426.49</v>
      </c>
      <c r="N22" s="5"/>
      <c r="O22" s="5">
        <f t="shared" si="1"/>
        <v>2248.010000000002</v>
      </c>
      <c r="Q22">
        <v>50</v>
      </c>
      <c r="S22">
        <v>62.5</v>
      </c>
      <c r="U22" s="6">
        <f t="shared" ref="U22:U33" si="2">G22/S22</f>
        <v>634.79200000000003</v>
      </c>
      <c r="W22" s="6">
        <f t="shared" ref="W22:W85" si="3">U22-K22</f>
        <v>-158.69799999999998</v>
      </c>
    </row>
    <row r="23" spans="1:23" x14ac:dyDescent="0.25">
      <c r="A23">
        <v>22</v>
      </c>
      <c r="C23" t="s">
        <v>24</v>
      </c>
      <c r="E23" s="4">
        <v>27210</v>
      </c>
      <c r="G23" s="5">
        <v>90353.12</v>
      </c>
      <c r="H23" s="5"/>
      <c r="I23" s="5">
        <v>81618.880000000005</v>
      </c>
      <c r="J23" s="5"/>
      <c r="K23" s="5">
        <v>1807.06</v>
      </c>
      <c r="L23" s="5"/>
      <c r="M23" s="5">
        <f t="shared" si="0"/>
        <v>83425.94</v>
      </c>
      <c r="N23" s="5"/>
      <c r="O23" s="5">
        <f t="shared" si="1"/>
        <v>6927.179999999993</v>
      </c>
      <c r="Q23">
        <v>50</v>
      </c>
      <c r="S23">
        <v>62.5</v>
      </c>
      <c r="U23" s="6">
        <f t="shared" si="2"/>
        <v>1445.6499199999998</v>
      </c>
      <c r="W23" s="6">
        <f t="shared" si="3"/>
        <v>-361.41008000000011</v>
      </c>
    </row>
    <row r="24" spans="1:23" x14ac:dyDescent="0.25">
      <c r="A24">
        <v>23</v>
      </c>
      <c r="C24" t="s">
        <v>24</v>
      </c>
      <c r="E24" s="4">
        <v>27575</v>
      </c>
      <c r="G24" s="5">
        <v>68770.460000000006</v>
      </c>
      <c r="H24" s="5"/>
      <c r="I24" s="5">
        <v>60747.47</v>
      </c>
      <c r="J24" s="5"/>
      <c r="K24" s="5">
        <v>1375.41</v>
      </c>
      <c r="L24" s="5"/>
      <c r="M24" s="5">
        <f>I24+K24</f>
        <v>62122.880000000005</v>
      </c>
      <c r="N24" s="5"/>
      <c r="O24" s="5">
        <f t="shared" si="1"/>
        <v>6647.5800000000017</v>
      </c>
      <c r="Q24">
        <v>50</v>
      </c>
      <c r="S24">
        <v>62.5</v>
      </c>
      <c r="U24" s="6">
        <f t="shared" si="2"/>
        <v>1100.32736</v>
      </c>
      <c r="W24" s="6">
        <f t="shared" si="3"/>
        <v>-275.08264000000008</v>
      </c>
    </row>
    <row r="25" spans="1:23" x14ac:dyDescent="0.25">
      <c r="A25">
        <v>24</v>
      </c>
      <c r="C25" t="s">
        <v>24</v>
      </c>
      <c r="E25" s="4">
        <v>27941</v>
      </c>
      <c r="G25" s="5">
        <v>20376.86</v>
      </c>
      <c r="H25" s="5"/>
      <c r="I25" s="5">
        <v>17592.150000000001</v>
      </c>
      <c r="J25" s="5"/>
      <c r="K25" s="5">
        <v>407.54</v>
      </c>
      <c r="L25" s="5"/>
      <c r="M25" s="5">
        <f t="shared" si="0"/>
        <v>17999.690000000002</v>
      </c>
      <c r="N25" s="5"/>
      <c r="O25" s="5">
        <f t="shared" si="1"/>
        <v>2377.1699999999983</v>
      </c>
      <c r="Q25">
        <v>50</v>
      </c>
      <c r="S25">
        <v>62.5</v>
      </c>
      <c r="U25" s="6">
        <f t="shared" si="2"/>
        <v>326.02976000000001</v>
      </c>
      <c r="W25" s="6">
        <f t="shared" si="3"/>
        <v>-81.51024000000001</v>
      </c>
    </row>
    <row r="26" spans="1:23" x14ac:dyDescent="0.25">
      <c r="A26">
        <v>25</v>
      </c>
      <c r="C26" t="s">
        <v>24</v>
      </c>
      <c r="E26" s="4">
        <v>28306</v>
      </c>
      <c r="G26" s="5">
        <v>40006.239999999998</v>
      </c>
      <c r="H26" s="5"/>
      <c r="I26" s="5">
        <v>33605.040000000001</v>
      </c>
      <c r="J26" s="5"/>
      <c r="K26" s="5">
        <v>800.12</v>
      </c>
      <c r="L26" s="5"/>
      <c r="M26" s="5">
        <f t="shared" si="0"/>
        <v>34405.160000000003</v>
      </c>
      <c r="N26" s="5"/>
      <c r="O26" s="5">
        <f t="shared" si="1"/>
        <v>5601.0799999999945</v>
      </c>
      <c r="Q26">
        <v>50</v>
      </c>
      <c r="S26">
        <v>62.5</v>
      </c>
      <c r="U26" s="6">
        <f t="shared" si="2"/>
        <v>640.09983999999997</v>
      </c>
      <c r="W26" s="6">
        <f t="shared" si="3"/>
        <v>-160.02016000000003</v>
      </c>
    </row>
    <row r="27" spans="1:23" x14ac:dyDescent="0.25">
      <c r="A27">
        <v>26</v>
      </c>
      <c r="C27" t="s">
        <v>24</v>
      </c>
      <c r="E27" s="4">
        <v>28671</v>
      </c>
      <c r="G27" s="5">
        <v>775832.46</v>
      </c>
      <c r="H27" s="5"/>
      <c r="I27" s="5">
        <v>636182.65</v>
      </c>
      <c r="J27" s="5"/>
      <c r="K27" s="5">
        <v>15516.65</v>
      </c>
      <c r="L27" s="5"/>
      <c r="M27" s="5">
        <f t="shared" si="0"/>
        <v>651699.30000000005</v>
      </c>
      <c r="N27" s="5"/>
      <c r="O27" s="5">
        <f t="shared" si="1"/>
        <v>124133.15999999992</v>
      </c>
      <c r="Q27">
        <v>50</v>
      </c>
      <c r="S27">
        <v>62.5</v>
      </c>
      <c r="U27" s="6">
        <f t="shared" si="2"/>
        <v>12413.31936</v>
      </c>
      <c r="W27" s="6">
        <f t="shared" si="3"/>
        <v>-3103.3306400000001</v>
      </c>
    </row>
    <row r="28" spans="1:23" x14ac:dyDescent="0.25">
      <c r="A28">
        <v>27</v>
      </c>
      <c r="C28" t="s">
        <v>24</v>
      </c>
      <c r="E28" s="4">
        <v>29036</v>
      </c>
      <c r="G28" s="5">
        <v>116430.59</v>
      </c>
      <c r="H28" s="5"/>
      <c r="I28" s="5">
        <v>93144.4</v>
      </c>
      <c r="J28" s="5"/>
      <c r="K28" s="5">
        <v>2328.61</v>
      </c>
      <c r="L28" s="5"/>
      <c r="M28" s="5">
        <f t="shared" si="0"/>
        <v>95473.01</v>
      </c>
      <c r="N28" s="5"/>
      <c r="O28" s="5">
        <f t="shared" si="1"/>
        <v>20957.580000000002</v>
      </c>
      <c r="Q28">
        <v>50</v>
      </c>
      <c r="S28">
        <v>62.5</v>
      </c>
      <c r="U28" s="6">
        <f t="shared" si="2"/>
        <v>1862.8894399999999</v>
      </c>
      <c r="W28" s="6">
        <f t="shared" si="3"/>
        <v>-465.72056000000021</v>
      </c>
    </row>
    <row r="29" spans="1:23" x14ac:dyDescent="0.25">
      <c r="A29">
        <v>28</v>
      </c>
      <c r="C29" t="s">
        <v>24</v>
      </c>
      <c r="E29" s="4">
        <v>29402</v>
      </c>
      <c r="G29" s="5">
        <v>52052.09</v>
      </c>
      <c r="H29" s="5"/>
      <c r="I29" s="5">
        <v>40600.559999999998</v>
      </c>
      <c r="J29" s="5"/>
      <c r="K29" s="5">
        <v>1041.04</v>
      </c>
      <c r="L29" s="5"/>
      <c r="M29" s="5">
        <f t="shared" si="0"/>
        <v>41641.599999999999</v>
      </c>
      <c r="N29" s="5"/>
      <c r="O29" s="5">
        <f t="shared" si="1"/>
        <v>10410.489999999998</v>
      </c>
      <c r="Q29">
        <v>50</v>
      </c>
      <c r="S29">
        <v>62.5</v>
      </c>
      <c r="U29" s="6">
        <f t="shared" si="2"/>
        <v>832.83344</v>
      </c>
      <c r="W29" s="6">
        <f t="shared" si="3"/>
        <v>-208.20655999999997</v>
      </c>
    </row>
    <row r="30" spans="1:23" x14ac:dyDescent="0.25">
      <c r="A30">
        <v>29</v>
      </c>
      <c r="C30" t="s">
        <v>24</v>
      </c>
      <c r="E30" s="4">
        <v>29767</v>
      </c>
      <c r="G30" s="5">
        <v>24608.639999999999</v>
      </c>
      <c r="H30" s="5"/>
      <c r="I30" s="5">
        <v>18702.46</v>
      </c>
      <c r="J30" s="5"/>
      <c r="K30" s="5">
        <v>492.17</v>
      </c>
      <c r="L30" s="5"/>
      <c r="M30" s="5">
        <f t="shared" si="0"/>
        <v>19194.629999999997</v>
      </c>
      <c r="N30" s="5"/>
      <c r="O30" s="5">
        <f t="shared" si="1"/>
        <v>5414.010000000002</v>
      </c>
      <c r="Q30">
        <v>50</v>
      </c>
      <c r="S30">
        <v>62.5</v>
      </c>
      <c r="U30" s="6">
        <f t="shared" si="2"/>
        <v>393.73824000000002</v>
      </c>
      <c r="W30" s="6">
        <f t="shared" si="3"/>
        <v>-98.431759999999997</v>
      </c>
    </row>
    <row r="31" spans="1:23" x14ac:dyDescent="0.25">
      <c r="A31">
        <v>30</v>
      </c>
      <c r="C31" t="s">
        <v>24</v>
      </c>
      <c r="E31" s="4">
        <v>30132</v>
      </c>
      <c r="G31" s="5">
        <v>23584.959999999999</v>
      </c>
      <c r="H31" s="5"/>
      <c r="I31" s="5">
        <v>17452.900000000001</v>
      </c>
      <c r="J31" s="5"/>
      <c r="K31" s="5">
        <v>471.7</v>
      </c>
      <c r="L31" s="5"/>
      <c r="M31" s="5">
        <f t="shared" si="0"/>
        <v>17924.600000000002</v>
      </c>
      <c r="N31" s="5"/>
      <c r="O31" s="5">
        <f t="shared" si="1"/>
        <v>5660.3599999999969</v>
      </c>
      <c r="Q31">
        <v>50</v>
      </c>
      <c r="S31">
        <v>62.5</v>
      </c>
      <c r="U31" s="6">
        <f t="shared" si="2"/>
        <v>377.35935999999998</v>
      </c>
      <c r="W31" s="6">
        <f t="shared" si="3"/>
        <v>-94.340640000000008</v>
      </c>
    </row>
    <row r="32" spans="1:23" x14ac:dyDescent="0.25">
      <c r="A32">
        <v>31</v>
      </c>
      <c r="C32" t="s">
        <v>24</v>
      </c>
      <c r="E32" s="4">
        <v>30497</v>
      </c>
      <c r="G32" s="5">
        <v>100269.3</v>
      </c>
      <c r="H32" s="5"/>
      <c r="I32" s="5">
        <v>72194.039999999994</v>
      </c>
      <c r="J32" s="5"/>
      <c r="K32" s="5">
        <v>2005.39</v>
      </c>
      <c r="L32" s="5"/>
      <c r="M32" s="5">
        <f t="shared" si="0"/>
        <v>74199.429999999993</v>
      </c>
      <c r="N32" s="5"/>
      <c r="O32" s="5">
        <f t="shared" si="1"/>
        <v>26069.87000000001</v>
      </c>
      <c r="Q32">
        <v>50</v>
      </c>
      <c r="S32">
        <v>62.5</v>
      </c>
      <c r="U32" s="6">
        <f t="shared" si="2"/>
        <v>1604.3088</v>
      </c>
      <c r="W32" s="6">
        <f t="shared" si="3"/>
        <v>-401.08120000000008</v>
      </c>
    </row>
    <row r="33" spans="1:23" x14ac:dyDescent="0.25">
      <c r="A33">
        <v>32</v>
      </c>
      <c r="C33" t="s">
        <v>24</v>
      </c>
      <c r="E33" s="4">
        <v>30863</v>
      </c>
      <c r="G33" s="5">
        <v>36213.360000000001</v>
      </c>
      <c r="H33" s="5"/>
      <c r="I33" s="5">
        <v>25719.11</v>
      </c>
      <c r="J33" s="5"/>
      <c r="K33" s="5">
        <v>724.27</v>
      </c>
      <c r="L33" s="5"/>
      <c r="M33" s="5">
        <f t="shared" si="0"/>
        <v>26443.38</v>
      </c>
      <c r="N33" s="5"/>
      <c r="O33" s="5">
        <f t="shared" si="1"/>
        <v>9769.98</v>
      </c>
      <c r="Q33">
        <v>50</v>
      </c>
      <c r="S33">
        <v>62.5</v>
      </c>
      <c r="U33" s="6">
        <f t="shared" si="2"/>
        <v>579.41376000000002</v>
      </c>
      <c r="W33" s="6">
        <f t="shared" si="3"/>
        <v>-144.85623999999996</v>
      </c>
    </row>
    <row r="34" spans="1:23" x14ac:dyDescent="0.25">
      <c r="A34">
        <v>33</v>
      </c>
      <c r="C34" t="s">
        <v>25</v>
      </c>
      <c r="E34" s="4">
        <v>31228</v>
      </c>
      <c r="G34" s="5">
        <v>317941.96999999997</v>
      </c>
      <c r="H34" s="5"/>
      <c r="I34" s="5">
        <v>274224.88</v>
      </c>
      <c r="J34" s="5"/>
      <c r="K34" s="5">
        <v>7948.55</v>
      </c>
      <c r="L34" s="5"/>
      <c r="M34" s="5">
        <f t="shared" si="0"/>
        <v>282173.43</v>
      </c>
      <c r="N34" s="5"/>
      <c r="O34" s="5">
        <f t="shared" si="1"/>
        <v>35768.539999999979</v>
      </c>
      <c r="Q34">
        <v>40</v>
      </c>
      <c r="S34">
        <v>45</v>
      </c>
      <c r="U34" s="6">
        <f>G34/S34</f>
        <v>7065.3771111111109</v>
      </c>
      <c r="W34" s="6">
        <f t="shared" si="3"/>
        <v>-883.17288888888925</v>
      </c>
    </row>
    <row r="35" spans="1:23" x14ac:dyDescent="0.25">
      <c r="A35">
        <v>34</v>
      </c>
      <c r="C35" t="s">
        <v>24</v>
      </c>
      <c r="E35" s="4">
        <v>31228</v>
      </c>
      <c r="G35" s="5">
        <v>48346.54</v>
      </c>
      <c r="H35" s="5"/>
      <c r="I35" s="5">
        <v>41698.78</v>
      </c>
      <c r="J35" s="5"/>
      <c r="K35" s="5">
        <v>1208.6600000000001</v>
      </c>
      <c r="L35" s="5"/>
      <c r="M35" s="5">
        <f t="shared" si="0"/>
        <v>42907.44</v>
      </c>
      <c r="N35" s="5"/>
      <c r="O35" s="5">
        <f t="shared" si="1"/>
        <v>5439.0999999999985</v>
      </c>
      <c r="Q35">
        <v>40</v>
      </c>
      <c r="S35">
        <v>62.5</v>
      </c>
      <c r="U35" s="6">
        <f>G35/S35</f>
        <v>773.54463999999996</v>
      </c>
      <c r="W35" s="6">
        <f t="shared" si="3"/>
        <v>-435.11536000000012</v>
      </c>
    </row>
    <row r="36" spans="1:23" x14ac:dyDescent="0.25">
      <c r="A36">
        <v>35</v>
      </c>
      <c r="C36" t="s">
        <v>24</v>
      </c>
      <c r="E36" s="4">
        <v>31593</v>
      </c>
      <c r="G36" s="5">
        <v>51232.44</v>
      </c>
      <c r="H36" s="5"/>
      <c r="I36" s="5">
        <v>42907.14</v>
      </c>
      <c r="J36" s="5"/>
      <c r="K36" s="5">
        <v>1280.81</v>
      </c>
      <c r="L36" s="5"/>
      <c r="M36" s="5">
        <f t="shared" si="0"/>
        <v>44187.95</v>
      </c>
      <c r="N36" s="5"/>
      <c r="O36" s="5">
        <f t="shared" si="1"/>
        <v>7044.4900000000052</v>
      </c>
      <c r="Q36">
        <v>40</v>
      </c>
      <c r="S36">
        <v>62.5</v>
      </c>
      <c r="U36" s="6">
        <f t="shared" ref="U36:U47" si="4">G36/S36</f>
        <v>819.71904000000006</v>
      </c>
      <c r="W36" s="6">
        <f t="shared" si="3"/>
        <v>-461.09095999999988</v>
      </c>
    </row>
    <row r="37" spans="1:23" x14ac:dyDescent="0.25">
      <c r="A37">
        <v>37</v>
      </c>
      <c r="C37" t="s">
        <v>26</v>
      </c>
      <c r="E37" s="4">
        <v>31958</v>
      </c>
      <c r="G37" s="5">
        <v>97126.51</v>
      </c>
      <c r="H37" s="5"/>
      <c r="I37" s="5">
        <v>78915.199999999997</v>
      </c>
      <c r="J37" s="5"/>
      <c r="K37" s="5">
        <v>2428.16</v>
      </c>
      <c r="L37" s="5"/>
      <c r="M37" s="5">
        <f t="shared" si="0"/>
        <v>81343.360000000001</v>
      </c>
      <c r="N37" s="5"/>
      <c r="O37" s="5">
        <f t="shared" si="1"/>
        <v>15783.149999999994</v>
      </c>
      <c r="Q37">
        <v>40</v>
      </c>
      <c r="S37">
        <v>62.5</v>
      </c>
      <c r="U37" s="6">
        <f t="shared" si="4"/>
        <v>1554.0241599999999</v>
      </c>
      <c r="W37" s="6">
        <f t="shared" si="3"/>
        <v>-874.13583999999992</v>
      </c>
    </row>
    <row r="38" spans="1:23" x14ac:dyDescent="0.25">
      <c r="A38">
        <v>38</v>
      </c>
      <c r="C38" t="s">
        <v>27</v>
      </c>
      <c r="E38" s="4">
        <v>31958</v>
      </c>
      <c r="G38" s="5">
        <v>8503.98</v>
      </c>
      <c r="H38" s="5"/>
      <c r="I38" s="5">
        <v>6909.5</v>
      </c>
      <c r="J38" s="5"/>
      <c r="K38" s="5">
        <v>212.6</v>
      </c>
      <c r="L38" s="5"/>
      <c r="M38" s="5">
        <f t="shared" si="0"/>
        <v>7122.1</v>
      </c>
      <c r="N38" s="5"/>
      <c r="O38" s="5">
        <f t="shared" si="1"/>
        <v>1381.8799999999992</v>
      </c>
      <c r="Q38">
        <v>40</v>
      </c>
      <c r="S38">
        <v>62.5</v>
      </c>
      <c r="U38" s="6">
        <f t="shared" si="4"/>
        <v>136.06368000000001</v>
      </c>
      <c r="W38" s="6">
        <f t="shared" si="3"/>
        <v>-76.536319999999989</v>
      </c>
    </row>
    <row r="39" spans="1:23" x14ac:dyDescent="0.25">
      <c r="A39">
        <v>39</v>
      </c>
      <c r="C39" t="s">
        <v>28</v>
      </c>
      <c r="E39" s="4">
        <v>31958</v>
      </c>
      <c r="G39" s="5">
        <v>6597.99</v>
      </c>
      <c r="H39" s="5"/>
      <c r="I39" s="5">
        <v>5360.88</v>
      </c>
      <c r="J39" s="5"/>
      <c r="K39" s="5">
        <v>164.95</v>
      </c>
      <c r="L39" s="5"/>
      <c r="M39" s="5">
        <f t="shared" si="0"/>
        <v>5525.83</v>
      </c>
      <c r="N39" s="5"/>
      <c r="O39" s="5">
        <f t="shared" si="1"/>
        <v>1072.1599999999999</v>
      </c>
      <c r="Q39">
        <v>40</v>
      </c>
      <c r="S39">
        <v>62.5</v>
      </c>
      <c r="U39" s="6">
        <f t="shared" si="4"/>
        <v>105.56783999999999</v>
      </c>
      <c r="W39" s="6">
        <f t="shared" si="3"/>
        <v>-59.382159999999999</v>
      </c>
    </row>
    <row r="40" spans="1:23" x14ac:dyDescent="0.25">
      <c r="A40">
        <v>40</v>
      </c>
      <c r="C40" t="s">
        <v>29</v>
      </c>
      <c r="E40" s="4">
        <v>31958</v>
      </c>
      <c r="G40" s="5">
        <v>1534.57</v>
      </c>
      <c r="H40" s="5"/>
      <c r="I40" s="5">
        <v>1246.7</v>
      </c>
      <c r="J40" s="5"/>
      <c r="K40" s="5">
        <v>38.36</v>
      </c>
      <c r="L40" s="5"/>
      <c r="M40" s="5">
        <f t="shared" si="0"/>
        <v>1285.06</v>
      </c>
      <c r="N40" s="5"/>
      <c r="O40" s="5">
        <f t="shared" si="1"/>
        <v>249.51</v>
      </c>
      <c r="Q40">
        <v>40</v>
      </c>
      <c r="S40">
        <v>62.5</v>
      </c>
      <c r="U40" s="6">
        <f t="shared" si="4"/>
        <v>24.55312</v>
      </c>
      <c r="W40" s="6">
        <f t="shared" si="3"/>
        <v>-13.80688</v>
      </c>
    </row>
    <row r="41" spans="1:23" x14ac:dyDescent="0.25">
      <c r="A41">
        <v>41</v>
      </c>
      <c r="C41" t="s">
        <v>30</v>
      </c>
      <c r="E41" s="4">
        <v>32689</v>
      </c>
      <c r="G41" s="5">
        <v>552110.30000000005</v>
      </c>
      <c r="H41" s="5"/>
      <c r="I41" s="5">
        <v>420984.13</v>
      </c>
      <c r="J41" s="5"/>
      <c r="K41" s="5">
        <v>13802.76</v>
      </c>
      <c r="L41" s="5"/>
      <c r="M41" s="5">
        <f t="shared" si="0"/>
        <v>434786.89</v>
      </c>
      <c r="N41" s="5"/>
      <c r="O41" s="5">
        <f t="shared" si="1"/>
        <v>117323.41000000003</v>
      </c>
      <c r="Q41">
        <v>40</v>
      </c>
      <c r="S41">
        <v>62.5</v>
      </c>
      <c r="U41" s="6">
        <f t="shared" si="4"/>
        <v>8833.7648000000008</v>
      </c>
      <c r="W41" s="6">
        <f t="shared" si="3"/>
        <v>-4968.9951999999994</v>
      </c>
    </row>
    <row r="42" spans="1:23" x14ac:dyDescent="0.25">
      <c r="A42">
        <v>42</v>
      </c>
      <c r="C42" t="s">
        <v>30</v>
      </c>
      <c r="E42" s="4">
        <v>32689</v>
      </c>
      <c r="G42" s="5">
        <v>1149410.49</v>
      </c>
      <c r="H42" s="5"/>
      <c r="I42" s="5">
        <v>876425.44</v>
      </c>
      <c r="J42" s="5"/>
      <c r="K42" s="5">
        <v>28735.26</v>
      </c>
      <c r="L42" s="5"/>
      <c r="M42" s="5">
        <f t="shared" si="0"/>
        <v>905160.7</v>
      </c>
      <c r="N42" s="5"/>
      <c r="O42" s="5">
        <f t="shared" si="1"/>
        <v>244249.79000000004</v>
      </c>
      <c r="Q42">
        <v>40</v>
      </c>
      <c r="S42">
        <v>62.5</v>
      </c>
      <c r="U42" s="6">
        <f t="shared" si="4"/>
        <v>18390.56784</v>
      </c>
      <c r="W42" s="6">
        <f t="shared" si="3"/>
        <v>-10344.692159999999</v>
      </c>
    </row>
    <row r="43" spans="1:23" x14ac:dyDescent="0.25">
      <c r="A43">
        <v>43</v>
      </c>
      <c r="C43" t="s">
        <v>30</v>
      </c>
      <c r="E43" s="4">
        <v>32689</v>
      </c>
      <c r="G43" s="5">
        <v>303000.78000000003</v>
      </c>
      <c r="H43" s="5"/>
      <c r="I43" s="5">
        <v>231038.05</v>
      </c>
      <c r="J43" s="5"/>
      <c r="K43" s="5">
        <v>7575.02</v>
      </c>
      <c r="L43" s="5"/>
      <c r="M43" s="5">
        <f t="shared" si="0"/>
        <v>238613.06999999998</v>
      </c>
      <c r="N43" s="5"/>
      <c r="O43" s="5">
        <f t="shared" si="1"/>
        <v>64387.71000000005</v>
      </c>
      <c r="Q43">
        <v>40</v>
      </c>
      <c r="S43">
        <v>62.5</v>
      </c>
      <c r="U43" s="6">
        <f t="shared" si="4"/>
        <v>4848.0124800000003</v>
      </c>
      <c r="W43" s="6">
        <f t="shared" si="3"/>
        <v>-2727.0075200000001</v>
      </c>
    </row>
    <row r="44" spans="1:23" x14ac:dyDescent="0.25">
      <c r="A44">
        <v>44</v>
      </c>
      <c r="C44" t="s">
        <v>30</v>
      </c>
      <c r="E44" s="4">
        <v>33054</v>
      </c>
      <c r="G44" s="5">
        <v>83617.539999999994</v>
      </c>
      <c r="H44" s="5"/>
      <c r="I44" s="5">
        <v>61666.21</v>
      </c>
      <c r="J44" s="5"/>
      <c r="K44" s="5">
        <v>2090.44</v>
      </c>
      <c r="L44" s="5"/>
      <c r="M44" s="5">
        <f t="shared" si="0"/>
        <v>63756.65</v>
      </c>
      <c r="N44" s="5"/>
      <c r="O44" s="5">
        <f t="shared" si="1"/>
        <v>19860.889999999992</v>
      </c>
      <c r="Q44">
        <v>40</v>
      </c>
      <c r="S44">
        <v>62.5</v>
      </c>
      <c r="U44" s="6">
        <f t="shared" si="4"/>
        <v>1337.8806399999999</v>
      </c>
      <c r="W44" s="6">
        <f t="shared" si="3"/>
        <v>-752.5593600000002</v>
      </c>
    </row>
    <row r="45" spans="1:23" x14ac:dyDescent="0.25">
      <c r="A45">
        <v>45</v>
      </c>
      <c r="C45" t="s">
        <v>30</v>
      </c>
      <c r="E45" s="4">
        <v>33419</v>
      </c>
      <c r="G45" s="5">
        <v>54292.57</v>
      </c>
      <c r="H45" s="5"/>
      <c r="I45" s="5">
        <v>38682.720000000001</v>
      </c>
      <c r="J45" s="5"/>
      <c r="K45" s="5">
        <v>1357.31</v>
      </c>
      <c r="L45" s="5"/>
      <c r="M45" s="5">
        <f t="shared" si="0"/>
        <v>40040.03</v>
      </c>
      <c r="N45" s="5"/>
      <c r="O45" s="5">
        <f t="shared" si="1"/>
        <v>14252.54</v>
      </c>
      <c r="Q45">
        <v>40</v>
      </c>
      <c r="S45">
        <v>62.5</v>
      </c>
      <c r="U45" s="6">
        <f t="shared" si="4"/>
        <v>868.68111999999996</v>
      </c>
      <c r="W45" s="6">
        <f t="shared" si="3"/>
        <v>-488.62887999999998</v>
      </c>
    </row>
    <row r="46" spans="1:23" x14ac:dyDescent="0.25">
      <c r="A46">
        <v>46</v>
      </c>
      <c r="C46" t="s">
        <v>31</v>
      </c>
      <c r="E46" s="4">
        <v>33419</v>
      </c>
      <c r="G46" s="5">
        <v>45713</v>
      </c>
      <c r="H46" s="5"/>
      <c r="I46" s="5">
        <v>32570.99</v>
      </c>
      <c r="J46" s="5"/>
      <c r="K46" s="5">
        <v>1142.83</v>
      </c>
      <c r="L46" s="5"/>
      <c r="M46" s="5">
        <f t="shared" si="0"/>
        <v>33713.82</v>
      </c>
      <c r="N46" s="5"/>
      <c r="O46" s="5">
        <f t="shared" si="1"/>
        <v>11999.18</v>
      </c>
      <c r="Q46">
        <v>40</v>
      </c>
      <c r="S46">
        <v>40</v>
      </c>
      <c r="U46" s="6">
        <f t="shared" si="4"/>
        <v>1142.825</v>
      </c>
      <c r="W46" s="6">
        <f t="shared" si="3"/>
        <v>-4.9999999998817657E-3</v>
      </c>
    </row>
    <row r="47" spans="1:23" x14ac:dyDescent="0.25">
      <c r="A47">
        <v>51</v>
      </c>
      <c r="C47" t="s">
        <v>30</v>
      </c>
      <c r="E47" s="4">
        <v>33785</v>
      </c>
      <c r="G47" s="5">
        <v>7965</v>
      </c>
      <c r="H47" s="5"/>
      <c r="I47" s="5">
        <v>5473.75</v>
      </c>
      <c r="J47" s="5"/>
      <c r="K47" s="5">
        <v>199.13</v>
      </c>
      <c r="L47" s="5"/>
      <c r="M47" s="5">
        <f t="shared" si="0"/>
        <v>5672.88</v>
      </c>
      <c r="N47" s="5"/>
      <c r="O47" s="5">
        <f t="shared" si="1"/>
        <v>2292.12</v>
      </c>
      <c r="Q47">
        <v>40</v>
      </c>
      <c r="S47">
        <v>62.5</v>
      </c>
      <c r="U47" s="6">
        <f t="shared" si="4"/>
        <v>127.44</v>
      </c>
      <c r="W47" s="6">
        <f t="shared" si="3"/>
        <v>-71.69</v>
      </c>
    </row>
    <row r="48" spans="1:23" x14ac:dyDescent="0.25">
      <c r="A48">
        <v>52</v>
      </c>
      <c r="C48" t="s">
        <v>32</v>
      </c>
      <c r="E48" s="4">
        <v>33785</v>
      </c>
      <c r="G48" s="5">
        <v>71986.899999999994</v>
      </c>
      <c r="H48" s="5"/>
      <c r="I48" s="5">
        <v>49491.59</v>
      </c>
      <c r="J48" s="5"/>
      <c r="K48" s="5">
        <v>1799.67</v>
      </c>
      <c r="L48" s="5"/>
      <c r="M48" s="5">
        <f t="shared" si="0"/>
        <v>51291.259999999995</v>
      </c>
      <c r="N48" s="5"/>
      <c r="O48" s="5">
        <f t="shared" si="1"/>
        <v>20695.64</v>
      </c>
      <c r="Q48">
        <v>40</v>
      </c>
      <c r="S48">
        <v>62.5</v>
      </c>
      <c r="U48" s="6">
        <f>G48/S48</f>
        <v>1151.7903999999999</v>
      </c>
      <c r="W48" s="6">
        <f t="shared" si="3"/>
        <v>-647.87960000000021</v>
      </c>
    </row>
    <row r="49" spans="1:23" x14ac:dyDescent="0.25">
      <c r="A49">
        <v>53</v>
      </c>
      <c r="C49" t="s">
        <v>33</v>
      </c>
      <c r="E49" s="4">
        <v>33785</v>
      </c>
      <c r="G49" s="5">
        <v>15577.88</v>
      </c>
      <c r="H49" s="5"/>
      <c r="I49" s="5">
        <v>10708.97</v>
      </c>
      <c r="J49" s="5"/>
      <c r="K49" s="5">
        <v>389.45</v>
      </c>
      <c r="L49" s="5"/>
      <c r="M49" s="5">
        <f t="shared" si="0"/>
        <v>11098.42</v>
      </c>
      <c r="N49" s="5"/>
      <c r="O49" s="5">
        <f t="shared" si="1"/>
        <v>4479.4599999999991</v>
      </c>
      <c r="Q49">
        <v>40</v>
      </c>
      <c r="S49">
        <v>62.5</v>
      </c>
      <c r="U49" s="6">
        <f t="shared" ref="U49:U112" si="5">G49/S49</f>
        <v>249.24607999999998</v>
      </c>
      <c r="W49" s="6">
        <f t="shared" si="3"/>
        <v>-140.20392000000001</v>
      </c>
    </row>
    <row r="50" spans="1:23" x14ac:dyDescent="0.25">
      <c r="A50">
        <v>54</v>
      </c>
      <c r="C50" t="s">
        <v>30</v>
      </c>
      <c r="E50" s="4">
        <v>33785</v>
      </c>
      <c r="G50" s="5">
        <v>7125.95</v>
      </c>
      <c r="H50" s="5"/>
      <c r="I50" s="5">
        <v>4898.75</v>
      </c>
      <c r="J50" s="5"/>
      <c r="K50" s="5">
        <v>178.15</v>
      </c>
      <c r="L50" s="5"/>
      <c r="M50" s="5">
        <f t="shared" si="0"/>
        <v>5076.8999999999996</v>
      </c>
      <c r="N50" s="5"/>
      <c r="O50" s="5">
        <f t="shared" si="1"/>
        <v>2049.0500000000002</v>
      </c>
      <c r="Q50">
        <v>40</v>
      </c>
      <c r="S50">
        <v>62.5</v>
      </c>
      <c r="U50" s="6">
        <f t="shared" si="5"/>
        <v>114.01519999999999</v>
      </c>
      <c r="W50" s="6">
        <f t="shared" si="3"/>
        <v>-64.134800000000013</v>
      </c>
    </row>
    <row r="51" spans="1:23" x14ac:dyDescent="0.25">
      <c r="A51">
        <v>55</v>
      </c>
      <c r="C51" t="s">
        <v>30</v>
      </c>
      <c r="E51" s="4">
        <v>34150</v>
      </c>
      <c r="G51" s="5">
        <v>42091.360000000001</v>
      </c>
      <c r="H51" s="5"/>
      <c r="I51" s="5">
        <v>27885</v>
      </c>
      <c r="J51" s="5"/>
      <c r="K51" s="5">
        <v>1052.28</v>
      </c>
      <c r="L51" s="5"/>
      <c r="M51" s="5">
        <f t="shared" si="0"/>
        <v>28937.279999999999</v>
      </c>
      <c r="N51" s="5"/>
      <c r="O51" s="5">
        <f t="shared" si="1"/>
        <v>13154.080000000002</v>
      </c>
      <c r="Q51">
        <v>40</v>
      </c>
      <c r="S51">
        <v>62.5</v>
      </c>
      <c r="U51" s="6">
        <f t="shared" si="5"/>
        <v>673.46176000000003</v>
      </c>
      <c r="W51" s="6">
        <f t="shared" si="3"/>
        <v>-378.81823999999995</v>
      </c>
    </row>
    <row r="52" spans="1:23" x14ac:dyDescent="0.25">
      <c r="A52">
        <v>56</v>
      </c>
      <c r="C52" t="s">
        <v>34</v>
      </c>
      <c r="E52" s="4">
        <v>34513</v>
      </c>
      <c r="G52" s="5">
        <v>11603</v>
      </c>
      <c r="H52" s="5"/>
      <c r="I52" s="5">
        <v>7397</v>
      </c>
      <c r="J52" s="5"/>
      <c r="K52" s="5">
        <v>290.08</v>
      </c>
      <c r="L52" s="5"/>
      <c r="M52" s="5">
        <f t="shared" si="0"/>
        <v>7687.08</v>
      </c>
      <c r="N52" s="5"/>
      <c r="O52" s="5">
        <f t="shared" si="1"/>
        <v>3915.92</v>
      </c>
      <c r="Q52">
        <v>40</v>
      </c>
      <c r="S52">
        <v>62.5</v>
      </c>
      <c r="U52" s="6">
        <f t="shared" si="5"/>
        <v>185.648</v>
      </c>
      <c r="W52" s="6">
        <f t="shared" si="3"/>
        <v>-104.43199999999999</v>
      </c>
    </row>
    <row r="53" spans="1:23" x14ac:dyDescent="0.25">
      <c r="A53">
        <v>57</v>
      </c>
      <c r="C53" t="s">
        <v>30</v>
      </c>
      <c r="E53" s="4">
        <v>34578</v>
      </c>
      <c r="G53" s="5">
        <v>63672.35</v>
      </c>
      <c r="H53" s="5"/>
      <c r="I53" s="5">
        <v>40192.6</v>
      </c>
      <c r="J53" s="5"/>
      <c r="K53" s="5">
        <v>1591.81</v>
      </c>
      <c r="L53" s="5"/>
      <c r="M53" s="5">
        <f t="shared" si="0"/>
        <v>41784.409999999996</v>
      </c>
      <c r="N53" s="5"/>
      <c r="O53" s="5">
        <f t="shared" si="1"/>
        <v>21887.940000000002</v>
      </c>
      <c r="Q53">
        <v>40</v>
      </c>
      <c r="S53">
        <v>62.5</v>
      </c>
      <c r="U53" s="6">
        <f t="shared" si="5"/>
        <v>1018.7576</v>
      </c>
      <c r="W53" s="6">
        <f t="shared" si="3"/>
        <v>-573.05239999999992</v>
      </c>
    </row>
    <row r="54" spans="1:23" x14ac:dyDescent="0.25">
      <c r="A54">
        <v>58</v>
      </c>
      <c r="C54" t="s">
        <v>35</v>
      </c>
      <c r="E54" s="4">
        <v>34608</v>
      </c>
      <c r="G54" s="5">
        <v>89692.77</v>
      </c>
      <c r="H54" s="5"/>
      <c r="I54" s="5">
        <v>64707.02</v>
      </c>
      <c r="J54" s="5"/>
      <c r="K54" s="5">
        <v>2562.65</v>
      </c>
      <c r="L54" s="5"/>
      <c r="M54" s="5">
        <f t="shared" si="0"/>
        <v>67269.67</v>
      </c>
      <c r="N54" s="5"/>
      <c r="O54" s="5">
        <f t="shared" si="1"/>
        <v>22423.100000000006</v>
      </c>
      <c r="Q54">
        <v>35</v>
      </c>
      <c r="S54">
        <v>62.5</v>
      </c>
      <c r="U54" s="6">
        <f t="shared" si="5"/>
        <v>1435.0843200000002</v>
      </c>
      <c r="W54" s="6">
        <f t="shared" si="3"/>
        <v>-1127.5656799999999</v>
      </c>
    </row>
    <row r="55" spans="1:23" x14ac:dyDescent="0.25">
      <c r="A55">
        <v>59</v>
      </c>
      <c r="C55" t="s">
        <v>30</v>
      </c>
      <c r="E55" s="4">
        <v>34851</v>
      </c>
      <c r="G55" s="5">
        <v>280978.28000000003</v>
      </c>
      <c r="H55" s="5"/>
      <c r="I55" s="5">
        <v>138164.32</v>
      </c>
      <c r="J55" s="5"/>
      <c r="K55" s="5">
        <v>5619.57</v>
      </c>
      <c r="L55" s="5"/>
      <c r="M55" s="5">
        <f t="shared" si="0"/>
        <v>143783.89000000001</v>
      </c>
      <c r="N55" s="5"/>
      <c r="O55" s="5">
        <f t="shared" si="1"/>
        <v>137194.39000000001</v>
      </c>
      <c r="Q55">
        <v>50</v>
      </c>
      <c r="S55">
        <v>62.5</v>
      </c>
      <c r="U55" s="6">
        <f t="shared" si="5"/>
        <v>4495.6524800000007</v>
      </c>
      <c r="W55" s="6">
        <f t="shared" si="3"/>
        <v>-1123.9175199999991</v>
      </c>
    </row>
    <row r="56" spans="1:23" x14ac:dyDescent="0.25">
      <c r="A56">
        <v>60</v>
      </c>
      <c r="C56" t="s">
        <v>36</v>
      </c>
      <c r="E56" s="4">
        <v>35155</v>
      </c>
      <c r="G56" s="5">
        <v>119417.76</v>
      </c>
      <c r="H56" s="5"/>
      <c r="I56" s="5">
        <v>70916.44</v>
      </c>
      <c r="J56" s="5"/>
      <c r="K56" s="5">
        <v>2985.44</v>
      </c>
      <c r="L56" s="5"/>
      <c r="M56" s="5">
        <f t="shared" si="0"/>
        <v>73901.88</v>
      </c>
      <c r="N56" s="5"/>
      <c r="O56" s="5">
        <f t="shared" si="1"/>
        <v>45515.87999999999</v>
      </c>
      <c r="Q56">
        <v>40</v>
      </c>
      <c r="S56">
        <v>62.5</v>
      </c>
      <c r="U56" s="6">
        <f t="shared" si="5"/>
        <v>1910.68416</v>
      </c>
      <c r="W56" s="6">
        <f t="shared" si="3"/>
        <v>-1074.75584</v>
      </c>
    </row>
    <row r="57" spans="1:23" x14ac:dyDescent="0.25">
      <c r="A57">
        <v>61</v>
      </c>
      <c r="C57" t="s">
        <v>37</v>
      </c>
      <c r="E57" s="4">
        <v>35246</v>
      </c>
      <c r="G57" s="5">
        <v>7556</v>
      </c>
      <c r="H57" s="5"/>
      <c r="I57" s="5">
        <v>4440.18</v>
      </c>
      <c r="J57" s="5"/>
      <c r="K57" s="5">
        <v>188.9</v>
      </c>
      <c r="L57" s="5"/>
      <c r="M57" s="5">
        <f t="shared" si="0"/>
        <v>4629.08</v>
      </c>
      <c r="N57" s="5"/>
      <c r="O57" s="5">
        <f t="shared" si="1"/>
        <v>2926.92</v>
      </c>
      <c r="Q57">
        <v>40</v>
      </c>
      <c r="S57">
        <v>62.5</v>
      </c>
      <c r="U57" s="6">
        <f t="shared" si="5"/>
        <v>120.896</v>
      </c>
      <c r="W57" s="6">
        <f t="shared" si="3"/>
        <v>-68.004000000000005</v>
      </c>
    </row>
    <row r="58" spans="1:23" x14ac:dyDescent="0.25">
      <c r="A58">
        <v>62</v>
      </c>
      <c r="C58" t="s">
        <v>38</v>
      </c>
      <c r="E58" s="4">
        <v>35246</v>
      </c>
      <c r="G58" s="5">
        <v>24939.3</v>
      </c>
      <c r="H58" s="5"/>
      <c r="I58" s="5">
        <v>14655.19</v>
      </c>
      <c r="J58" s="5"/>
      <c r="K58" s="5">
        <v>623.48</v>
      </c>
      <c r="L58" s="5"/>
      <c r="M58" s="5">
        <f t="shared" si="0"/>
        <v>15278.67</v>
      </c>
      <c r="N58" s="5"/>
      <c r="O58" s="5">
        <f t="shared" si="1"/>
        <v>9660.6299999999992</v>
      </c>
      <c r="Q58">
        <v>40</v>
      </c>
      <c r="S58">
        <v>62.5</v>
      </c>
      <c r="U58" s="6">
        <f t="shared" si="5"/>
        <v>399.02879999999999</v>
      </c>
      <c r="W58" s="6">
        <f t="shared" si="3"/>
        <v>-224.45120000000003</v>
      </c>
    </row>
    <row r="59" spans="1:23" x14ac:dyDescent="0.25">
      <c r="A59">
        <v>63</v>
      </c>
      <c r="C59" t="s">
        <v>39</v>
      </c>
      <c r="E59" s="4">
        <v>35246</v>
      </c>
      <c r="G59" s="5">
        <v>1555.96</v>
      </c>
      <c r="H59" s="5"/>
      <c r="I59" s="5">
        <v>914.36</v>
      </c>
      <c r="J59" s="5"/>
      <c r="K59" s="5">
        <v>38.9</v>
      </c>
      <c r="L59" s="5"/>
      <c r="M59" s="5">
        <f t="shared" si="0"/>
        <v>953.26</v>
      </c>
      <c r="N59" s="5"/>
      <c r="O59" s="5">
        <f t="shared" si="1"/>
        <v>602.70000000000005</v>
      </c>
      <c r="Q59">
        <v>40</v>
      </c>
      <c r="S59">
        <v>62.5</v>
      </c>
      <c r="U59" s="6">
        <f t="shared" si="5"/>
        <v>24.89536</v>
      </c>
      <c r="W59" s="6">
        <f t="shared" si="3"/>
        <v>-14.004639999999998</v>
      </c>
    </row>
    <row r="60" spans="1:23" x14ac:dyDescent="0.25">
      <c r="A60">
        <v>64</v>
      </c>
      <c r="C60" t="s">
        <v>40</v>
      </c>
      <c r="E60" s="4">
        <v>35246</v>
      </c>
      <c r="G60" s="5">
        <v>1216.57</v>
      </c>
      <c r="H60" s="5"/>
      <c r="I60" s="5">
        <v>714.8</v>
      </c>
      <c r="J60" s="5"/>
      <c r="K60" s="5">
        <v>30.41</v>
      </c>
      <c r="L60" s="5"/>
      <c r="M60" s="5">
        <f t="shared" si="0"/>
        <v>745.20999999999992</v>
      </c>
      <c r="N60" s="5"/>
      <c r="O60" s="5">
        <f t="shared" si="1"/>
        <v>471.36</v>
      </c>
      <c r="Q60">
        <v>40</v>
      </c>
      <c r="S60">
        <v>62.5</v>
      </c>
      <c r="U60" s="6">
        <f t="shared" si="5"/>
        <v>19.465119999999999</v>
      </c>
      <c r="W60" s="6">
        <f t="shared" si="3"/>
        <v>-10.944880000000001</v>
      </c>
    </row>
    <row r="61" spans="1:23" x14ac:dyDescent="0.25">
      <c r="A61">
        <v>65</v>
      </c>
      <c r="C61" t="s">
        <v>41</v>
      </c>
      <c r="E61" s="4">
        <v>35246</v>
      </c>
      <c r="G61" s="5">
        <v>2284.56</v>
      </c>
      <c r="H61" s="5"/>
      <c r="I61" s="5">
        <v>1342.4</v>
      </c>
      <c r="J61" s="5"/>
      <c r="K61" s="5">
        <v>57.11</v>
      </c>
      <c r="L61" s="5"/>
      <c r="M61" s="5">
        <f t="shared" si="0"/>
        <v>1399.51</v>
      </c>
      <c r="N61" s="5"/>
      <c r="O61" s="5">
        <f t="shared" si="1"/>
        <v>885.05</v>
      </c>
      <c r="Q61">
        <v>40</v>
      </c>
      <c r="S61">
        <v>62.5</v>
      </c>
      <c r="U61" s="6">
        <f t="shared" si="5"/>
        <v>36.552959999999999</v>
      </c>
      <c r="W61" s="6">
        <f t="shared" si="3"/>
        <v>-20.557040000000001</v>
      </c>
    </row>
    <row r="62" spans="1:23" x14ac:dyDescent="0.25">
      <c r="A62">
        <v>66</v>
      </c>
      <c r="C62" t="s">
        <v>42</v>
      </c>
      <c r="E62" s="4">
        <v>35246</v>
      </c>
      <c r="G62" s="5">
        <v>8884.0300000000007</v>
      </c>
      <c r="H62" s="5"/>
      <c r="I62" s="5">
        <v>5220.5600000000004</v>
      </c>
      <c r="J62" s="5"/>
      <c r="K62" s="5">
        <v>222.1</v>
      </c>
      <c r="L62" s="5"/>
      <c r="M62" s="5">
        <f t="shared" si="0"/>
        <v>5442.6600000000008</v>
      </c>
      <c r="N62" s="5"/>
      <c r="O62" s="5">
        <f t="shared" si="1"/>
        <v>3441.37</v>
      </c>
      <c r="Q62">
        <v>40</v>
      </c>
      <c r="S62">
        <v>62.5</v>
      </c>
      <c r="U62" s="6">
        <f t="shared" si="5"/>
        <v>142.14448000000002</v>
      </c>
      <c r="W62" s="6">
        <f t="shared" si="3"/>
        <v>-79.955519999999979</v>
      </c>
    </row>
    <row r="63" spans="1:23" x14ac:dyDescent="0.25">
      <c r="A63">
        <v>67</v>
      </c>
      <c r="C63" t="s">
        <v>43</v>
      </c>
      <c r="E63" s="4">
        <v>35246</v>
      </c>
      <c r="G63" s="5">
        <v>10354.81</v>
      </c>
      <c r="H63" s="5"/>
      <c r="I63" s="5">
        <v>6084.86</v>
      </c>
      <c r="J63" s="5"/>
      <c r="K63" s="5">
        <v>258.87</v>
      </c>
      <c r="L63" s="5"/>
      <c r="M63" s="5">
        <f t="shared" si="0"/>
        <v>6343.73</v>
      </c>
      <c r="N63" s="5"/>
      <c r="O63" s="5">
        <f t="shared" si="1"/>
        <v>4011.08</v>
      </c>
      <c r="Q63">
        <v>40</v>
      </c>
      <c r="S63">
        <v>62.5</v>
      </c>
      <c r="U63" s="6">
        <f t="shared" si="5"/>
        <v>165.67695999999998</v>
      </c>
      <c r="W63" s="6">
        <f t="shared" si="3"/>
        <v>-93.193040000000025</v>
      </c>
    </row>
    <row r="64" spans="1:23" x14ac:dyDescent="0.25">
      <c r="A64">
        <v>68</v>
      </c>
      <c r="C64" t="s">
        <v>44</v>
      </c>
      <c r="E64" s="4">
        <v>35246</v>
      </c>
      <c r="G64" s="5">
        <v>38402.370000000003</v>
      </c>
      <c r="H64" s="5"/>
      <c r="I64" s="5">
        <v>22566.66</v>
      </c>
      <c r="J64" s="5"/>
      <c r="K64" s="5">
        <v>960.06</v>
      </c>
      <c r="L64" s="5"/>
      <c r="M64" s="5">
        <f t="shared" si="0"/>
        <v>23526.720000000001</v>
      </c>
      <c r="N64" s="5"/>
      <c r="O64" s="5">
        <f t="shared" si="1"/>
        <v>14875.650000000001</v>
      </c>
      <c r="Q64">
        <v>40</v>
      </c>
      <c r="S64">
        <v>62.5</v>
      </c>
      <c r="U64" s="6">
        <f t="shared" si="5"/>
        <v>614.43792000000008</v>
      </c>
      <c r="W64" s="6">
        <f t="shared" si="3"/>
        <v>-345.62207999999987</v>
      </c>
    </row>
    <row r="65" spans="1:23" x14ac:dyDescent="0.25">
      <c r="A65">
        <v>69</v>
      </c>
      <c r="C65" t="s">
        <v>45</v>
      </c>
      <c r="E65" s="4">
        <v>35246</v>
      </c>
      <c r="G65" s="5">
        <v>3106.58</v>
      </c>
      <c r="H65" s="5"/>
      <c r="I65" s="5">
        <v>1825.44</v>
      </c>
      <c r="J65" s="5"/>
      <c r="K65" s="5">
        <v>77.66</v>
      </c>
      <c r="L65" s="5"/>
      <c r="M65" s="5">
        <f t="shared" si="0"/>
        <v>1903.1000000000001</v>
      </c>
      <c r="N65" s="5"/>
      <c r="O65" s="5">
        <f t="shared" si="1"/>
        <v>1203.4799999999998</v>
      </c>
      <c r="Q65">
        <v>40</v>
      </c>
      <c r="S65">
        <v>62.5</v>
      </c>
      <c r="U65" s="6">
        <f t="shared" si="5"/>
        <v>49.705280000000002</v>
      </c>
      <c r="W65" s="6">
        <f t="shared" si="3"/>
        <v>-27.954719999999995</v>
      </c>
    </row>
    <row r="66" spans="1:23" x14ac:dyDescent="0.25">
      <c r="A66">
        <v>70</v>
      </c>
      <c r="C66" t="s">
        <v>46</v>
      </c>
      <c r="E66" s="4">
        <v>35246</v>
      </c>
      <c r="G66" s="5">
        <v>22478.48</v>
      </c>
      <c r="H66" s="5"/>
      <c r="I66" s="5">
        <v>13209.13</v>
      </c>
      <c r="J66" s="5"/>
      <c r="K66" s="5">
        <v>561.96</v>
      </c>
      <c r="L66" s="5"/>
      <c r="M66" s="5">
        <f t="shared" si="0"/>
        <v>13771.09</v>
      </c>
      <c r="N66" s="5"/>
      <c r="O66" s="5">
        <f t="shared" si="1"/>
        <v>8707.39</v>
      </c>
      <c r="Q66">
        <v>40</v>
      </c>
      <c r="S66">
        <v>62.5</v>
      </c>
      <c r="U66" s="6">
        <f t="shared" si="5"/>
        <v>359.65568000000002</v>
      </c>
      <c r="W66" s="6">
        <f t="shared" si="3"/>
        <v>-202.30432000000002</v>
      </c>
    </row>
    <row r="67" spans="1:23" x14ac:dyDescent="0.25">
      <c r="A67">
        <v>71</v>
      </c>
      <c r="C67" t="s">
        <v>47</v>
      </c>
      <c r="E67" s="4">
        <v>35246</v>
      </c>
      <c r="G67" s="5">
        <v>5826.48</v>
      </c>
      <c r="H67" s="5"/>
      <c r="I67" s="5">
        <v>3423.81</v>
      </c>
      <c r="J67" s="5"/>
      <c r="K67" s="5">
        <v>145.66</v>
      </c>
      <c r="L67" s="5"/>
      <c r="M67" s="5">
        <f t="shared" si="0"/>
        <v>3569.47</v>
      </c>
      <c r="N67" s="5"/>
      <c r="O67" s="5">
        <f t="shared" si="1"/>
        <v>2257.0099999999998</v>
      </c>
      <c r="Q67">
        <v>40</v>
      </c>
      <c r="S67">
        <v>62.5</v>
      </c>
      <c r="U67" s="6">
        <f t="shared" si="5"/>
        <v>93.223679999999987</v>
      </c>
      <c r="W67" s="6">
        <f t="shared" si="3"/>
        <v>-52.436320000000009</v>
      </c>
    </row>
    <row r="68" spans="1:23" x14ac:dyDescent="0.25">
      <c r="A68">
        <v>72</v>
      </c>
      <c r="C68" t="s">
        <v>48</v>
      </c>
      <c r="E68" s="4">
        <v>35246</v>
      </c>
      <c r="G68" s="5">
        <v>596.15</v>
      </c>
      <c r="H68" s="5"/>
      <c r="I68" s="5">
        <v>350.23</v>
      </c>
      <c r="J68" s="5"/>
      <c r="K68" s="5">
        <v>14.9</v>
      </c>
      <c r="L68" s="5"/>
      <c r="M68" s="5">
        <f t="shared" si="0"/>
        <v>365.13</v>
      </c>
      <c r="N68" s="5"/>
      <c r="O68" s="5">
        <f t="shared" si="1"/>
        <v>231.01999999999998</v>
      </c>
      <c r="Q68">
        <v>40</v>
      </c>
      <c r="S68">
        <v>62.5</v>
      </c>
      <c r="U68" s="6">
        <f t="shared" si="5"/>
        <v>9.5383999999999993</v>
      </c>
      <c r="W68" s="6">
        <f t="shared" si="3"/>
        <v>-5.361600000000001</v>
      </c>
    </row>
    <row r="69" spans="1:23" x14ac:dyDescent="0.25">
      <c r="A69">
        <v>73</v>
      </c>
      <c r="C69" t="s">
        <v>49</v>
      </c>
      <c r="E69" s="4">
        <v>35246</v>
      </c>
      <c r="G69" s="5">
        <v>7736.25</v>
      </c>
      <c r="H69" s="5"/>
      <c r="I69" s="5">
        <v>4546.1899999999996</v>
      </c>
      <c r="J69" s="5"/>
      <c r="K69" s="5">
        <v>193.41</v>
      </c>
      <c r="L69" s="5"/>
      <c r="M69" s="5">
        <f t="shared" si="0"/>
        <v>4739.5999999999995</v>
      </c>
      <c r="N69" s="5"/>
      <c r="O69" s="5">
        <f t="shared" si="1"/>
        <v>2996.6500000000005</v>
      </c>
      <c r="Q69">
        <v>40</v>
      </c>
      <c r="S69">
        <v>62.5</v>
      </c>
      <c r="U69" s="6">
        <f t="shared" si="5"/>
        <v>123.78</v>
      </c>
      <c r="W69" s="6">
        <f t="shared" si="3"/>
        <v>-69.63</v>
      </c>
    </row>
    <row r="70" spans="1:23" x14ac:dyDescent="0.25">
      <c r="A70">
        <v>74</v>
      </c>
      <c r="C70" t="s">
        <v>50</v>
      </c>
      <c r="E70" s="4">
        <v>35462</v>
      </c>
      <c r="G70" s="5">
        <v>7335.15</v>
      </c>
      <c r="H70" s="5"/>
      <c r="I70" s="5">
        <v>4202.16</v>
      </c>
      <c r="J70" s="5"/>
      <c r="K70" s="5">
        <v>183.38</v>
      </c>
      <c r="L70" s="5"/>
      <c r="M70" s="5">
        <f t="shared" si="0"/>
        <v>4385.54</v>
      </c>
      <c r="N70" s="5"/>
      <c r="O70" s="5">
        <f t="shared" si="1"/>
        <v>2949.6099999999997</v>
      </c>
      <c r="Q70">
        <v>40</v>
      </c>
      <c r="S70">
        <v>62.5</v>
      </c>
      <c r="U70" s="6">
        <f t="shared" si="5"/>
        <v>117.36239999999999</v>
      </c>
      <c r="W70" s="6">
        <f t="shared" si="3"/>
        <v>-66.017600000000002</v>
      </c>
    </row>
    <row r="71" spans="1:23" x14ac:dyDescent="0.25">
      <c r="A71">
        <v>75</v>
      </c>
      <c r="C71" t="s">
        <v>51</v>
      </c>
      <c r="E71" s="4">
        <v>35551</v>
      </c>
      <c r="G71" s="5">
        <v>4173.2</v>
      </c>
      <c r="H71" s="5"/>
      <c r="I71" s="5">
        <v>2365.29</v>
      </c>
      <c r="J71" s="5"/>
      <c r="K71" s="5">
        <v>104.33</v>
      </c>
      <c r="L71" s="5"/>
      <c r="M71" s="5">
        <f t="shared" si="0"/>
        <v>2469.62</v>
      </c>
      <c r="N71" s="5"/>
      <c r="O71" s="5">
        <f t="shared" si="1"/>
        <v>1703.58</v>
      </c>
      <c r="Q71">
        <v>40</v>
      </c>
      <c r="S71">
        <v>62.5</v>
      </c>
      <c r="U71" s="6">
        <f t="shared" si="5"/>
        <v>66.771199999999993</v>
      </c>
      <c r="W71" s="6">
        <f t="shared" si="3"/>
        <v>-37.558800000000005</v>
      </c>
    </row>
    <row r="72" spans="1:23" x14ac:dyDescent="0.25">
      <c r="A72">
        <v>76</v>
      </c>
      <c r="C72" t="s">
        <v>52</v>
      </c>
      <c r="E72" s="4">
        <v>35582</v>
      </c>
      <c r="G72" s="5">
        <v>828</v>
      </c>
      <c r="H72" s="5"/>
      <c r="I72" s="5">
        <v>467.54</v>
      </c>
      <c r="J72" s="5"/>
      <c r="K72" s="5">
        <v>20.7</v>
      </c>
      <c r="L72" s="5"/>
      <c r="M72" s="5">
        <f t="shared" ref="M72:M135" si="6">I72+K72</f>
        <v>488.24</v>
      </c>
      <c r="N72" s="5"/>
      <c r="O72" s="5">
        <f t="shared" ref="O72:O135" si="7">G72-M72</f>
        <v>339.76</v>
      </c>
      <c r="Q72">
        <v>40</v>
      </c>
      <c r="S72">
        <v>62.5</v>
      </c>
      <c r="U72" s="6">
        <f t="shared" si="5"/>
        <v>13.247999999999999</v>
      </c>
      <c r="W72" s="6">
        <f t="shared" si="3"/>
        <v>-7.452</v>
      </c>
    </row>
    <row r="73" spans="1:23" x14ac:dyDescent="0.25">
      <c r="A73">
        <v>77</v>
      </c>
      <c r="C73" t="s">
        <v>53</v>
      </c>
      <c r="E73" s="4">
        <v>35643</v>
      </c>
      <c r="G73" s="5">
        <v>9831.98</v>
      </c>
      <c r="H73" s="5"/>
      <c r="I73" s="5">
        <v>5510.63</v>
      </c>
      <c r="J73" s="5"/>
      <c r="K73" s="5">
        <v>245.8</v>
      </c>
      <c r="L73" s="5"/>
      <c r="M73" s="5">
        <f t="shared" si="6"/>
        <v>5756.43</v>
      </c>
      <c r="N73" s="5"/>
      <c r="O73" s="5">
        <f t="shared" si="7"/>
        <v>4075.5499999999993</v>
      </c>
      <c r="Q73">
        <v>40</v>
      </c>
      <c r="S73">
        <v>62.5</v>
      </c>
      <c r="U73" s="6">
        <f t="shared" si="5"/>
        <v>157.31168</v>
      </c>
      <c r="W73" s="6">
        <f t="shared" si="3"/>
        <v>-88.488320000000016</v>
      </c>
    </row>
    <row r="74" spans="1:23" x14ac:dyDescent="0.25">
      <c r="A74">
        <v>78</v>
      </c>
      <c r="C74" t="s">
        <v>54</v>
      </c>
      <c r="E74" s="4">
        <v>35643</v>
      </c>
      <c r="G74" s="5">
        <v>2661.05</v>
      </c>
      <c r="H74" s="5"/>
      <c r="I74" s="5">
        <v>1491.55</v>
      </c>
      <c r="J74" s="5"/>
      <c r="K74" s="5">
        <v>66.53</v>
      </c>
      <c r="L74" s="5"/>
      <c r="M74" s="5">
        <f t="shared" si="6"/>
        <v>1558.08</v>
      </c>
      <c r="N74" s="5"/>
      <c r="O74" s="5">
        <f t="shared" si="7"/>
        <v>1102.9700000000003</v>
      </c>
      <c r="Q74">
        <v>40</v>
      </c>
      <c r="S74">
        <v>62.5</v>
      </c>
      <c r="U74" s="6">
        <f t="shared" si="5"/>
        <v>42.576800000000006</v>
      </c>
      <c r="W74" s="6">
        <f t="shared" si="3"/>
        <v>-23.953199999999995</v>
      </c>
    </row>
    <row r="75" spans="1:23" x14ac:dyDescent="0.25">
      <c r="A75">
        <v>79</v>
      </c>
      <c r="C75" t="s">
        <v>55</v>
      </c>
      <c r="E75" s="4">
        <v>35735</v>
      </c>
      <c r="G75" s="5">
        <v>1643.4</v>
      </c>
      <c r="H75" s="5"/>
      <c r="I75" s="5">
        <v>910.85</v>
      </c>
      <c r="J75" s="5"/>
      <c r="K75" s="5">
        <v>41.09</v>
      </c>
      <c r="L75" s="5"/>
      <c r="M75" s="5">
        <f t="shared" si="6"/>
        <v>951.94</v>
      </c>
      <c r="N75" s="5"/>
      <c r="O75" s="5">
        <f t="shared" si="7"/>
        <v>691.46</v>
      </c>
      <c r="Q75">
        <v>40</v>
      </c>
      <c r="S75">
        <v>62.5</v>
      </c>
      <c r="U75" s="6">
        <f t="shared" si="5"/>
        <v>26.294400000000003</v>
      </c>
      <c r="W75" s="6">
        <f t="shared" si="3"/>
        <v>-14.7956</v>
      </c>
    </row>
    <row r="76" spans="1:23" x14ac:dyDescent="0.25">
      <c r="A76">
        <v>80</v>
      </c>
      <c r="C76" t="s">
        <v>56</v>
      </c>
      <c r="E76" s="4">
        <v>35735</v>
      </c>
      <c r="G76" s="5">
        <v>3225.06</v>
      </c>
      <c r="H76" s="5"/>
      <c r="I76" s="5">
        <v>1787.33</v>
      </c>
      <c r="J76" s="5"/>
      <c r="K76" s="5">
        <v>80.63</v>
      </c>
      <c r="L76" s="5"/>
      <c r="M76" s="5">
        <f t="shared" si="6"/>
        <v>1867.96</v>
      </c>
      <c r="N76" s="5"/>
      <c r="O76" s="5">
        <f t="shared" si="7"/>
        <v>1357.1</v>
      </c>
      <c r="Q76">
        <v>40</v>
      </c>
      <c r="S76">
        <v>62.5</v>
      </c>
      <c r="U76" s="6">
        <f t="shared" si="5"/>
        <v>51.600960000000001</v>
      </c>
      <c r="W76" s="6">
        <f t="shared" si="3"/>
        <v>-29.029039999999995</v>
      </c>
    </row>
    <row r="77" spans="1:23" x14ac:dyDescent="0.25">
      <c r="A77">
        <v>81</v>
      </c>
      <c r="C77" t="s">
        <v>57</v>
      </c>
      <c r="E77" s="4">
        <v>35765</v>
      </c>
      <c r="G77" s="5">
        <v>4161.9799999999996</v>
      </c>
      <c r="H77" s="5"/>
      <c r="I77" s="5">
        <v>2297.94</v>
      </c>
      <c r="J77" s="5"/>
      <c r="K77" s="5">
        <v>104.05</v>
      </c>
      <c r="L77" s="5"/>
      <c r="M77" s="5">
        <f t="shared" si="6"/>
        <v>2401.9900000000002</v>
      </c>
      <c r="N77" s="5"/>
      <c r="O77" s="5">
        <f t="shared" si="7"/>
        <v>1759.9899999999993</v>
      </c>
      <c r="Q77">
        <v>40</v>
      </c>
      <c r="S77">
        <v>62.5</v>
      </c>
      <c r="U77" s="6">
        <f t="shared" si="5"/>
        <v>66.591679999999997</v>
      </c>
      <c r="W77" s="6">
        <f t="shared" si="3"/>
        <v>-37.458320000000001</v>
      </c>
    </row>
    <row r="78" spans="1:23" x14ac:dyDescent="0.25">
      <c r="A78">
        <v>82</v>
      </c>
      <c r="C78" t="s">
        <v>58</v>
      </c>
      <c r="E78" s="4">
        <v>35916</v>
      </c>
      <c r="G78" s="5">
        <v>2416</v>
      </c>
      <c r="H78" s="5"/>
      <c r="I78" s="5">
        <v>1308.94</v>
      </c>
      <c r="J78" s="5"/>
      <c r="K78" s="5">
        <v>60.4</v>
      </c>
      <c r="L78" s="5"/>
      <c r="M78" s="5">
        <f t="shared" si="6"/>
        <v>1369.3400000000001</v>
      </c>
      <c r="N78" s="5"/>
      <c r="O78" s="5">
        <f t="shared" si="7"/>
        <v>1046.6599999999999</v>
      </c>
      <c r="Q78">
        <v>40</v>
      </c>
      <c r="S78">
        <v>62.5</v>
      </c>
      <c r="U78" s="6">
        <f t="shared" si="5"/>
        <v>38.655999999999999</v>
      </c>
      <c r="W78" s="6">
        <f t="shared" si="3"/>
        <v>-21.744</v>
      </c>
    </row>
    <row r="79" spans="1:23" x14ac:dyDescent="0.25">
      <c r="A79">
        <v>83</v>
      </c>
      <c r="C79" t="s">
        <v>59</v>
      </c>
      <c r="E79" s="4">
        <v>35977</v>
      </c>
      <c r="G79" s="5">
        <v>81161.95</v>
      </c>
      <c r="H79" s="5"/>
      <c r="I79" s="5">
        <v>43632.91</v>
      </c>
      <c r="J79" s="5"/>
      <c r="K79" s="5">
        <v>2029.05</v>
      </c>
      <c r="L79" s="5"/>
      <c r="M79" s="5">
        <f t="shared" si="6"/>
        <v>45661.960000000006</v>
      </c>
      <c r="N79" s="5"/>
      <c r="O79" s="5">
        <f t="shared" si="7"/>
        <v>35499.989999999991</v>
      </c>
      <c r="Q79">
        <v>40</v>
      </c>
      <c r="S79">
        <v>62.5</v>
      </c>
      <c r="U79" s="6">
        <f t="shared" si="5"/>
        <v>1298.5911999999998</v>
      </c>
      <c r="W79" s="6">
        <f t="shared" si="3"/>
        <v>-730.45880000000011</v>
      </c>
    </row>
    <row r="80" spans="1:23" x14ac:dyDescent="0.25">
      <c r="A80">
        <v>84</v>
      </c>
      <c r="C80" t="s">
        <v>60</v>
      </c>
      <c r="E80" s="4">
        <v>36039</v>
      </c>
      <c r="G80" s="5">
        <v>7128.06</v>
      </c>
      <c r="H80" s="5"/>
      <c r="I80" s="5">
        <v>3801.76</v>
      </c>
      <c r="J80" s="5"/>
      <c r="K80" s="5">
        <v>178.2</v>
      </c>
      <c r="L80" s="5"/>
      <c r="M80" s="5">
        <f t="shared" si="6"/>
        <v>3979.96</v>
      </c>
      <c r="N80" s="5"/>
      <c r="O80" s="5">
        <f t="shared" si="7"/>
        <v>3148.1000000000004</v>
      </c>
      <c r="Q80">
        <v>40</v>
      </c>
      <c r="S80">
        <v>62.5</v>
      </c>
      <c r="U80" s="6">
        <f t="shared" si="5"/>
        <v>114.04896000000001</v>
      </c>
      <c r="W80" s="6">
        <f t="shared" si="3"/>
        <v>-64.151039999999981</v>
      </c>
    </row>
    <row r="81" spans="1:23" x14ac:dyDescent="0.25">
      <c r="A81">
        <v>85</v>
      </c>
      <c r="C81" t="s">
        <v>61</v>
      </c>
      <c r="E81" s="4">
        <v>36039</v>
      </c>
      <c r="G81" s="5">
        <v>25000</v>
      </c>
      <c r="H81" s="5"/>
      <c r="I81" s="5">
        <v>13333.9</v>
      </c>
      <c r="J81" s="5"/>
      <c r="K81" s="5">
        <v>625</v>
      </c>
      <c r="L81" s="5"/>
      <c r="M81" s="5">
        <f t="shared" si="6"/>
        <v>13958.9</v>
      </c>
      <c r="N81" s="5"/>
      <c r="O81" s="5">
        <f t="shared" si="7"/>
        <v>11041.1</v>
      </c>
      <c r="Q81">
        <v>40</v>
      </c>
      <c r="S81">
        <v>62.5</v>
      </c>
      <c r="U81" s="6">
        <f t="shared" si="5"/>
        <v>400</v>
      </c>
      <c r="W81" s="6">
        <f t="shared" si="3"/>
        <v>-225</v>
      </c>
    </row>
    <row r="82" spans="1:23" x14ac:dyDescent="0.25">
      <c r="A82">
        <v>86</v>
      </c>
      <c r="C82" t="s">
        <v>62</v>
      </c>
      <c r="E82" s="4">
        <v>36342</v>
      </c>
      <c r="G82" s="5">
        <v>8559.34</v>
      </c>
      <c r="H82" s="5"/>
      <c r="I82" s="5">
        <v>4387.47</v>
      </c>
      <c r="J82" s="5"/>
      <c r="K82" s="5">
        <v>213.98</v>
      </c>
      <c r="L82" s="5"/>
      <c r="M82" s="5">
        <f t="shared" si="6"/>
        <v>4601.45</v>
      </c>
      <c r="N82" s="5"/>
      <c r="O82" s="5">
        <f t="shared" si="7"/>
        <v>3957.8900000000003</v>
      </c>
      <c r="Q82">
        <v>40</v>
      </c>
      <c r="S82">
        <v>62.5</v>
      </c>
      <c r="U82" s="6">
        <f t="shared" si="5"/>
        <v>136.94944000000001</v>
      </c>
      <c r="W82" s="6">
        <f t="shared" si="3"/>
        <v>-77.03055999999998</v>
      </c>
    </row>
    <row r="83" spans="1:23" x14ac:dyDescent="0.25">
      <c r="A83">
        <v>87</v>
      </c>
      <c r="C83" t="s">
        <v>63</v>
      </c>
      <c r="E83" s="4">
        <v>36342</v>
      </c>
      <c r="G83" s="5">
        <v>11589.42</v>
      </c>
      <c r="H83" s="5"/>
      <c r="I83" s="5">
        <v>5940.86</v>
      </c>
      <c r="J83" s="5"/>
      <c r="K83" s="5">
        <v>289.74</v>
      </c>
      <c r="L83" s="5"/>
      <c r="M83" s="5">
        <f t="shared" si="6"/>
        <v>6230.5999999999995</v>
      </c>
      <c r="N83" s="5"/>
      <c r="O83" s="5">
        <f t="shared" si="7"/>
        <v>5358.8200000000006</v>
      </c>
      <c r="Q83">
        <v>40</v>
      </c>
      <c r="S83">
        <v>62.5</v>
      </c>
      <c r="U83" s="6">
        <f t="shared" si="5"/>
        <v>185.43072000000001</v>
      </c>
      <c r="W83" s="6">
        <f t="shared" si="3"/>
        <v>-104.30928</v>
      </c>
    </row>
    <row r="84" spans="1:23" x14ac:dyDescent="0.25">
      <c r="A84">
        <v>88</v>
      </c>
      <c r="C84" t="s">
        <v>64</v>
      </c>
      <c r="E84" s="4">
        <v>36342</v>
      </c>
      <c r="G84" s="5">
        <v>6693.3</v>
      </c>
      <c r="H84" s="5"/>
      <c r="I84" s="5">
        <v>3430.92</v>
      </c>
      <c r="J84" s="5"/>
      <c r="K84" s="5">
        <v>167.33</v>
      </c>
      <c r="L84" s="5"/>
      <c r="M84" s="5">
        <f t="shared" si="6"/>
        <v>3598.25</v>
      </c>
      <c r="N84" s="5"/>
      <c r="O84" s="5">
        <f t="shared" si="7"/>
        <v>3095.05</v>
      </c>
      <c r="Q84">
        <v>40</v>
      </c>
      <c r="S84">
        <v>62.5</v>
      </c>
      <c r="U84" s="6">
        <f t="shared" si="5"/>
        <v>107.0928</v>
      </c>
      <c r="W84" s="6">
        <f t="shared" si="3"/>
        <v>-60.237200000000016</v>
      </c>
    </row>
    <row r="85" spans="1:23" x14ac:dyDescent="0.25">
      <c r="A85">
        <v>89</v>
      </c>
      <c r="C85" t="s">
        <v>65</v>
      </c>
      <c r="E85" s="4">
        <v>36342</v>
      </c>
      <c r="G85" s="5">
        <v>6057.56</v>
      </c>
      <c r="H85" s="5"/>
      <c r="I85" s="5">
        <v>3105.14</v>
      </c>
      <c r="J85" s="5"/>
      <c r="K85" s="5">
        <v>151.44</v>
      </c>
      <c r="L85" s="5"/>
      <c r="M85" s="5">
        <f t="shared" si="6"/>
        <v>3256.58</v>
      </c>
      <c r="N85" s="5"/>
      <c r="O85" s="5">
        <f t="shared" si="7"/>
        <v>2800.9800000000005</v>
      </c>
      <c r="Q85">
        <v>40</v>
      </c>
      <c r="S85">
        <v>62.5</v>
      </c>
      <c r="U85" s="6">
        <f t="shared" si="5"/>
        <v>96.920960000000008</v>
      </c>
      <c r="W85" s="6">
        <f t="shared" si="3"/>
        <v>-54.51903999999999</v>
      </c>
    </row>
    <row r="86" spans="1:23" x14ac:dyDescent="0.25">
      <c r="A86">
        <v>90</v>
      </c>
      <c r="C86" t="s">
        <v>66</v>
      </c>
      <c r="E86" s="4">
        <v>36342</v>
      </c>
      <c r="G86" s="5">
        <v>2105.9</v>
      </c>
      <c r="H86" s="5"/>
      <c r="I86" s="5">
        <v>1079.54</v>
      </c>
      <c r="J86" s="5"/>
      <c r="K86" s="5">
        <v>52.65</v>
      </c>
      <c r="L86" s="5"/>
      <c r="M86" s="5">
        <f t="shared" si="6"/>
        <v>1132.19</v>
      </c>
      <c r="N86" s="5"/>
      <c r="O86" s="5">
        <f t="shared" si="7"/>
        <v>973.71</v>
      </c>
      <c r="Q86">
        <v>40</v>
      </c>
      <c r="S86">
        <v>62.5</v>
      </c>
      <c r="U86" s="6">
        <f t="shared" si="5"/>
        <v>33.694400000000002</v>
      </c>
      <c r="W86" s="6">
        <f t="shared" ref="W86:W136" si="8">U86-K86</f>
        <v>-18.955599999999997</v>
      </c>
    </row>
    <row r="87" spans="1:23" x14ac:dyDescent="0.25">
      <c r="A87">
        <v>166</v>
      </c>
      <c r="C87" t="s">
        <v>67</v>
      </c>
      <c r="E87" s="4">
        <v>36526</v>
      </c>
      <c r="G87" s="5">
        <v>39461.370000000003</v>
      </c>
      <c r="H87" s="5"/>
      <c r="I87" s="5">
        <v>19730.599999999999</v>
      </c>
      <c r="J87" s="5"/>
      <c r="K87" s="5">
        <v>986.53</v>
      </c>
      <c r="L87" s="5"/>
      <c r="M87" s="5">
        <f t="shared" si="6"/>
        <v>20717.129999999997</v>
      </c>
      <c r="N87" s="5"/>
      <c r="O87" s="5">
        <f t="shared" si="7"/>
        <v>18744.240000000005</v>
      </c>
      <c r="Q87">
        <v>40</v>
      </c>
      <c r="S87">
        <v>62.5</v>
      </c>
      <c r="U87" s="6">
        <f t="shared" si="5"/>
        <v>631.38192000000004</v>
      </c>
      <c r="W87" s="6">
        <f t="shared" si="8"/>
        <v>-355.14807999999994</v>
      </c>
    </row>
    <row r="88" spans="1:23" x14ac:dyDescent="0.25">
      <c r="A88">
        <v>167</v>
      </c>
      <c r="C88" t="s">
        <v>68</v>
      </c>
      <c r="E88" s="4">
        <v>36739</v>
      </c>
      <c r="G88" s="5">
        <v>6859</v>
      </c>
      <c r="H88" s="5"/>
      <c r="I88" s="5">
        <v>3329.57</v>
      </c>
      <c r="J88" s="5"/>
      <c r="K88" s="5">
        <v>171.48</v>
      </c>
      <c r="L88" s="5"/>
      <c r="M88" s="5">
        <f t="shared" si="6"/>
        <v>3501.05</v>
      </c>
      <c r="N88" s="5"/>
      <c r="O88" s="5">
        <f t="shared" si="7"/>
        <v>3357.95</v>
      </c>
      <c r="Q88">
        <v>40</v>
      </c>
      <c r="S88">
        <v>62.5</v>
      </c>
      <c r="U88" s="6">
        <f t="shared" si="5"/>
        <v>109.744</v>
      </c>
      <c r="W88" s="6">
        <f t="shared" si="8"/>
        <v>-61.73599999999999</v>
      </c>
    </row>
    <row r="89" spans="1:23" x14ac:dyDescent="0.25">
      <c r="A89">
        <v>168</v>
      </c>
      <c r="C89" t="s">
        <v>69</v>
      </c>
      <c r="E89" s="4">
        <v>36647</v>
      </c>
      <c r="G89" s="5">
        <v>13039.36</v>
      </c>
      <c r="H89" s="5"/>
      <c r="I89" s="5">
        <v>6410.94</v>
      </c>
      <c r="J89" s="5"/>
      <c r="K89" s="5">
        <v>325.98</v>
      </c>
      <c r="L89" s="5"/>
      <c r="M89" s="5">
        <f t="shared" si="6"/>
        <v>6736.92</v>
      </c>
      <c r="N89" s="5"/>
      <c r="O89" s="5">
        <f t="shared" si="7"/>
        <v>6302.4400000000005</v>
      </c>
      <c r="Q89">
        <v>40</v>
      </c>
      <c r="S89">
        <v>62.5</v>
      </c>
      <c r="U89" s="6">
        <f t="shared" si="5"/>
        <v>208.62976</v>
      </c>
      <c r="W89" s="6">
        <f t="shared" si="8"/>
        <v>-117.35024000000001</v>
      </c>
    </row>
    <row r="90" spans="1:23" x14ac:dyDescent="0.25">
      <c r="A90">
        <v>169</v>
      </c>
      <c r="C90" t="s">
        <v>70</v>
      </c>
      <c r="E90" s="4">
        <v>36678</v>
      </c>
      <c r="G90" s="5">
        <v>6420.5</v>
      </c>
      <c r="H90" s="5"/>
      <c r="I90" s="5">
        <v>3143.32</v>
      </c>
      <c r="J90" s="5"/>
      <c r="K90" s="5">
        <v>160.51</v>
      </c>
      <c r="L90" s="5"/>
      <c r="M90" s="5">
        <f t="shared" si="6"/>
        <v>3303.83</v>
      </c>
      <c r="N90" s="5"/>
      <c r="O90" s="5">
        <f t="shared" si="7"/>
        <v>3116.67</v>
      </c>
      <c r="Q90">
        <v>40</v>
      </c>
      <c r="S90">
        <v>62.5</v>
      </c>
      <c r="U90" s="6">
        <f t="shared" si="5"/>
        <v>102.72799999999999</v>
      </c>
      <c r="W90" s="6">
        <f t="shared" si="8"/>
        <v>-57.781999999999996</v>
      </c>
    </row>
    <row r="91" spans="1:23" x14ac:dyDescent="0.25">
      <c r="A91">
        <v>170</v>
      </c>
      <c r="C91" t="s">
        <v>71</v>
      </c>
      <c r="E91" s="4">
        <v>36678</v>
      </c>
      <c r="G91" s="5">
        <v>5862.8</v>
      </c>
      <c r="H91" s="5"/>
      <c r="I91" s="5">
        <v>2870.33</v>
      </c>
      <c r="J91" s="5"/>
      <c r="K91" s="5">
        <v>146.57</v>
      </c>
      <c r="L91" s="5"/>
      <c r="M91" s="5">
        <f t="shared" si="6"/>
        <v>3016.9</v>
      </c>
      <c r="N91" s="5"/>
      <c r="O91" s="5">
        <f t="shared" si="7"/>
        <v>2845.9</v>
      </c>
      <c r="Q91">
        <v>40</v>
      </c>
      <c r="S91">
        <v>62.5</v>
      </c>
      <c r="U91" s="6">
        <f t="shared" si="5"/>
        <v>93.8048</v>
      </c>
      <c r="W91" s="6">
        <f t="shared" si="8"/>
        <v>-52.765199999999993</v>
      </c>
    </row>
    <row r="92" spans="1:23" x14ac:dyDescent="0.25">
      <c r="A92">
        <v>171</v>
      </c>
      <c r="C92" t="s">
        <v>72</v>
      </c>
      <c r="E92" s="4">
        <v>36678</v>
      </c>
      <c r="G92" s="5">
        <v>6382.6</v>
      </c>
      <c r="H92" s="5"/>
      <c r="I92" s="5">
        <v>3124.91</v>
      </c>
      <c r="J92" s="5"/>
      <c r="K92" s="5">
        <v>159.57</v>
      </c>
      <c r="L92" s="5"/>
      <c r="M92" s="5">
        <f t="shared" si="6"/>
        <v>3284.48</v>
      </c>
      <c r="N92" s="5"/>
      <c r="O92" s="5">
        <f t="shared" si="7"/>
        <v>3098.1200000000003</v>
      </c>
      <c r="Q92">
        <v>40</v>
      </c>
      <c r="S92">
        <v>62.5</v>
      </c>
      <c r="U92" s="6">
        <f t="shared" si="5"/>
        <v>102.1216</v>
      </c>
      <c r="W92" s="6">
        <f t="shared" si="8"/>
        <v>-57.448399999999992</v>
      </c>
    </row>
    <row r="93" spans="1:23" x14ac:dyDescent="0.25">
      <c r="A93">
        <v>172</v>
      </c>
      <c r="C93" t="s">
        <v>73</v>
      </c>
      <c r="E93" s="4">
        <v>36770</v>
      </c>
      <c r="G93" s="5">
        <v>2509.8200000000002</v>
      </c>
      <c r="H93" s="5"/>
      <c r="I93" s="5">
        <v>1213.17</v>
      </c>
      <c r="J93" s="5"/>
      <c r="K93" s="5">
        <v>62.75</v>
      </c>
      <c r="L93" s="5"/>
      <c r="M93" s="5">
        <f t="shared" si="6"/>
        <v>1275.92</v>
      </c>
      <c r="N93" s="5"/>
      <c r="O93" s="5">
        <f t="shared" si="7"/>
        <v>1233.9000000000001</v>
      </c>
      <c r="Q93">
        <v>40</v>
      </c>
      <c r="S93">
        <v>62.5</v>
      </c>
      <c r="U93" s="6">
        <f t="shared" si="5"/>
        <v>40.157120000000006</v>
      </c>
      <c r="W93" s="6">
        <f t="shared" si="8"/>
        <v>-22.592879999999994</v>
      </c>
    </row>
    <row r="94" spans="1:23" x14ac:dyDescent="0.25">
      <c r="A94">
        <v>173</v>
      </c>
      <c r="C94" t="s">
        <v>74</v>
      </c>
      <c r="E94" s="4">
        <v>36831</v>
      </c>
      <c r="G94" s="5">
        <v>1761.12</v>
      </c>
      <c r="H94" s="5"/>
      <c r="I94" s="5">
        <v>843.91</v>
      </c>
      <c r="J94" s="5"/>
      <c r="K94" s="5">
        <v>44.03</v>
      </c>
      <c r="L94" s="5"/>
      <c r="M94" s="5">
        <f t="shared" si="6"/>
        <v>887.93999999999994</v>
      </c>
      <c r="N94" s="5"/>
      <c r="O94" s="5">
        <f t="shared" si="7"/>
        <v>873.18</v>
      </c>
      <c r="Q94">
        <v>40</v>
      </c>
      <c r="S94">
        <v>62.5</v>
      </c>
      <c r="U94" s="6">
        <f t="shared" si="5"/>
        <v>28.177919999999997</v>
      </c>
      <c r="W94" s="6">
        <f t="shared" si="8"/>
        <v>-15.852080000000004</v>
      </c>
    </row>
    <row r="95" spans="1:23" x14ac:dyDescent="0.25">
      <c r="A95">
        <v>174</v>
      </c>
      <c r="C95" t="s">
        <v>43</v>
      </c>
      <c r="E95" s="4">
        <v>36586</v>
      </c>
      <c r="G95" s="5">
        <v>11416.75</v>
      </c>
      <c r="H95" s="5"/>
      <c r="I95" s="5">
        <v>5660.83</v>
      </c>
      <c r="J95" s="5"/>
      <c r="K95" s="5">
        <v>285.42</v>
      </c>
      <c r="L95" s="5"/>
      <c r="M95" s="5">
        <f t="shared" si="6"/>
        <v>5946.25</v>
      </c>
      <c r="N95" s="5"/>
      <c r="O95" s="5">
        <f t="shared" si="7"/>
        <v>5470.5</v>
      </c>
      <c r="Q95">
        <v>40</v>
      </c>
      <c r="S95">
        <v>62.5</v>
      </c>
      <c r="U95" s="6">
        <f t="shared" si="5"/>
        <v>182.66800000000001</v>
      </c>
      <c r="W95" s="6">
        <f t="shared" si="8"/>
        <v>-102.75200000000001</v>
      </c>
    </row>
    <row r="96" spans="1:23" x14ac:dyDescent="0.25">
      <c r="A96">
        <v>175</v>
      </c>
      <c r="C96" t="s">
        <v>75</v>
      </c>
      <c r="E96" s="4">
        <v>36678</v>
      </c>
      <c r="G96" s="5">
        <v>7524.5</v>
      </c>
      <c r="H96" s="5"/>
      <c r="I96" s="5">
        <v>3683.82</v>
      </c>
      <c r="J96" s="5"/>
      <c r="K96" s="5">
        <v>188.11</v>
      </c>
      <c r="L96" s="5"/>
      <c r="M96" s="5">
        <f t="shared" si="6"/>
        <v>3871.9300000000003</v>
      </c>
      <c r="N96" s="5"/>
      <c r="O96" s="5">
        <f t="shared" si="7"/>
        <v>3652.5699999999997</v>
      </c>
      <c r="Q96">
        <v>40</v>
      </c>
      <c r="S96">
        <v>62.5</v>
      </c>
      <c r="U96" s="6">
        <f t="shared" si="5"/>
        <v>120.392</v>
      </c>
      <c r="W96" s="6">
        <f t="shared" si="8"/>
        <v>-67.718000000000018</v>
      </c>
    </row>
    <row r="97" spans="1:23" x14ac:dyDescent="0.25">
      <c r="A97">
        <v>190</v>
      </c>
      <c r="C97" t="s">
        <v>76</v>
      </c>
      <c r="E97" s="4">
        <v>37226</v>
      </c>
      <c r="G97" s="5">
        <v>22431.62</v>
      </c>
      <c r="H97" s="5"/>
      <c r="I97" s="5">
        <v>10140.950000000001</v>
      </c>
      <c r="J97" s="5"/>
      <c r="K97" s="5">
        <v>560.79</v>
      </c>
      <c r="L97" s="5"/>
      <c r="M97" s="5">
        <f t="shared" si="6"/>
        <v>10701.740000000002</v>
      </c>
      <c r="N97" s="5"/>
      <c r="O97" s="5">
        <f t="shared" si="7"/>
        <v>11729.879999999997</v>
      </c>
      <c r="Q97">
        <v>40</v>
      </c>
      <c r="S97">
        <v>62.5</v>
      </c>
      <c r="U97" s="6">
        <f t="shared" si="5"/>
        <v>358.90591999999998</v>
      </c>
      <c r="W97" s="6">
        <f t="shared" si="8"/>
        <v>-201.88407999999998</v>
      </c>
    </row>
    <row r="98" spans="1:23" x14ac:dyDescent="0.25">
      <c r="A98">
        <v>191</v>
      </c>
      <c r="C98" t="s">
        <v>77</v>
      </c>
      <c r="E98" s="4">
        <v>37226</v>
      </c>
      <c r="G98" s="5">
        <v>13269.99</v>
      </c>
      <c r="H98" s="5"/>
      <c r="I98" s="5">
        <v>5999.15</v>
      </c>
      <c r="J98" s="5"/>
      <c r="K98" s="5">
        <v>331.75</v>
      </c>
      <c r="L98" s="5"/>
      <c r="M98" s="5">
        <f t="shared" si="6"/>
        <v>6330.9</v>
      </c>
      <c r="N98" s="5"/>
      <c r="O98" s="5">
        <f t="shared" si="7"/>
        <v>6939.09</v>
      </c>
      <c r="Q98">
        <v>40</v>
      </c>
      <c r="S98">
        <v>62.5</v>
      </c>
      <c r="U98" s="6">
        <f t="shared" si="5"/>
        <v>212.31984</v>
      </c>
      <c r="W98" s="6">
        <f t="shared" si="8"/>
        <v>-119.43016</v>
      </c>
    </row>
    <row r="99" spans="1:23" x14ac:dyDescent="0.25">
      <c r="A99">
        <v>192</v>
      </c>
      <c r="C99" t="s">
        <v>78</v>
      </c>
      <c r="E99" s="4">
        <v>37104</v>
      </c>
      <c r="G99" s="5">
        <v>5668.88</v>
      </c>
      <c r="H99" s="5"/>
      <c r="I99" s="5">
        <v>2610.0100000000002</v>
      </c>
      <c r="J99" s="5"/>
      <c r="K99" s="5">
        <v>141.72</v>
      </c>
      <c r="L99" s="5"/>
      <c r="M99" s="5">
        <f t="shared" si="6"/>
        <v>2751.73</v>
      </c>
      <c r="N99" s="5"/>
      <c r="O99" s="5">
        <f t="shared" si="7"/>
        <v>2917.15</v>
      </c>
      <c r="Q99">
        <v>40</v>
      </c>
      <c r="S99">
        <v>62.5</v>
      </c>
      <c r="U99" s="6">
        <f t="shared" si="5"/>
        <v>90.702079999999995</v>
      </c>
      <c r="W99" s="6">
        <f t="shared" si="8"/>
        <v>-51.017920000000004</v>
      </c>
    </row>
    <row r="100" spans="1:23" x14ac:dyDescent="0.25">
      <c r="A100">
        <v>193</v>
      </c>
      <c r="C100" t="s">
        <v>79</v>
      </c>
      <c r="E100" s="4">
        <v>37043</v>
      </c>
      <c r="G100" s="5">
        <v>2537</v>
      </c>
      <c r="H100" s="5"/>
      <c r="I100" s="5">
        <v>1178.74</v>
      </c>
      <c r="J100" s="5"/>
      <c r="K100" s="5">
        <v>63.43</v>
      </c>
      <c r="L100" s="5"/>
      <c r="M100" s="5">
        <f t="shared" si="6"/>
        <v>1242.17</v>
      </c>
      <c r="N100" s="5"/>
      <c r="O100" s="5">
        <f t="shared" si="7"/>
        <v>1294.83</v>
      </c>
      <c r="Q100">
        <v>40</v>
      </c>
      <c r="S100">
        <v>62.5</v>
      </c>
      <c r="U100" s="6">
        <f t="shared" si="5"/>
        <v>40.591999999999999</v>
      </c>
      <c r="W100" s="6">
        <f t="shared" si="8"/>
        <v>-22.838000000000001</v>
      </c>
    </row>
    <row r="101" spans="1:23" x14ac:dyDescent="0.25">
      <c r="A101">
        <v>194</v>
      </c>
      <c r="C101" t="s">
        <v>80</v>
      </c>
      <c r="E101" s="4">
        <v>37043</v>
      </c>
      <c r="G101" s="5">
        <v>3616.9</v>
      </c>
      <c r="H101" s="5"/>
      <c r="I101" s="5">
        <v>1680.31</v>
      </c>
      <c r="J101" s="5"/>
      <c r="K101" s="5">
        <v>90.42</v>
      </c>
      <c r="L101" s="5"/>
      <c r="M101" s="5">
        <f t="shared" si="6"/>
        <v>1770.73</v>
      </c>
      <c r="N101" s="5"/>
      <c r="O101" s="5">
        <f t="shared" si="7"/>
        <v>1846.17</v>
      </c>
      <c r="Q101">
        <v>40</v>
      </c>
      <c r="S101">
        <v>62.5</v>
      </c>
      <c r="U101" s="6">
        <f t="shared" si="5"/>
        <v>57.870400000000004</v>
      </c>
      <c r="W101" s="6">
        <f t="shared" si="8"/>
        <v>-32.549599999999998</v>
      </c>
    </row>
    <row r="102" spans="1:23" x14ac:dyDescent="0.25">
      <c r="A102">
        <v>195</v>
      </c>
      <c r="C102" t="s">
        <v>81</v>
      </c>
      <c r="E102" s="4">
        <v>36923</v>
      </c>
      <c r="G102" s="5">
        <v>4133.7</v>
      </c>
      <c r="H102" s="5"/>
      <c r="I102" s="5">
        <v>1954.85</v>
      </c>
      <c r="J102" s="5"/>
      <c r="K102" s="5">
        <v>103.34</v>
      </c>
      <c r="L102" s="5"/>
      <c r="M102" s="5">
        <f t="shared" si="6"/>
        <v>2058.19</v>
      </c>
      <c r="N102" s="5"/>
      <c r="O102" s="5">
        <f t="shared" si="7"/>
        <v>2075.5099999999998</v>
      </c>
      <c r="Q102">
        <v>40</v>
      </c>
      <c r="S102">
        <v>62.5</v>
      </c>
      <c r="U102" s="6">
        <f t="shared" si="5"/>
        <v>66.139200000000002</v>
      </c>
      <c r="W102" s="6">
        <f t="shared" si="8"/>
        <v>-37.200800000000001</v>
      </c>
    </row>
    <row r="103" spans="1:23" x14ac:dyDescent="0.25">
      <c r="A103">
        <v>196</v>
      </c>
      <c r="C103" t="s">
        <v>82</v>
      </c>
      <c r="E103" s="4">
        <v>36923</v>
      </c>
      <c r="G103" s="5">
        <v>1911.76</v>
      </c>
      <c r="H103" s="5"/>
      <c r="I103" s="5">
        <v>904.03</v>
      </c>
      <c r="J103" s="5"/>
      <c r="K103" s="5">
        <v>47.79</v>
      </c>
      <c r="L103" s="5"/>
      <c r="M103" s="5">
        <f t="shared" si="6"/>
        <v>951.81999999999994</v>
      </c>
      <c r="N103" s="5"/>
      <c r="O103" s="5">
        <f t="shared" si="7"/>
        <v>959.94</v>
      </c>
      <c r="Q103">
        <v>40</v>
      </c>
      <c r="S103">
        <v>62.5</v>
      </c>
      <c r="U103" s="6">
        <f t="shared" si="5"/>
        <v>30.588159999999998</v>
      </c>
      <c r="W103" s="6">
        <f t="shared" si="8"/>
        <v>-17.201840000000001</v>
      </c>
    </row>
    <row r="104" spans="1:23" x14ac:dyDescent="0.25">
      <c r="A104">
        <v>197</v>
      </c>
      <c r="C104" t="s">
        <v>83</v>
      </c>
      <c r="E104" s="4">
        <v>37043</v>
      </c>
      <c r="G104" s="5">
        <v>3214.02</v>
      </c>
      <c r="H104" s="5"/>
      <c r="I104" s="5">
        <v>1493.17</v>
      </c>
      <c r="J104" s="5"/>
      <c r="K104" s="5">
        <v>80.349999999999994</v>
      </c>
      <c r="L104" s="5"/>
      <c r="M104" s="5">
        <f t="shared" si="6"/>
        <v>1573.52</v>
      </c>
      <c r="N104" s="5"/>
      <c r="O104" s="5">
        <f t="shared" si="7"/>
        <v>1640.5</v>
      </c>
      <c r="Q104">
        <v>40</v>
      </c>
      <c r="S104">
        <v>62.5</v>
      </c>
      <c r="U104" s="6">
        <f t="shared" si="5"/>
        <v>51.424320000000002</v>
      </c>
      <c r="W104" s="6">
        <f t="shared" si="8"/>
        <v>-28.925679999999993</v>
      </c>
    </row>
    <row r="105" spans="1:23" x14ac:dyDescent="0.25">
      <c r="A105">
        <v>198</v>
      </c>
      <c r="C105" t="s">
        <v>84</v>
      </c>
      <c r="E105" s="4">
        <v>37079</v>
      </c>
      <c r="G105" s="5">
        <v>1475.86</v>
      </c>
      <c r="H105" s="5"/>
      <c r="I105" s="5">
        <v>682.65</v>
      </c>
      <c r="J105" s="5"/>
      <c r="K105" s="5">
        <v>36.9</v>
      </c>
      <c r="L105" s="5"/>
      <c r="M105" s="5">
        <f t="shared" si="6"/>
        <v>719.55</v>
      </c>
      <c r="N105" s="5"/>
      <c r="O105" s="5">
        <f t="shared" si="7"/>
        <v>756.31</v>
      </c>
      <c r="Q105">
        <v>40</v>
      </c>
      <c r="S105">
        <v>62.5</v>
      </c>
      <c r="U105" s="6">
        <f t="shared" si="5"/>
        <v>23.613759999999999</v>
      </c>
      <c r="W105" s="6">
        <f t="shared" si="8"/>
        <v>-13.286239999999999</v>
      </c>
    </row>
    <row r="106" spans="1:23" x14ac:dyDescent="0.25">
      <c r="A106">
        <v>199</v>
      </c>
      <c r="C106" t="s">
        <v>85</v>
      </c>
      <c r="E106" s="4">
        <v>37043</v>
      </c>
      <c r="G106" s="5">
        <v>4324.95</v>
      </c>
      <c r="H106" s="5"/>
      <c r="I106" s="5">
        <v>2009.23</v>
      </c>
      <c r="J106" s="5"/>
      <c r="K106" s="5">
        <v>108.12</v>
      </c>
      <c r="L106" s="5"/>
      <c r="M106" s="5">
        <f t="shared" si="6"/>
        <v>2117.35</v>
      </c>
      <c r="N106" s="5"/>
      <c r="O106" s="5">
        <f t="shared" si="7"/>
        <v>2207.6</v>
      </c>
      <c r="Q106">
        <v>40</v>
      </c>
      <c r="S106">
        <v>62.5</v>
      </c>
      <c r="U106" s="6">
        <f t="shared" si="5"/>
        <v>69.19919999999999</v>
      </c>
      <c r="W106" s="6">
        <f t="shared" si="8"/>
        <v>-38.920800000000014</v>
      </c>
    </row>
    <row r="107" spans="1:23" x14ac:dyDescent="0.25">
      <c r="A107">
        <v>200</v>
      </c>
      <c r="C107" t="s">
        <v>86</v>
      </c>
      <c r="E107" s="4">
        <v>37043</v>
      </c>
      <c r="G107" s="5">
        <v>7264.66</v>
      </c>
      <c r="H107" s="5"/>
      <c r="I107" s="5">
        <v>3375.1</v>
      </c>
      <c r="J107" s="5"/>
      <c r="K107" s="5">
        <v>181.62</v>
      </c>
      <c r="L107" s="5"/>
      <c r="M107" s="5">
        <f t="shared" si="6"/>
        <v>3556.72</v>
      </c>
      <c r="N107" s="5"/>
      <c r="O107" s="5">
        <f t="shared" si="7"/>
        <v>3707.94</v>
      </c>
      <c r="Q107">
        <v>40</v>
      </c>
      <c r="S107">
        <v>62.5</v>
      </c>
      <c r="U107" s="6">
        <f t="shared" si="5"/>
        <v>116.23456</v>
      </c>
      <c r="W107" s="6">
        <f t="shared" si="8"/>
        <v>-65.385440000000003</v>
      </c>
    </row>
    <row r="108" spans="1:23" x14ac:dyDescent="0.25">
      <c r="A108">
        <v>201</v>
      </c>
      <c r="C108" t="s">
        <v>87</v>
      </c>
      <c r="E108" s="4">
        <v>36982</v>
      </c>
      <c r="G108" s="5">
        <v>3473.85</v>
      </c>
      <c r="H108" s="5"/>
      <c r="I108" s="5">
        <v>1628.43</v>
      </c>
      <c r="J108" s="5"/>
      <c r="K108" s="5">
        <v>86.85</v>
      </c>
      <c r="L108" s="5"/>
      <c r="M108" s="5">
        <f t="shared" si="6"/>
        <v>1715.28</v>
      </c>
      <c r="N108" s="5"/>
      <c r="O108" s="5">
        <f t="shared" si="7"/>
        <v>1758.57</v>
      </c>
      <c r="Q108">
        <v>40</v>
      </c>
      <c r="S108">
        <v>62.5</v>
      </c>
      <c r="U108" s="6">
        <f t="shared" si="5"/>
        <v>55.581600000000002</v>
      </c>
      <c r="W108" s="6">
        <f t="shared" si="8"/>
        <v>-31.268399999999993</v>
      </c>
    </row>
    <row r="109" spans="1:23" x14ac:dyDescent="0.25">
      <c r="A109">
        <v>202</v>
      </c>
      <c r="C109" t="s">
        <v>88</v>
      </c>
      <c r="E109" s="4">
        <v>37226</v>
      </c>
      <c r="G109" s="5">
        <v>21387.83</v>
      </c>
      <c r="H109" s="5"/>
      <c r="I109" s="5">
        <v>9669.16</v>
      </c>
      <c r="J109" s="5"/>
      <c r="K109" s="5">
        <v>534.70000000000005</v>
      </c>
      <c r="L109" s="5"/>
      <c r="M109" s="5">
        <f t="shared" si="6"/>
        <v>10203.86</v>
      </c>
      <c r="N109" s="5"/>
      <c r="O109" s="5">
        <f t="shared" si="7"/>
        <v>11183.970000000001</v>
      </c>
      <c r="Q109">
        <v>40</v>
      </c>
      <c r="S109">
        <v>62.5</v>
      </c>
      <c r="U109" s="6">
        <f t="shared" si="5"/>
        <v>342.20528000000002</v>
      </c>
      <c r="W109" s="6">
        <f t="shared" si="8"/>
        <v>-192.49472000000003</v>
      </c>
    </row>
    <row r="110" spans="1:23" x14ac:dyDescent="0.25">
      <c r="A110">
        <v>203</v>
      </c>
      <c r="C110" t="s">
        <v>89</v>
      </c>
      <c r="E110" s="4">
        <v>37073</v>
      </c>
      <c r="G110" s="5">
        <v>41341.800000000003</v>
      </c>
      <c r="H110" s="5"/>
      <c r="I110" s="5">
        <v>19120.669999999998</v>
      </c>
      <c r="J110" s="5"/>
      <c r="K110" s="5">
        <v>1033.55</v>
      </c>
      <c r="L110" s="5"/>
      <c r="M110" s="5">
        <f t="shared" si="6"/>
        <v>20154.219999999998</v>
      </c>
      <c r="N110" s="5"/>
      <c r="O110" s="5">
        <f t="shared" si="7"/>
        <v>21187.580000000005</v>
      </c>
      <c r="Q110">
        <v>40</v>
      </c>
      <c r="S110">
        <v>62.5</v>
      </c>
      <c r="U110" s="6">
        <f t="shared" si="5"/>
        <v>661.4688000000001</v>
      </c>
      <c r="W110" s="6">
        <f t="shared" si="8"/>
        <v>-372.08119999999985</v>
      </c>
    </row>
    <row r="111" spans="1:23" x14ac:dyDescent="0.25">
      <c r="A111">
        <v>212</v>
      </c>
      <c r="C111" t="s">
        <v>90</v>
      </c>
      <c r="E111" s="4">
        <v>37257</v>
      </c>
      <c r="G111" s="5">
        <v>17330.259999999998</v>
      </c>
      <c r="H111" s="5"/>
      <c r="I111" s="5">
        <v>7798.68</v>
      </c>
      <c r="J111" s="5"/>
      <c r="K111" s="5">
        <v>433.26</v>
      </c>
      <c r="L111" s="5"/>
      <c r="M111" s="5">
        <f t="shared" si="6"/>
        <v>8231.94</v>
      </c>
      <c r="N111" s="5"/>
      <c r="O111" s="5">
        <f t="shared" si="7"/>
        <v>9098.3199999999979</v>
      </c>
      <c r="Q111">
        <v>40</v>
      </c>
      <c r="S111">
        <v>62.5</v>
      </c>
      <c r="U111" s="6">
        <f t="shared" si="5"/>
        <v>277.28415999999999</v>
      </c>
      <c r="W111" s="6">
        <f t="shared" si="8"/>
        <v>-155.97584000000001</v>
      </c>
    </row>
    <row r="112" spans="1:23" x14ac:dyDescent="0.25">
      <c r="A112">
        <v>213</v>
      </c>
      <c r="C112" t="s">
        <v>91</v>
      </c>
      <c r="E112" s="4">
        <v>37530</v>
      </c>
      <c r="G112" s="5">
        <v>80084.679999999993</v>
      </c>
      <c r="H112" s="5"/>
      <c r="I112" s="5">
        <v>34536.57</v>
      </c>
      <c r="J112" s="5"/>
      <c r="K112" s="5">
        <v>2002.12</v>
      </c>
      <c r="L112" s="5"/>
      <c r="M112" s="5">
        <f t="shared" si="6"/>
        <v>36538.69</v>
      </c>
      <c r="N112" s="5"/>
      <c r="O112" s="5">
        <f t="shared" si="7"/>
        <v>43545.989999999991</v>
      </c>
      <c r="Q112">
        <v>40</v>
      </c>
      <c r="S112">
        <v>62.5</v>
      </c>
      <c r="U112" s="6">
        <f t="shared" si="5"/>
        <v>1281.3548799999999</v>
      </c>
      <c r="W112" s="6">
        <f t="shared" si="8"/>
        <v>-720.76512000000002</v>
      </c>
    </row>
    <row r="113" spans="1:23" x14ac:dyDescent="0.25">
      <c r="A113">
        <v>214</v>
      </c>
      <c r="C113" t="s">
        <v>92</v>
      </c>
      <c r="E113" s="4">
        <v>37529</v>
      </c>
      <c r="G113" s="5">
        <v>12625</v>
      </c>
      <c r="H113" s="5"/>
      <c r="I113" s="5">
        <v>5444.62</v>
      </c>
      <c r="J113" s="5"/>
      <c r="K113" s="5">
        <v>315.63</v>
      </c>
      <c r="L113" s="5"/>
      <c r="M113" s="5">
        <f t="shared" si="6"/>
        <v>5760.25</v>
      </c>
      <c r="N113" s="5"/>
      <c r="O113" s="5">
        <f t="shared" si="7"/>
        <v>6864.75</v>
      </c>
      <c r="Q113">
        <v>40</v>
      </c>
      <c r="S113">
        <v>62.5</v>
      </c>
      <c r="U113" s="6">
        <f t="shared" ref="U113:U136" si="9">G113/S113</f>
        <v>202</v>
      </c>
      <c r="W113" s="6">
        <f t="shared" si="8"/>
        <v>-113.63</v>
      </c>
    </row>
    <row r="114" spans="1:23" x14ac:dyDescent="0.25">
      <c r="A114">
        <v>219</v>
      </c>
      <c r="C114" t="s">
        <v>93</v>
      </c>
      <c r="E114" s="4">
        <v>37926</v>
      </c>
      <c r="G114" s="5">
        <v>71128.77</v>
      </c>
      <c r="H114" s="5"/>
      <c r="I114" s="5">
        <v>28747.89</v>
      </c>
      <c r="J114" s="5"/>
      <c r="K114" s="5">
        <v>1778.22</v>
      </c>
      <c r="L114" s="5"/>
      <c r="M114" s="5">
        <f t="shared" si="6"/>
        <v>30526.11</v>
      </c>
      <c r="N114" s="5"/>
      <c r="O114" s="5">
        <f t="shared" si="7"/>
        <v>40602.660000000003</v>
      </c>
      <c r="Q114">
        <v>40</v>
      </c>
      <c r="S114">
        <v>62.5</v>
      </c>
      <c r="U114" s="6">
        <f t="shared" si="9"/>
        <v>1138.06032</v>
      </c>
      <c r="W114" s="6">
        <f t="shared" si="8"/>
        <v>-640.15967999999998</v>
      </c>
    </row>
    <row r="115" spans="1:23" x14ac:dyDescent="0.25">
      <c r="A115">
        <v>223</v>
      </c>
      <c r="C115" t="s">
        <v>94</v>
      </c>
      <c r="E115" s="4">
        <v>38214</v>
      </c>
      <c r="G115" s="5">
        <v>16379.77</v>
      </c>
      <c r="H115" s="5"/>
      <c r="I115" s="5">
        <v>6312.97</v>
      </c>
      <c r="J115" s="5"/>
      <c r="K115" s="5">
        <v>409.49</v>
      </c>
      <c r="L115" s="5"/>
      <c r="M115" s="5">
        <f t="shared" si="6"/>
        <v>6722.46</v>
      </c>
      <c r="N115" s="5"/>
      <c r="O115" s="5">
        <f t="shared" si="7"/>
        <v>9657.3100000000013</v>
      </c>
      <c r="Q115">
        <v>40</v>
      </c>
      <c r="S115">
        <v>62.5</v>
      </c>
      <c r="U115" s="6">
        <f t="shared" si="9"/>
        <v>262.07632000000001</v>
      </c>
      <c r="W115" s="6">
        <f t="shared" si="8"/>
        <v>-147.41368</v>
      </c>
    </row>
    <row r="116" spans="1:23" x14ac:dyDescent="0.25">
      <c r="A116">
        <v>224</v>
      </c>
      <c r="C116" t="s">
        <v>95</v>
      </c>
      <c r="E116" s="4">
        <v>38200</v>
      </c>
      <c r="G116" s="5">
        <v>10225.969999999999</v>
      </c>
      <c r="H116" s="5"/>
      <c r="I116" s="5">
        <v>3941.27</v>
      </c>
      <c r="J116" s="5"/>
      <c r="K116" s="5">
        <v>255.65</v>
      </c>
      <c r="L116" s="5"/>
      <c r="M116" s="5">
        <f t="shared" si="6"/>
        <v>4196.92</v>
      </c>
      <c r="N116" s="5"/>
      <c r="O116" s="5">
        <f t="shared" si="7"/>
        <v>6029.0499999999993</v>
      </c>
      <c r="Q116">
        <v>40</v>
      </c>
      <c r="S116">
        <v>62.5</v>
      </c>
      <c r="U116" s="6">
        <f t="shared" si="9"/>
        <v>163.61552</v>
      </c>
      <c r="W116" s="6">
        <f t="shared" si="8"/>
        <v>-92.034480000000002</v>
      </c>
    </row>
    <row r="117" spans="1:23" x14ac:dyDescent="0.25">
      <c r="A117">
        <v>225</v>
      </c>
      <c r="C117" t="s">
        <v>96</v>
      </c>
      <c r="E117" s="4">
        <v>38169</v>
      </c>
      <c r="G117" s="5">
        <v>16925.97</v>
      </c>
      <c r="H117" s="5"/>
      <c r="I117" s="5">
        <v>6558.82</v>
      </c>
      <c r="J117" s="5"/>
      <c r="K117" s="5">
        <v>423.15</v>
      </c>
      <c r="L117" s="5"/>
      <c r="M117" s="5">
        <f t="shared" si="6"/>
        <v>6981.9699999999993</v>
      </c>
      <c r="N117" s="5"/>
      <c r="O117" s="5">
        <f t="shared" si="7"/>
        <v>9944.0000000000018</v>
      </c>
      <c r="Q117">
        <v>40</v>
      </c>
      <c r="S117">
        <v>62.5</v>
      </c>
      <c r="U117" s="6">
        <f t="shared" si="9"/>
        <v>270.81551999999999</v>
      </c>
      <c r="W117" s="6">
        <f t="shared" si="8"/>
        <v>-152.33447999999999</v>
      </c>
    </row>
    <row r="118" spans="1:23" x14ac:dyDescent="0.25">
      <c r="A118">
        <v>229</v>
      </c>
      <c r="C118" t="s">
        <v>97</v>
      </c>
      <c r="E118" s="4">
        <v>38443</v>
      </c>
      <c r="G118" s="5">
        <v>8548.19</v>
      </c>
      <c r="H118" s="5"/>
      <c r="I118" s="5">
        <v>3152.08</v>
      </c>
      <c r="J118" s="5"/>
      <c r="K118" s="5">
        <v>213.7</v>
      </c>
      <c r="L118" s="5"/>
      <c r="M118" s="5">
        <f t="shared" si="6"/>
        <v>3365.7799999999997</v>
      </c>
      <c r="N118" s="5"/>
      <c r="O118" s="5">
        <f t="shared" si="7"/>
        <v>5182.4100000000008</v>
      </c>
      <c r="Q118">
        <v>40</v>
      </c>
      <c r="S118">
        <v>62.5</v>
      </c>
      <c r="U118" s="6">
        <f t="shared" si="9"/>
        <v>136.77104</v>
      </c>
      <c r="W118" s="6">
        <f t="shared" si="8"/>
        <v>-76.928959999999989</v>
      </c>
    </row>
    <row r="119" spans="1:23" x14ac:dyDescent="0.25">
      <c r="A119">
        <v>230</v>
      </c>
      <c r="C119" t="s">
        <v>98</v>
      </c>
      <c r="E119" s="4">
        <v>38715</v>
      </c>
      <c r="G119" s="5">
        <v>19560.95</v>
      </c>
      <c r="H119" s="5"/>
      <c r="I119" s="5">
        <v>6846.28</v>
      </c>
      <c r="J119" s="5"/>
      <c r="K119" s="5">
        <v>489.02</v>
      </c>
      <c r="L119" s="5"/>
      <c r="M119" s="5">
        <f t="shared" si="6"/>
        <v>7335.2999999999993</v>
      </c>
      <c r="N119" s="5"/>
      <c r="O119" s="5">
        <f t="shared" si="7"/>
        <v>12225.650000000001</v>
      </c>
      <c r="Q119">
        <v>40</v>
      </c>
      <c r="S119">
        <v>62.5</v>
      </c>
      <c r="U119" s="6">
        <f t="shared" si="9"/>
        <v>312.97520000000003</v>
      </c>
      <c r="W119" s="6">
        <f t="shared" si="8"/>
        <v>-176.04479999999995</v>
      </c>
    </row>
    <row r="120" spans="1:23" x14ac:dyDescent="0.25">
      <c r="A120">
        <v>239</v>
      </c>
      <c r="C120" t="s">
        <v>99</v>
      </c>
      <c r="E120" s="4">
        <v>38899</v>
      </c>
      <c r="G120" s="5">
        <v>1549585.48</v>
      </c>
      <c r="H120" s="5"/>
      <c r="I120" s="5">
        <v>522985.14</v>
      </c>
      <c r="J120" s="5"/>
      <c r="K120" s="5">
        <v>38739.64</v>
      </c>
      <c r="L120" s="5"/>
      <c r="M120" s="5">
        <f t="shared" si="6"/>
        <v>561724.78</v>
      </c>
      <c r="N120" s="5"/>
      <c r="O120" s="5">
        <f t="shared" si="7"/>
        <v>987860.7</v>
      </c>
      <c r="Q120">
        <v>40</v>
      </c>
      <c r="S120">
        <v>62.5</v>
      </c>
      <c r="U120" s="6">
        <f t="shared" si="9"/>
        <v>24793.367679999999</v>
      </c>
      <c r="W120" s="6">
        <f t="shared" si="8"/>
        <v>-13946.27232</v>
      </c>
    </row>
    <row r="121" spans="1:23" x14ac:dyDescent="0.25">
      <c r="A121">
        <v>240</v>
      </c>
      <c r="C121" t="s">
        <v>100</v>
      </c>
      <c r="E121" s="4">
        <v>38899</v>
      </c>
      <c r="G121" s="5">
        <v>369004</v>
      </c>
      <c r="H121" s="5"/>
      <c r="I121" s="5">
        <v>99631.08</v>
      </c>
      <c r="J121" s="5"/>
      <c r="K121" s="5">
        <v>7380.08</v>
      </c>
      <c r="L121" s="5"/>
      <c r="M121" s="5">
        <f t="shared" si="6"/>
        <v>107011.16</v>
      </c>
      <c r="N121" s="5"/>
      <c r="O121" s="5">
        <f t="shared" si="7"/>
        <v>261992.84</v>
      </c>
      <c r="Q121">
        <v>50</v>
      </c>
      <c r="S121">
        <v>50</v>
      </c>
      <c r="U121" s="6">
        <f t="shared" si="9"/>
        <v>7380.08</v>
      </c>
      <c r="W121" s="6">
        <f t="shared" si="8"/>
        <v>0</v>
      </c>
    </row>
    <row r="122" spans="1:23" x14ac:dyDescent="0.25">
      <c r="A122">
        <v>241</v>
      </c>
      <c r="C122" t="s">
        <v>101</v>
      </c>
      <c r="E122" s="4">
        <v>38899</v>
      </c>
      <c r="G122" s="5">
        <v>29765</v>
      </c>
      <c r="H122" s="5"/>
      <c r="I122" s="5">
        <v>26788.46</v>
      </c>
      <c r="J122" s="5"/>
      <c r="K122" s="5">
        <v>1984.33</v>
      </c>
      <c r="L122" s="5"/>
      <c r="M122" s="5">
        <f t="shared" si="6"/>
        <v>28772.79</v>
      </c>
      <c r="N122" s="5"/>
      <c r="O122" s="5">
        <f t="shared" si="7"/>
        <v>992.20999999999913</v>
      </c>
      <c r="Q122">
        <v>15</v>
      </c>
      <c r="S122">
        <v>15</v>
      </c>
      <c r="U122" s="6">
        <f t="shared" si="9"/>
        <v>1984.3333333333333</v>
      </c>
      <c r="W122" s="6">
        <f t="shared" si="8"/>
        <v>3.3333333333303017E-3</v>
      </c>
    </row>
    <row r="123" spans="1:23" x14ac:dyDescent="0.25">
      <c r="A123">
        <v>242</v>
      </c>
      <c r="C123" t="s">
        <v>102</v>
      </c>
      <c r="E123" s="4">
        <v>38777</v>
      </c>
      <c r="G123" s="5">
        <v>16540.12</v>
      </c>
      <c r="H123" s="5"/>
      <c r="I123" s="5">
        <v>5720.09</v>
      </c>
      <c r="J123" s="5"/>
      <c r="K123" s="5">
        <v>413.5</v>
      </c>
      <c r="L123" s="5"/>
      <c r="M123" s="5">
        <f t="shared" si="6"/>
        <v>6133.59</v>
      </c>
      <c r="N123" s="5"/>
      <c r="O123" s="5">
        <f t="shared" si="7"/>
        <v>10406.529999999999</v>
      </c>
      <c r="Q123">
        <v>40</v>
      </c>
      <c r="S123">
        <v>62.5</v>
      </c>
      <c r="U123" s="6">
        <f t="shared" si="9"/>
        <v>264.64191999999997</v>
      </c>
      <c r="W123" s="6">
        <f t="shared" si="8"/>
        <v>-148.85808000000003</v>
      </c>
    </row>
    <row r="124" spans="1:23" x14ac:dyDescent="0.25">
      <c r="A124">
        <v>243</v>
      </c>
      <c r="C124" t="s">
        <v>103</v>
      </c>
      <c r="E124" s="4">
        <v>38808</v>
      </c>
      <c r="G124" s="5">
        <v>8885.64</v>
      </c>
      <c r="H124" s="5"/>
      <c r="I124" s="5">
        <v>3054.43</v>
      </c>
      <c r="J124" s="5"/>
      <c r="K124" s="5">
        <v>222.14</v>
      </c>
      <c r="L124" s="5"/>
      <c r="M124" s="5">
        <f t="shared" si="6"/>
        <v>3276.5699999999997</v>
      </c>
      <c r="N124" s="5"/>
      <c r="O124" s="5">
        <f t="shared" si="7"/>
        <v>5609.07</v>
      </c>
      <c r="Q124">
        <v>40</v>
      </c>
      <c r="S124">
        <v>62.5</v>
      </c>
      <c r="U124" s="6">
        <f t="shared" si="9"/>
        <v>142.17023999999998</v>
      </c>
      <c r="W124" s="6">
        <f t="shared" si="8"/>
        <v>-79.969760000000008</v>
      </c>
    </row>
    <row r="125" spans="1:23" x14ac:dyDescent="0.25">
      <c r="A125">
        <v>244</v>
      </c>
      <c r="C125" t="s">
        <v>104</v>
      </c>
      <c r="E125" s="4">
        <v>38899</v>
      </c>
      <c r="G125" s="5">
        <v>11449.46</v>
      </c>
      <c r="H125" s="5"/>
      <c r="I125" s="5">
        <v>3864.24</v>
      </c>
      <c r="J125" s="5"/>
      <c r="K125" s="5">
        <v>286.24</v>
      </c>
      <c r="L125" s="5"/>
      <c r="M125" s="5">
        <f t="shared" si="6"/>
        <v>4150.4799999999996</v>
      </c>
      <c r="N125" s="5"/>
      <c r="O125" s="5">
        <f t="shared" si="7"/>
        <v>7298.98</v>
      </c>
      <c r="Q125">
        <v>40</v>
      </c>
      <c r="S125">
        <v>62.5</v>
      </c>
      <c r="U125" s="6">
        <f t="shared" si="9"/>
        <v>183.19135999999997</v>
      </c>
      <c r="W125" s="6">
        <f t="shared" si="8"/>
        <v>-103.04864000000003</v>
      </c>
    </row>
    <row r="126" spans="1:23" x14ac:dyDescent="0.25">
      <c r="A126">
        <v>245</v>
      </c>
      <c r="C126" t="s">
        <v>105</v>
      </c>
      <c r="E126" s="4">
        <v>39264</v>
      </c>
      <c r="G126" s="5">
        <v>42886.95</v>
      </c>
      <c r="H126" s="5"/>
      <c r="I126" s="5">
        <v>13402.13</v>
      </c>
      <c r="J126" s="5"/>
      <c r="K126" s="5">
        <v>1072.17</v>
      </c>
      <c r="L126" s="5"/>
      <c r="M126" s="5">
        <f t="shared" si="6"/>
        <v>14474.3</v>
      </c>
      <c r="N126" s="5"/>
      <c r="O126" s="5">
        <f t="shared" si="7"/>
        <v>28412.649999999998</v>
      </c>
      <c r="Q126">
        <v>40</v>
      </c>
      <c r="S126">
        <v>62.5</v>
      </c>
      <c r="U126" s="6">
        <f t="shared" si="9"/>
        <v>686.19119999999998</v>
      </c>
      <c r="W126" s="6">
        <f t="shared" si="8"/>
        <v>-385.97880000000009</v>
      </c>
    </row>
    <row r="127" spans="1:23" x14ac:dyDescent="0.25">
      <c r="A127">
        <v>246</v>
      </c>
      <c r="C127" t="s">
        <v>106</v>
      </c>
      <c r="E127" s="4">
        <v>39264</v>
      </c>
      <c r="G127" s="5">
        <v>17332.41</v>
      </c>
      <c r="H127" s="5"/>
      <c r="I127" s="5">
        <v>5416.38</v>
      </c>
      <c r="J127" s="5"/>
      <c r="K127" s="5">
        <v>433.31</v>
      </c>
      <c r="L127" s="5"/>
      <c r="M127" s="5">
        <f t="shared" si="6"/>
        <v>5849.6900000000005</v>
      </c>
      <c r="N127" s="5"/>
      <c r="O127" s="5">
        <f t="shared" si="7"/>
        <v>11482.72</v>
      </c>
      <c r="Q127">
        <v>40</v>
      </c>
      <c r="S127">
        <v>62.5</v>
      </c>
      <c r="U127" s="6">
        <f t="shared" si="9"/>
        <v>277.31855999999999</v>
      </c>
      <c r="W127" s="6">
        <f t="shared" si="8"/>
        <v>-155.99144000000001</v>
      </c>
    </row>
    <row r="128" spans="1:23" x14ac:dyDescent="0.25">
      <c r="A128">
        <v>256</v>
      </c>
      <c r="C128" t="s">
        <v>107</v>
      </c>
      <c r="E128" s="4">
        <v>40162</v>
      </c>
      <c r="G128" s="5">
        <v>1723925</v>
      </c>
      <c r="H128" s="5"/>
      <c r="I128" s="5">
        <v>434572.81</v>
      </c>
      <c r="J128" s="5"/>
      <c r="K128" s="5">
        <v>43098.13</v>
      </c>
      <c r="L128" s="5"/>
      <c r="M128" s="5">
        <f t="shared" si="6"/>
        <v>477670.94</v>
      </c>
      <c r="N128" s="5"/>
      <c r="O128" s="5">
        <f t="shared" si="7"/>
        <v>1246254.06</v>
      </c>
      <c r="Q128">
        <v>40</v>
      </c>
      <c r="S128">
        <v>62.5</v>
      </c>
      <c r="U128" s="6">
        <f t="shared" si="9"/>
        <v>27582.799999999999</v>
      </c>
      <c r="W128" s="6">
        <f t="shared" si="8"/>
        <v>-15515.329999999998</v>
      </c>
    </row>
    <row r="129" spans="1:25" x14ac:dyDescent="0.25">
      <c r="A129">
        <v>269</v>
      </c>
      <c r="C129" t="s">
        <v>108</v>
      </c>
      <c r="E129" s="4">
        <v>40522</v>
      </c>
      <c r="G129" s="5">
        <v>6915.14</v>
      </c>
      <c r="H129" s="5"/>
      <c r="I129" s="5">
        <v>1570.33</v>
      </c>
      <c r="J129" s="5"/>
      <c r="K129" s="5">
        <v>172.88</v>
      </c>
      <c r="L129" s="5"/>
      <c r="M129" s="5">
        <f t="shared" si="6"/>
        <v>1743.21</v>
      </c>
      <c r="N129" s="5"/>
      <c r="O129" s="5">
        <f t="shared" si="7"/>
        <v>5171.93</v>
      </c>
      <c r="Q129">
        <v>40</v>
      </c>
      <c r="S129">
        <v>62.5</v>
      </c>
      <c r="U129" s="6">
        <f t="shared" si="9"/>
        <v>110.64224</v>
      </c>
      <c r="W129" s="6">
        <f t="shared" si="8"/>
        <v>-62.237759999999994</v>
      </c>
    </row>
    <row r="130" spans="1:25" x14ac:dyDescent="0.25">
      <c r="A130">
        <v>274</v>
      </c>
      <c r="C130" t="s">
        <v>109</v>
      </c>
      <c r="E130" s="4">
        <v>40756</v>
      </c>
      <c r="G130" s="5">
        <v>1384982.1</v>
      </c>
      <c r="H130" s="5"/>
      <c r="I130" s="5">
        <v>291423.3</v>
      </c>
      <c r="J130" s="5"/>
      <c r="K130" s="5">
        <v>34624.550000000003</v>
      </c>
      <c r="L130" s="5"/>
      <c r="M130" s="5">
        <f t="shared" si="6"/>
        <v>326047.84999999998</v>
      </c>
      <c r="N130" s="5"/>
      <c r="O130" s="5">
        <f t="shared" si="7"/>
        <v>1058934.25</v>
      </c>
      <c r="Q130">
        <v>40</v>
      </c>
      <c r="S130">
        <v>62.5</v>
      </c>
      <c r="U130" s="6">
        <f t="shared" si="9"/>
        <v>22159.713600000003</v>
      </c>
      <c r="W130" s="6">
        <f t="shared" si="8"/>
        <v>-12464.8364</v>
      </c>
    </row>
    <row r="131" spans="1:25" x14ac:dyDescent="0.25">
      <c r="A131">
        <v>304</v>
      </c>
      <c r="C131" t="s">
        <v>110</v>
      </c>
      <c r="E131" s="4">
        <v>42185</v>
      </c>
      <c r="G131" s="5">
        <v>299804.3</v>
      </c>
      <c r="H131" s="5"/>
      <c r="I131" s="5">
        <v>33727.11</v>
      </c>
      <c r="J131" s="5"/>
      <c r="K131" s="5">
        <v>7495.11</v>
      </c>
      <c r="L131" s="5"/>
      <c r="M131" s="5">
        <f>I131+K131</f>
        <v>41222.22</v>
      </c>
      <c r="N131" s="5"/>
      <c r="O131" s="5">
        <f>G131-M131</f>
        <v>258582.08</v>
      </c>
      <c r="Q131">
        <v>40</v>
      </c>
      <c r="S131">
        <v>62.5</v>
      </c>
      <c r="U131" s="6">
        <f t="shared" si="9"/>
        <v>4796.8688000000002</v>
      </c>
      <c r="W131" s="6">
        <f t="shared" si="8"/>
        <v>-2698.2411999999995</v>
      </c>
    </row>
    <row r="132" spans="1:25" x14ac:dyDescent="0.25">
      <c r="A132">
        <v>305</v>
      </c>
      <c r="C132" t="s">
        <v>111</v>
      </c>
      <c r="E132" s="4">
        <v>42094</v>
      </c>
      <c r="G132" s="5">
        <v>936539.87</v>
      </c>
      <c r="H132" s="5"/>
      <c r="I132" s="5">
        <v>111087.15</v>
      </c>
      <c r="J132" s="5"/>
      <c r="K132" s="5">
        <v>23413.5</v>
      </c>
      <c r="L132" s="5"/>
      <c r="M132" s="5">
        <f t="shared" si="6"/>
        <v>134500.65</v>
      </c>
      <c r="N132" s="5"/>
      <c r="O132" s="5">
        <f t="shared" si="7"/>
        <v>802039.22</v>
      </c>
      <c r="Q132">
        <v>40</v>
      </c>
      <c r="S132">
        <v>62.5</v>
      </c>
      <c r="U132" s="6">
        <f t="shared" si="9"/>
        <v>14984.637919999999</v>
      </c>
      <c r="W132" s="6">
        <f t="shared" si="8"/>
        <v>-8428.8620800000008</v>
      </c>
    </row>
    <row r="133" spans="1:25" x14ac:dyDescent="0.25">
      <c r="A133">
        <v>308</v>
      </c>
      <c r="C133" t="s">
        <v>112</v>
      </c>
      <c r="E133" s="4">
        <v>42033</v>
      </c>
      <c r="G133" s="5">
        <v>22459.439999999999</v>
      </c>
      <c r="H133" s="5"/>
      <c r="I133" s="5">
        <v>2208.52</v>
      </c>
      <c r="J133" s="5"/>
      <c r="K133" s="5">
        <v>449.19</v>
      </c>
      <c r="L133" s="5"/>
      <c r="M133" s="5">
        <f t="shared" si="6"/>
        <v>2657.71</v>
      </c>
      <c r="N133" s="5"/>
      <c r="O133" s="5">
        <f t="shared" si="7"/>
        <v>19801.73</v>
      </c>
      <c r="Q133">
        <v>50</v>
      </c>
      <c r="S133">
        <v>62.5</v>
      </c>
      <c r="U133" s="6">
        <f t="shared" si="9"/>
        <v>359.35103999999995</v>
      </c>
      <c r="W133" s="6">
        <f t="shared" si="8"/>
        <v>-89.838960000000043</v>
      </c>
    </row>
    <row r="134" spans="1:25" x14ac:dyDescent="0.25">
      <c r="A134">
        <v>313</v>
      </c>
      <c r="C134" t="s">
        <v>113</v>
      </c>
      <c r="E134" s="4">
        <v>42370</v>
      </c>
      <c r="G134" s="5">
        <v>210723</v>
      </c>
      <c r="H134" s="5"/>
      <c r="I134" s="5">
        <v>21072.32</v>
      </c>
      <c r="J134" s="5"/>
      <c r="K134" s="5">
        <v>5268.08</v>
      </c>
      <c r="L134" s="5"/>
      <c r="M134" s="5">
        <f t="shared" si="6"/>
        <v>26340.400000000001</v>
      </c>
      <c r="N134" s="5"/>
      <c r="O134" s="5">
        <f t="shared" si="7"/>
        <v>184382.6</v>
      </c>
      <c r="Q134">
        <v>40</v>
      </c>
      <c r="S134">
        <v>62.5</v>
      </c>
      <c r="U134" s="6">
        <f t="shared" si="9"/>
        <v>3371.5680000000002</v>
      </c>
      <c r="W134" s="6">
        <f t="shared" si="8"/>
        <v>-1896.5119999999997</v>
      </c>
      <c r="Y134" s="6">
        <f>SUM(W21:W136)</f>
        <v>-96733.37687555555</v>
      </c>
    </row>
    <row r="135" spans="1:25" x14ac:dyDescent="0.25">
      <c r="A135">
        <v>315</v>
      </c>
      <c r="C135" t="s">
        <v>114</v>
      </c>
      <c r="E135" s="4">
        <v>42658</v>
      </c>
      <c r="G135" s="5">
        <v>34478</v>
      </c>
      <c r="H135" s="5"/>
      <c r="I135" s="5">
        <v>2791.41</v>
      </c>
      <c r="J135" s="5"/>
      <c r="K135" s="5">
        <v>861.95</v>
      </c>
      <c r="L135" s="5"/>
      <c r="M135" s="5">
        <f t="shared" si="6"/>
        <v>3653.3599999999997</v>
      </c>
      <c r="N135" s="5"/>
      <c r="O135" s="5">
        <f t="shared" si="7"/>
        <v>30824.639999999999</v>
      </c>
      <c r="Q135">
        <v>40</v>
      </c>
      <c r="S135">
        <v>62.5</v>
      </c>
      <c r="U135" s="6">
        <f t="shared" si="9"/>
        <v>551.64800000000002</v>
      </c>
      <c r="W135" s="6">
        <f t="shared" si="8"/>
        <v>-310.30200000000002</v>
      </c>
    </row>
    <row r="136" spans="1:25" x14ac:dyDescent="0.25">
      <c r="A136">
        <v>324</v>
      </c>
      <c r="C136" t="s">
        <v>115</v>
      </c>
      <c r="E136" s="4">
        <v>42917</v>
      </c>
      <c r="G136" s="5">
        <v>9590.0499999999993</v>
      </c>
      <c r="H136" s="5"/>
      <c r="I136" s="5">
        <v>599.38</v>
      </c>
      <c r="J136" s="5"/>
      <c r="K136" s="5">
        <v>239.75</v>
      </c>
      <c r="L136" s="5"/>
      <c r="M136" s="5">
        <f t="shared" ref="M136:M183" si="10">I136+K136</f>
        <v>839.13</v>
      </c>
      <c r="N136" s="5"/>
      <c r="O136" s="5">
        <f t="shared" ref="O136:O183" si="11">G136-M136</f>
        <v>8750.92</v>
      </c>
      <c r="Q136">
        <v>40</v>
      </c>
      <c r="S136">
        <v>62.5</v>
      </c>
      <c r="U136" s="6">
        <f t="shared" si="9"/>
        <v>153.4408</v>
      </c>
      <c r="W136" s="6">
        <f t="shared" si="8"/>
        <v>-86.309200000000004</v>
      </c>
    </row>
    <row r="137" spans="1:25" x14ac:dyDescent="0.25">
      <c r="E137" s="4"/>
      <c r="G137" s="5"/>
      <c r="H137" s="5"/>
      <c r="I137" s="5"/>
      <c r="J137" s="5"/>
      <c r="K137" s="5"/>
      <c r="L137" s="5"/>
      <c r="M137" s="5"/>
      <c r="N137" s="5"/>
      <c r="O137" s="5"/>
      <c r="U137" s="6"/>
    </row>
    <row r="138" spans="1:25" x14ac:dyDescent="0.25">
      <c r="G138" s="5"/>
      <c r="H138" s="5"/>
      <c r="I138" s="5" t="s">
        <v>116</v>
      </c>
      <c r="J138" s="5"/>
      <c r="K138" s="5">
        <f>SUM(K21:K137)</f>
        <v>299462.33999999997</v>
      </c>
      <c r="L138" s="5"/>
      <c r="M138" s="5"/>
      <c r="N138" s="5"/>
      <c r="O138" s="5"/>
      <c r="S138" t="s">
        <v>116</v>
      </c>
      <c r="U138" s="6">
        <f>SUM(U21:U137)</f>
        <v>202728.96312444439</v>
      </c>
      <c r="W138" t="s">
        <v>117</v>
      </c>
      <c r="Y138" s="6">
        <f>U138-K138</f>
        <v>-96733.376875555579</v>
      </c>
    </row>
    <row r="139" spans="1:25" x14ac:dyDescent="0.25">
      <c r="A139" s="3" t="s">
        <v>118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25" x14ac:dyDescent="0.25">
      <c r="G140" s="5"/>
      <c r="H140" s="5"/>
      <c r="I140" s="5"/>
      <c r="J140" s="5"/>
      <c r="K140" s="5"/>
      <c r="L140" s="5"/>
      <c r="M140" s="5"/>
      <c r="N140" s="5"/>
      <c r="O140" s="5"/>
    </row>
    <row r="141" spans="1:25" x14ac:dyDescent="0.25">
      <c r="A141">
        <v>277</v>
      </c>
      <c r="C141" t="s">
        <v>119</v>
      </c>
      <c r="E141" s="4">
        <v>40725</v>
      </c>
      <c r="G141" s="5">
        <v>42232.61</v>
      </c>
      <c r="H141" s="5"/>
      <c r="I141" s="5">
        <v>35897.71</v>
      </c>
      <c r="J141" s="5"/>
      <c r="K141" s="5">
        <v>4223.26</v>
      </c>
      <c r="L141" s="5"/>
      <c r="M141" s="5">
        <f t="shared" si="10"/>
        <v>40120.97</v>
      </c>
      <c r="N141" s="5"/>
      <c r="O141" s="5">
        <f t="shared" si="11"/>
        <v>2111.6399999999994</v>
      </c>
      <c r="Q141">
        <v>10</v>
      </c>
      <c r="S141">
        <v>45</v>
      </c>
      <c r="U141" s="6">
        <f>G141/S141</f>
        <v>938.50244444444445</v>
      </c>
      <c r="W141" s="6">
        <f>U141-K141</f>
        <v>-3284.7575555555559</v>
      </c>
    </row>
    <row r="142" spans="1:25" x14ac:dyDescent="0.25">
      <c r="A142">
        <v>287</v>
      </c>
      <c r="C142" t="s">
        <v>120</v>
      </c>
      <c r="E142" s="4">
        <v>41090</v>
      </c>
      <c r="G142" s="5">
        <v>43926.5</v>
      </c>
      <c r="H142" s="5"/>
      <c r="I142" s="5">
        <v>32944.879999999997</v>
      </c>
      <c r="J142" s="5"/>
      <c r="K142" s="5">
        <v>4392.6499999999996</v>
      </c>
      <c r="L142" s="5"/>
      <c r="M142" s="5">
        <f t="shared" si="10"/>
        <v>37337.53</v>
      </c>
      <c r="N142" s="5"/>
      <c r="O142" s="5">
        <f t="shared" si="11"/>
        <v>6588.9700000000012</v>
      </c>
      <c r="Q142">
        <v>10</v>
      </c>
      <c r="S142">
        <v>45</v>
      </c>
      <c r="U142" s="6">
        <f t="shared" ref="U142:U153" si="12">G142/S142</f>
        <v>976.14444444444439</v>
      </c>
      <c r="W142" s="6">
        <f t="shared" ref="W142:W153" si="13">U142-K142</f>
        <v>-3416.5055555555555</v>
      </c>
    </row>
    <row r="143" spans="1:25" x14ac:dyDescent="0.25">
      <c r="A143">
        <v>296</v>
      </c>
      <c r="C143" t="s">
        <v>121</v>
      </c>
      <c r="E143" s="4">
        <v>41820</v>
      </c>
      <c r="G143" s="5">
        <v>35129.1</v>
      </c>
      <c r="H143" s="5"/>
      <c r="I143" s="5">
        <v>19321.009999999998</v>
      </c>
      <c r="J143" s="5"/>
      <c r="K143" s="5">
        <v>3512.91</v>
      </c>
      <c r="L143" s="5"/>
      <c r="M143" s="5">
        <f t="shared" si="10"/>
        <v>22833.919999999998</v>
      </c>
      <c r="N143" s="5"/>
      <c r="O143" s="5">
        <f t="shared" si="11"/>
        <v>12295.18</v>
      </c>
      <c r="Q143">
        <v>10</v>
      </c>
      <c r="S143">
        <v>45</v>
      </c>
      <c r="U143" s="6">
        <f t="shared" si="12"/>
        <v>780.64666666666665</v>
      </c>
      <c r="W143" s="6">
        <f t="shared" si="13"/>
        <v>-2732.2633333333333</v>
      </c>
    </row>
    <row r="144" spans="1:25" x14ac:dyDescent="0.25">
      <c r="A144">
        <v>300</v>
      </c>
      <c r="C144" t="s">
        <v>122</v>
      </c>
      <c r="E144" s="4">
        <v>41455</v>
      </c>
      <c r="G144" s="5">
        <v>41510.870000000003</v>
      </c>
      <c r="H144" s="5"/>
      <c r="I144" s="5">
        <v>26982.080000000002</v>
      </c>
      <c r="J144" s="5"/>
      <c r="K144" s="5">
        <v>4151.09</v>
      </c>
      <c r="L144" s="5"/>
      <c r="M144" s="5">
        <f t="shared" si="10"/>
        <v>31133.170000000002</v>
      </c>
      <c r="N144" s="5"/>
      <c r="O144" s="5">
        <f t="shared" si="11"/>
        <v>10377.700000000001</v>
      </c>
      <c r="Q144">
        <v>10</v>
      </c>
      <c r="S144">
        <v>45</v>
      </c>
      <c r="U144" s="6">
        <f t="shared" si="12"/>
        <v>922.46377777777786</v>
      </c>
      <c r="W144" s="6">
        <f t="shared" si="13"/>
        <v>-3228.6262222222222</v>
      </c>
    </row>
    <row r="145" spans="1:25" x14ac:dyDescent="0.25">
      <c r="A145">
        <v>301</v>
      </c>
      <c r="C145" t="s">
        <v>123</v>
      </c>
      <c r="E145" s="4">
        <v>42185</v>
      </c>
      <c r="G145" s="5">
        <v>58319.14</v>
      </c>
      <c r="H145" s="5"/>
      <c r="I145" s="5">
        <v>26243.599999999999</v>
      </c>
      <c r="J145" s="5"/>
      <c r="K145" s="5">
        <v>5831.91</v>
      </c>
      <c r="L145" s="5"/>
      <c r="M145" s="5">
        <f t="shared" si="10"/>
        <v>32075.51</v>
      </c>
      <c r="N145" s="5"/>
      <c r="O145" s="5">
        <f t="shared" si="11"/>
        <v>26243.63</v>
      </c>
      <c r="Q145">
        <v>10</v>
      </c>
      <c r="S145">
        <v>45</v>
      </c>
      <c r="U145" s="6">
        <f t="shared" si="12"/>
        <v>1295.9808888888888</v>
      </c>
      <c r="W145" s="6">
        <f t="shared" si="13"/>
        <v>-4535.9291111111106</v>
      </c>
    </row>
    <row r="146" spans="1:25" x14ac:dyDescent="0.25">
      <c r="A146">
        <v>302</v>
      </c>
      <c r="C146" t="s">
        <v>124</v>
      </c>
      <c r="E146" s="4">
        <v>42185</v>
      </c>
      <c r="G146" s="5">
        <v>1881.76</v>
      </c>
      <c r="H146" s="5"/>
      <c r="I146" s="5">
        <v>846.81</v>
      </c>
      <c r="J146" s="5"/>
      <c r="K146" s="5">
        <v>188.18</v>
      </c>
      <c r="L146" s="5"/>
      <c r="M146" s="5">
        <f t="shared" si="10"/>
        <v>1034.99</v>
      </c>
      <c r="N146" s="5"/>
      <c r="O146" s="5">
        <f t="shared" si="11"/>
        <v>846.77</v>
      </c>
      <c r="Q146">
        <v>10</v>
      </c>
      <c r="S146">
        <v>45</v>
      </c>
      <c r="U146" s="6">
        <f t="shared" si="12"/>
        <v>41.81688888888889</v>
      </c>
      <c r="W146" s="6">
        <f t="shared" si="13"/>
        <v>-146.36311111111112</v>
      </c>
    </row>
    <row r="147" spans="1:25" x14ac:dyDescent="0.25">
      <c r="A147">
        <v>303</v>
      </c>
      <c r="C147" t="s">
        <v>125</v>
      </c>
      <c r="E147" s="4">
        <v>42185</v>
      </c>
      <c r="G147" s="5">
        <v>1123.96</v>
      </c>
      <c r="H147" s="5"/>
      <c r="I147" s="5">
        <v>505.8</v>
      </c>
      <c r="J147" s="5"/>
      <c r="K147" s="5">
        <v>112.4</v>
      </c>
      <c r="L147" s="5"/>
      <c r="M147" s="5">
        <f t="shared" si="10"/>
        <v>618.20000000000005</v>
      </c>
      <c r="N147" s="5"/>
      <c r="O147" s="5">
        <f t="shared" si="11"/>
        <v>505.76</v>
      </c>
      <c r="Q147">
        <v>10</v>
      </c>
      <c r="S147">
        <v>45</v>
      </c>
      <c r="U147" s="6">
        <f t="shared" si="12"/>
        <v>24.97688888888889</v>
      </c>
      <c r="W147" s="6">
        <f t="shared" si="13"/>
        <v>-87.423111111111112</v>
      </c>
    </row>
    <row r="148" spans="1:25" x14ac:dyDescent="0.25">
      <c r="A148">
        <v>311</v>
      </c>
      <c r="C148" t="s">
        <v>126</v>
      </c>
      <c r="E148" s="4">
        <v>42551</v>
      </c>
      <c r="G148" s="5">
        <v>49483.28</v>
      </c>
      <c r="H148" s="5"/>
      <c r="I148" s="5">
        <v>17319.150000000001</v>
      </c>
      <c r="J148" s="5"/>
      <c r="K148" s="5">
        <v>4948.33</v>
      </c>
      <c r="L148" s="5"/>
      <c r="M148" s="5">
        <f t="shared" si="10"/>
        <v>22267.480000000003</v>
      </c>
      <c r="N148" s="5"/>
      <c r="O148" s="5">
        <f t="shared" si="11"/>
        <v>27215.799999999996</v>
      </c>
      <c r="Q148">
        <v>10</v>
      </c>
      <c r="S148">
        <v>45</v>
      </c>
      <c r="U148" s="6">
        <f t="shared" si="12"/>
        <v>1099.6284444444443</v>
      </c>
      <c r="W148" s="6">
        <f t="shared" si="13"/>
        <v>-3848.7015555555554</v>
      </c>
    </row>
    <row r="149" spans="1:25" x14ac:dyDescent="0.25">
      <c r="A149">
        <v>312</v>
      </c>
      <c r="C149" t="s">
        <v>127</v>
      </c>
      <c r="E149" s="4">
        <v>42551</v>
      </c>
      <c r="G149" s="5">
        <v>7170.03</v>
      </c>
      <c r="H149" s="5"/>
      <c r="I149" s="5">
        <v>2509.5</v>
      </c>
      <c r="J149" s="5"/>
      <c r="K149" s="5">
        <v>717</v>
      </c>
      <c r="L149" s="5"/>
      <c r="M149" s="5">
        <f t="shared" si="10"/>
        <v>3226.5</v>
      </c>
      <c r="N149" s="5"/>
      <c r="O149" s="5">
        <f t="shared" si="11"/>
        <v>3943.5299999999997</v>
      </c>
      <c r="Q149">
        <v>10</v>
      </c>
      <c r="S149">
        <v>45</v>
      </c>
      <c r="U149" s="6">
        <f t="shared" si="12"/>
        <v>159.334</v>
      </c>
      <c r="W149" s="6">
        <f t="shared" si="13"/>
        <v>-557.66599999999994</v>
      </c>
    </row>
    <row r="150" spans="1:25" x14ac:dyDescent="0.25">
      <c r="A150">
        <v>322</v>
      </c>
      <c r="C150" t="s">
        <v>128</v>
      </c>
      <c r="E150" s="4">
        <v>42916</v>
      </c>
      <c r="G150" s="5">
        <v>43448.68</v>
      </c>
      <c r="H150" s="5"/>
      <c r="I150" s="5">
        <v>10862.17</v>
      </c>
      <c r="J150" s="5"/>
      <c r="K150" s="5">
        <v>4344.87</v>
      </c>
      <c r="L150" s="5"/>
      <c r="M150" s="5">
        <f t="shared" si="10"/>
        <v>15207.04</v>
      </c>
      <c r="N150" s="5"/>
      <c r="O150" s="5">
        <f t="shared" si="11"/>
        <v>28241.64</v>
      </c>
      <c r="Q150">
        <v>10</v>
      </c>
      <c r="S150">
        <v>45</v>
      </c>
      <c r="U150" s="6">
        <f t="shared" si="12"/>
        <v>965.52622222222226</v>
      </c>
      <c r="W150" s="6">
        <f t="shared" si="13"/>
        <v>-3379.3437777777776</v>
      </c>
    </row>
    <row r="151" spans="1:25" x14ac:dyDescent="0.25">
      <c r="A151">
        <v>329</v>
      </c>
      <c r="C151" t="s">
        <v>129</v>
      </c>
      <c r="E151" s="4">
        <v>43266</v>
      </c>
      <c r="G151" s="5">
        <v>55125</v>
      </c>
      <c r="H151" s="5"/>
      <c r="I151" s="5">
        <v>8728.1299999999992</v>
      </c>
      <c r="J151" s="5"/>
      <c r="K151" s="5">
        <v>5512.5</v>
      </c>
      <c r="L151" s="5"/>
      <c r="M151" s="5">
        <f t="shared" si="10"/>
        <v>14240.63</v>
      </c>
      <c r="N151" s="5"/>
      <c r="O151" s="5">
        <f t="shared" si="11"/>
        <v>40884.370000000003</v>
      </c>
      <c r="Q151">
        <v>10</v>
      </c>
      <c r="S151">
        <v>45</v>
      </c>
      <c r="U151" s="6">
        <f t="shared" si="12"/>
        <v>1225</v>
      </c>
      <c r="W151" s="6">
        <f t="shared" si="13"/>
        <v>-4287.5</v>
      </c>
      <c r="Y151" s="6">
        <f>SUM(W141:W153)</f>
        <v>-36095.381555555556</v>
      </c>
    </row>
    <row r="152" spans="1:25" x14ac:dyDescent="0.25">
      <c r="A152">
        <v>333</v>
      </c>
      <c r="C152" t="s">
        <v>130</v>
      </c>
      <c r="E152" s="4">
        <v>43631</v>
      </c>
      <c r="G152" s="5">
        <v>52408</v>
      </c>
      <c r="H152" s="5"/>
      <c r="I152" s="5">
        <v>3057.13</v>
      </c>
      <c r="J152" s="5"/>
      <c r="K152" s="5">
        <v>5240.8</v>
      </c>
      <c r="L152" s="5"/>
      <c r="M152" s="5">
        <f t="shared" si="10"/>
        <v>8297.93</v>
      </c>
      <c r="N152" s="5"/>
      <c r="O152" s="5">
        <f t="shared" si="11"/>
        <v>44110.07</v>
      </c>
      <c r="Q152">
        <v>10</v>
      </c>
      <c r="S152">
        <v>45</v>
      </c>
      <c r="U152" s="6">
        <f t="shared" si="12"/>
        <v>1164.6222222222223</v>
      </c>
      <c r="W152" s="6">
        <f t="shared" si="13"/>
        <v>-4076.1777777777779</v>
      </c>
    </row>
    <row r="153" spans="1:25" x14ac:dyDescent="0.25">
      <c r="A153">
        <v>335</v>
      </c>
      <c r="C153" t="s">
        <v>131</v>
      </c>
      <c r="E153" s="4">
        <v>43997</v>
      </c>
      <c r="G153" s="5">
        <v>69622</v>
      </c>
      <c r="H153" s="5"/>
      <c r="I153" s="5"/>
      <c r="J153" s="5"/>
      <c r="K153" s="5">
        <v>4061.28</v>
      </c>
      <c r="L153" s="5"/>
      <c r="M153" s="5">
        <f t="shared" si="10"/>
        <v>4061.28</v>
      </c>
      <c r="N153" s="5"/>
      <c r="O153" s="5">
        <f t="shared" si="11"/>
        <v>65560.72</v>
      </c>
      <c r="Q153">
        <v>10</v>
      </c>
      <c r="S153">
        <v>45</v>
      </c>
      <c r="U153" s="6">
        <f t="shared" si="12"/>
        <v>1547.1555555555556</v>
      </c>
      <c r="W153" s="6">
        <f t="shared" si="13"/>
        <v>-2514.1244444444446</v>
      </c>
    </row>
    <row r="154" spans="1:25" x14ac:dyDescent="0.25">
      <c r="E154" s="4"/>
      <c r="G154" s="5"/>
      <c r="H154" s="5"/>
      <c r="I154" s="5"/>
      <c r="J154" s="5"/>
      <c r="K154" s="5"/>
      <c r="L154" s="5"/>
      <c r="M154" s="5"/>
      <c r="N154" s="5"/>
      <c r="O154" s="5"/>
    </row>
    <row r="155" spans="1:25" x14ac:dyDescent="0.25">
      <c r="G155" s="5"/>
      <c r="H155" s="5"/>
      <c r="I155" s="5" t="s">
        <v>116</v>
      </c>
      <c r="J155" s="5"/>
      <c r="K155" s="5">
        <f>SUM(K141:K154)</f>
        <v>47237.180000000008</v>
      </c>
      <c r="L155" s="5"/>
      <c r="M155" s="5"/>
      <c r="N155" s="5"/>
      <c r="O155" s="5"/>
      <c r="S155" t="s">
        <v>116</v>
      </c>
      <c r="U155" s="6">
        <f>SUM(U141:U154)</f>
        <v>11141.798444444445</v>
      </c>
      <c r="W155" t="s">
        <v>117</v>
      </c>
      <c r="Y155" s="7">
        <f>U155-K155</f>
        <v>-36095.381555555563</v>
      </c>
    </row>
    <row r="156" spans="1:25" x14ac:dyDescent="0.25">
      <c r="A156" s="3" t="s">
        <v>132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25" ht="16.5" thickBot="1" x14ac:dyDescent="0.3">
      <c r="G157" s="5"/>
      <c r="H157" s="5"/>
      <c r="I157" s="5"/>
      <c r="J157" s="5"/>
      <c r="K157" s="5"/>
      <c r="L157" s="5"/>
      <c r="M157" s="5"/>
      <c r="N157" s="5"/>
      <c r="O157" s="5"/>
      <c r="W157" t="s">
        <v>133</v>
      </c>
      <c r="Y157" s="8">
        <f>Y138+Y155</f>
        <v>-132828.75843111114</v>
      </c>
    </row>
    <row r="158" spans="1:25" ht="16.5" thickTop="1" x14ac:dyDescent="0.25">
      <c r="A158">
        <v>258</v>
      </c>
      <c r="C158" t="s">
        <v>134</v>
      </c>
      <c r="E158" s="4">
        <v>39820</v>
      </c>
      <c r="G158" s="5">
        <v>80000</v>
      </c>
      <c r="H158" s="5"/>
      <c r="I158" s="5">
        <v>58666.63</v>
      </c>
      <c r="J158" s="5"/>
      <c r="K158" s="5">
        <v>5333.33</v>
      </c>
      <c r="L158" s="5"/>
      <c r="M158" s="5">
        <f t="shared" si="10"/>
        <v>63999.96</v>
      </c>
      <c r="N158" s="5"/>
      <c r="O158" s="5">
        <f t="shared" si="11"/>
        <v>16000.04</v>
      </c>
      <c r="Q158">
        <v>15</v>
      </c>
    </row>
    <row r="159" spans="1:25" x14ac:dyDescent="0.25">
      <c r="A159">
        <v>279</v>
      </c>
      <c r="C159" t="s">
        <v>135</v>
      </c>
      <c r="E159" s="4">
        <v>40940</v>
      </c>
      <c r="G159" s="5">
        <v>3901.5</v>
      </c>
      <c r="H159" s="5"/>
      <c r="I159" s="5">
        <v>3088.69</v>
      </c>
      <c r="J159" s="5"/>
      <c r="K159" s="5">
        <v>390.15</v>
      </c>
      <c r="L159" s="5"/>
      <c r="M159" s="5">
        <f t="shared" si="10"/>
        <v>3478.84</v>
      </c>
      <c r="N159" s="5"/>
      <c r="O159" s="5">
        <f t="shared" si="11"/>
        <v>422.65999999999985</v>
      </c>
      <c r="Q159">
        <v>10</v>
      </c>
    </row>
    <row r="160" spans="1:25" x14ac:dyDescent="0.25">
      <c r="A160">
        <v>280</v>
      </c>
      <c r="C160" t="s">
        <v>136</v>
      </c>
      <c r="E160" s="4">
        <v>41032</v>
      </c>
      <c r="G160" s="5">
        <v>1164.99</v>
      </c>
      <c r="H160" s="5"/>
      <c r="I160" s="5">
        <v>893.17</v>
      </c>
      <c r="J160" s="5"/>
      <c r="K160" s="5">
        <v>116.5</v>
      </c>
      <c r="L160" s="5"/>
      <c r="M160" s="5">
        <f t="shared" si="10"/>
        <v>1009.67</v>
      </c>
      <c r="N160" s="5"/>
      <c r="O160" s="5">
        <f t="shared" si="11"/>
        <v>155.32000000000005</v>
      </c>
      <c r="Q160">
        <v>10</v>
      </c>
    </row>
    <row r="161" spans="1:17" x14ac:dyDescent="0.25">
      <c r="A161">
        <v>281</v>
      </c>
      <c r="C161" t="s">
        <v>137</v>
      </c>
      <c r="E161" s="4">
        <v>41185</v>
      </c>
      <c r="G161" s="5">
        <v>10428</v>
      </c>
      <c r="H161" s="5"/>
      <c r="I161" s="5">
        <v>7560.3</v>
      </c>
      <c r="J161" s="5"/>
      <c r="K161" s="5">
        <v>1042.8</v>
      </c>
      <c r="L161" s="5"/>
      <c r="M161" s="5">
        <f t="shared" si="10"/>
        <v>8603.1</v>
      </c>
      <c r="N161" s="5"/>
      <c r="O161" s="5">
        <f t="shared" si="11"/>
        <v>1824.8999999999996</v>
      </c>
      <c r="Q161">
        <v>10</v>
      </c>
    </row>
    <row r="162" spans="1:17" x14ac:dyDescent="0.25">
      <c r="A162">
        <v>284</v>
      </c>
      <c r="C162" t="s">
        <v>138</v>
      </c>
      <c r="E162" s="4">
        <v>41197</v>
      </c>
      <c r="G162" s="5">
        <v>13362.33</v>
      </c>
      <c r="H162" s="5"/>
      <c r="I162" s="5">
        <v>11862.67</v>
      </c>
      <c r="J162" s="5"/>
      <c r="K162" s="5">
        <v>1636.23</v>
      </c>
      <c r="L162" s="5"/>
      <c r="M162" s="5">
        <f t="shared" si="10"/>
        <v>13498.9</v>
      </c>
      <c r="N162" s="5"/>
      <c r="O162" s="5">
        <f t="shared" si="11"/>
        <v>-136.56999999999971</v>
      </c>
      <c r="Q162">
        <v>10</v>
      </c>
    </row>
    <row r="163" spans="1:17" x14ac:dyDescent="0.25">
      <c r="A163">
        <v>289</v>
      </c>
      <c r="C163" t="s">
        <v>139</v>
      </c>
      <c r="E163" s="4">
        <v>41471</v>
      </c>
      <c r="G163" s="5">
        <v>11109.58</v>
      </c>
      <c r="H163" s="5"/>
      <c r="I163" s="5">
        <v>7128.66</v>
      </c>
      <c r="J163" s="5"/>
      <c r="K163" s="5">
        <v>1110.96</v>
      </c>
      <c r="L163" s="5"/>
      <c r="M163" s="5">
        <f t="shared" si="10"/>
        <v>8239.619999999999</v>
      </c>
      <c r="N163" s="5"/>
      <c r="O163" s="5">
        <f t="shared" si="11"/>
        <v>2869.9600000000009</v>
      </c>
      <c r="Q163">
        <v>10</v>
      </c>
    </row>
    <row r="164" spans="1:17" x14ac:dyDescent="0.25">
      <c r="A164">
        <v>290</v>
      </c>
      <c r="C164" t="s">
        <v>140</v>
      </c>
      <c r="E164" s="4">
        <v>41563</v>
      </c>
      <c r="G164" s="5">
        <v>89948.36</v>
      </c>
      <c r="H164" s="5"/>
      <c r="I164" s="5">
        <v>55468.18</v>
      </c>
      <c r="J164" s="5"/>
      <c r="K164" s="5">
        <v>8998.84</v>
      </c>
      <c r="L164" s="5"/>
      <c r="M164" s="5">
        <f t="shared" si="10"/>
        <v>64467.020000000004</v>
      </c>
      <c r="N164" s="5"/>
      <c r="O164" s="5">
        <f t="shared" si="11"/>
        <v>25481.339999999997</v>
      </c>
      <c r="Q164">
        <v>10</v>
      </c>
    </row>
    <row r="165" spans="1:17" x14ac:dyDescent="0.25">
      <c r="A165">
        <v>291</v>
      </c>
      <c r="C165" t="s">
        <v>141</v>
      </c>
      <c r="E165" s="4">
        <v>41540</v>
      </c>
      <c r="G165" s="5">
        <v>3826.51</v>
      </c>
      <c r="H165" s="5"/>
      <c r="I165" s="5">
        <v>2391.56</v>
      </c>
      <c r="J165" s="5"/>
      <c r="K165" s="5">
        <v>382.65</v>
      </c>
      <c r="L165" s="5"/>
      <c r="M165" s="5">
        <f t="shared" si="10"/>
        <v>2774.21</v>
      </c>
      <c r="N165" s="5"/>
      <c r="O165" s="5">
        <f t="shared" si="11"/>
        <v>1052.3000000000002</v>
      </c>
      <c r="Q165">
        <v>10</v>
      </c>
    </row>
    <row r="166" spans="1:17" x14ac:dyDescent="0.25">
      <c r="A166">
        <v>306</v>
      </c>
      <c r="C166" t="s">
        <v>142</v>
      </c>
      <c r="E166" s="4">
        <v>42251</v>
      </c>
      <c r="G166" s="5">
        <v>17890</v>
      </c>
      <c r="H166" s="5"/>
      <c r="I166" s="5">
        <v>7752.33</v>
      </c>
      <c r="J166" s="5"/>
      <c r="K166" s="5">
        <v>1789</v>
      </c>
      <c r="L166" s="5"/>
      <c r="M166" s="5">
        <f t="shared" si="10"/>
        <v>9541.33</v>
      </c>
      <c r="N166" s="5"/>
      <c r="O166" s="5">
        <f t="shared" si="11"/>
        <v>8348.67</v>
      </c>
      <c r="Q166">
        <v>10</v>
      </c>
    </row>
    <row r="167" spans="1:17" x14ac:dyDescent="0.25">
      <c r="A167">
        <v>319</v>
      </c>
      <c r="C167" t="s">
        <v>143</v>
      </c>
      <c r="E167" s="4">
        <v>43091</v>
      </c>
      <c r="G167" s="5">
        <v>44889</v>
      </c>
      <c r="H167" s="5"/>
      <c r="I167" s="5">
        <v>8977.7999999999993</v>
      </c>
      <c r="J167" s="5"/>
      <c r="K167" s="5">
        <v>4488.8999999999996</v>
      </c>
      <c r="L167" s="5"/>
      <c r="M167" s="5">
        <f t="shared" si="10"/>
        <v>13466.699999999999</v>
      </c>
      <c r="N167" s="5"/>
      <c r="O167" s="5">
        <f t="shared" si="11"/>
        <v>31422.300000000003</v>
      </c>
      <c r="Q167">
        <v>10</v>
      </c>
    </row>
    <row r="168" spans="1:17" x14ac:dyDescent="0.25">
      <c r="A168">
        <v>323</v>
      </c>
      <c r="C168" t="s">
        <v>144</v>
      </c>
      <c r="E168" s="4">
        <v>42863</v>
      </c>
      <c r="G168" s="5">
        <v>3699</v>
      </c>
      <c r="H168" s="5"/>
      <c r="I168" s="5">
        <v>986.67</v>
      </c>
      <c r="J168" s="5"/>
      <c r="K168" s="5">
        <v>370</v>
      </c>
      <c r="L168" s="5"/>
      <c r="M168" s="5">
        <f t="shared" si="10"/>
        <v>1356.67</v>
      </c>
      <c r="N168" s="5"/>
      <c r="O168" s="5">
        <f t="shared" si="11"/>
        <v>2342.33</v>
      </c>
      <c r="Q168">
        <v>10</v>
      </c>
    </row>
    <row r="169" spans="1:17" x14ac:dyDescent="0.25">
      <c r="A169">
        <v>336</v>
      </c>
      <c r="C169" t="s">
        <v>145</v>
      </c>
      <c r="E169" s="4">
        <v>43985</v>
      </c>
      <c r="G169" s="5">
        <v>18648</v>
      </c>
      <c r="H169" s="5"/>
      <c r="I169" s="5"/>
      <c r="J169" s="5"/>
      <c r="K169" s="5">
        <v>1554</v>
      </c>
      <c r="L169" s="5"/>
      <c r="M169" s="5">
        <f t="shared" si="10"/>
        <v>1554</v>
      </c>
      <c r="N169" s="5"/>
      <c r="O169" s="5">
        <f t="shared" si="11"/>
        <v>17094</v>
      </c>
      <c r="Q169">
        <v>7</v>
      </c>
    </row>
    <row r="170" spans="1:17" x14ac:dyDescent="0.25">
      <c r="G170" s="5"/>
      <c r="H170" s="5"/>
      <c r="I170" s="5"/>
      <c r="J170" s="5"/>
      <c r="K170" s="5"/>
      <c r="L170" s="5"/>
      <c r="M170" s="5"/>
      <c r="N170" s="5"/>
      <c r="O170" s="5"/>
    </row>
    <row r="171" spans="1:17" x14ac:dyDescent="0.25">
      <c r="A171" s="3" t="s">
        <v>146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7" x14ac:dyDescent="0.25">
      <c r="G172" s="5"/>
      <c r="H172" s="5"/>
      <c r="I172" s="5"/>
      <c r="J172" s="5"/>
      <c r="K172" s="5"/>
      <c r="L172" s="5"/>
      <c r="M172" s="5"/>
      <c r="N172" s="5"/>
      <c r="O172" s="5"/>
    </row>
    <row r="173" spans="1:17" x14ac:dyDescent="0.25">
      <c r="A173">
        <v>309</v>
      </c>
      <c r="C173" t="s">
        <v>147</v>
      </c>
      <c r="E173" s="4">
        <v>42432</v>
      </c>
      <c r="G173" s="5">
        <v>5018.63</v>
      </c>
      <c r="H173" s="5"/>
      <c r="I173" s="5">
        <v>3847.63</v>
      </c>
      <c r="J173" s="5"/>
      <c r="K173" s="5">
        <v>1003.73</v>
      </c>
      <c r="L173" s="5"/>
      <c r="M173" s="5">
        <f t="shared" si="10"/>
        <v>4851.3600000000006</v>
      </c>
      <c r="N173" s="5"/>
      <c r="O173" s="5">
        <f t="shared" si="11"/>
        <v>167.26999999999953</v>
      </c>
      <c r="Q173">
        <v>5</v>
      </c>
    </row>
    <row r="174" spans="1:17" x14ac:dyDescent="0.25">
      <c r="G174" s="5"/>
      <c r="H174" s="5"/>
      <c r="I174" s="5"/>
      <c r="J174" s="5"/>
      <c r="K174" s="5"/>
      <c r="L174" s="5"/>
      <c r="M174" s="5"/>
      <c r="N174" s="5"/>
      <c r="O174" s="5"/>
    </row>
    <row r="175" spans="1:17" x14ac:dyDescent="0.25">
      <c r="A175" s="3" t="s">
        <v>148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7" x14ac:dyDescent="0.25">
      <c r="G176" s="5"/>
      <c r="H176" s="5"/>
      <c r="I176" s="5"/>
      <c r="J176" s="5"/>
      <c r="K176" s="5"/>
      <c r="L176" s="5"/>
      <c r="M176" s="5"/>
      <c r="N176" s="5"/>
      <c r="O176" s="5"/>
    </row>
    <row r="177" spans="1:17" x14ac:dyDescent="0.25">
      <c r="A177">
        <v>310</v>
      </c>
      <c r="C177" t="s">
        <v>149</v>
      </c>
      <c r="E177" s="4">
        <v>42569</v>
      </c>
      <c r="G177" s="5">
        <v>23325.38</v>
      </c>
      <c r="H177" s="5"/>
      <c r="I177" s="5">
        <v>15939.02</v>
      </c>
      <c r="J177" s="5"/>
      <c r="K177" s="5">
        <v>4665.08</v>
      </c>
      <c r="L177" s="5"/>
      <c r="M177" s="5">
        <f t="shared" si="10"/>
        <v>20604.099999999999</v>
      </c>
      <c r="N177" s="5"/>
      <c r="O177" s="5">
        <f t="shared" si="11"/>
        <v>2721.2800000000025</v>
      </c>
      <c r="Q177">
        <v>5</v>
      </c>
    </row>
    <row r="178" spans="1:17" x14ac:dyDescent="0.25">
      <c r="A178">
        <v>317</v>
      </c>
      <c r="C178" t="s">
        <v>150</v>
      </c>
      <c r="E178" s="4">
        <v>42528</v>
      </c>
      <c r="G178" s="5">
        <v>32500</v>
      </c>
      <c r="H178" s="5"/>
      <c r="I178" s="5">
        <v>23291.67</v>
      </c>
      <c r="J178" s="5"/>
      <c r="K178" s="5">
        <v>6500</v>
      </c>
      <c r="L178" s="5"/>
      <c r="M178" s="5">
        <f t="shared" si="10"/>
        <v>29791.67</v>
      </c>
      <c r="N178" s="5"/>
      <c r="O178" s="5">
        <f t="shared" si="11"/>
        <v>2708.3300000000017</v>
      </c>
      <c r="Q178">
        <v>5</v>
      </c>
    </row>
    <row r="179" spans="1:17" x14ac:dyDescent="0.25">
      <c r="A179">
        <v>320</v>
      </c>
      <c r="C179" t="s">
        <v>151</v>
      </c>
      <c r="E179" s="4">
        <v>43073</v>
      </c>
      <c r="G179" s="5">
        <v>26638.67</v>
      </c>
      <c r="H179" s="5"/>
      <c r="I179" s="5">
        <v>9221.7099999999991</v>
      </c>
      <c r="J179" s="5"/>
      <c r="K179" s="5">
        <v>2075</v>
      </c>
      <c r="L179" s="5"/>
      <c r="M179" s="5">
        <f t="shared" si="10"/>
        <v>11296.71</v>
      </c>
      <c r="N179" s="5"/>
      <c r="O179" s="5">
        <f t="shared" si="11"/>
        <v>15341.96</v>
      </c>
      <c r="Q179">
        <v>5</v>
      </c>
    </row>
    <row r="180" spans="1:17" x14ac:dyDescent="0.25">
      <c r="A180">
        <v>328</v>
      </c>
      <c r="C180" t="s">
        <v>152</v>
      </c>
      <c r="E180" s="4">
        <v>43172</v>
      </c>
      <c r="G180" s="5">
        <v>4950</v>
      </c>
      <c r="H180" s="5"/>
      <c r="I180" s="5">
        <v>907.5</v>
      </c>
      <c r="J180" s="5"/>
      <c r="K180" s="5">
        <v>495</v>
      </c>
      <c r="L180" s="5"/>
      <c r="M180" s="5">
        <f t="shared" si="10"/>
        <v>1402.5</v>
      </c>
      <c r="N180" s="5"/>
      <c r="O180" s="5">
        <f t="shared" si="11"/>
        <v>3547.5</v>
      </c>
      <c r="Q180">
        <v>10</v>
      </c>
    </row>
    <row r="181" spans="1:17" x14ac:dyDescent="0.25">
      <c r="A181">
        <v>332</v>
      </c>
      <c r="C181" t="s">
        <v>153</v>
      </c>
      <c r="E181" s="4">
        <v>43587</v>
      </c>
      <c r="G181" s="5">
        <v>27176.12</v>
      </c>
      <c r="H181" s="5"/>
      <c r="I181" s="5">
        <v>2588.1999999999998</v>
      </c>
      <c r="J181" s="5"/>
      <c r="K181" s="5">
        <v>3882.3</v>
      </c>
      <c r="L181" s="5"/>
      <c r="M181" s="5">
        <f t="shared" si="10"/>
        <v>6470.5</v>
      </c>
      <c r="N181" s="5"/>
      <c r="O181" s="5">
        <f t="shared" si="11"/>
        <v>20705.62</v>
      </c>
      <c r="Q181">
        <v>7</v>
      </c>
    </row>
    <row r="182" spans="1:17" x14ac:dyDescent="0.25">
      <c r="A182">
        <v>334</v>
      </c>
      <c r="C182" t="s">
        <v>154</v>
      </c>
      <c r="E182" s="4">
        <v>44089</v>
      </c>
      <c r="G182" s="5">
        <v>46892</v>
      </c>
      <c r="H182" s="5"/>
      <c r="I182" s="5"/>
      <c r="J182" s="5"/>
      <c r="K182" s="5">
        <v>2232.9499999999998</v>
      </c>
      <c r="L182" s="5"/>
      <c r="M182" s="5">
        <f t="shared" si="10"/>
        <v>2232.9499999999998</v>
      </c>
      <c r="N182" s="5"/>
      <c r="O182" s="5">
        <f t="shared" si="11"/>
        <v>44659.05</v>
      </c>
      <c r="Q182">
        <v>7</v>
      </c>
    </row>
    <row r="183" spans="1:17" x14ac:dyDescent="0.25">
      <c r="A183">
        <v>337</v>
      </c>
      <c r="C183" t="s">
        <v>155</v>
      </c>
      <c r="E183" s="4">
        <v>44033</v>
      </c>
      <c r="G183" s="5">
        <v>2495</v>
      </c>
      <c r="H183" s="5"/>
      <c r="I183" s="5"/>
      <c r="J183" s="5"/>
      <c r="K183" s="5">
        <v>148.51</v>
      </c>
      <c r="L183" s="5"/>
      <c r="M183" s="5">
        <f t="shared" si="10"/>
        <v>148.51</v>
      </c>
      <c r="N183" s="5"/>
      <c r="O183" s="5">
        <f t="shared" si="11"/>
        <v>2346.4899999999998</v>
      </c>
      <c r="Q183">
        <v>7</v>
      </c>
    </row>
    <row r="186" spans="1:17" x14ac:dyDescent="0.25">
      <c r="I186" t="s">
        <v>116</v>
      </c>
      <c r="K186" s="6">
        <f>SUM(K6:K183)</f>
        <v>954167.83000000031</v>
      </c>
    </row>
  </sheetData>
  <mergeCells count="1">
    <mergeCell ref="S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BillingAnalysis</vt:lpstr>
      <vt:lpstr>Salaries</vt:lpstr>
      <vt:lpstr>HealthBenefits</vt:lpstr>
      <vt:lpstr>CERS</vt:lpstr>
      <vt:lpstr>Depreciation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2022-03-31T19:53:45Z</dcterms:created>
  <dcterms:modified xsi:type="dcterms:W3CDTF">2022-03-31T21:08:45Z</dcterms:modified>
</cp:coreProperties>
</file>