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66925"/>
  <xr:revisionPtr revIDLastSave="0" documentId="14_{30585377-28B1-45BA-A876-65AE70232880}" xr6:coauthVersionLast="36" xr6:coauthVersionMax="36" xr10:uidLastSave="{00000000-0000-0000-0000-000000000000}"/>
  <bookViews>
    <workbookView xWindow="0" yWindow="0" windowWidth="28800" windowHeight="11625" activeTab="2" xr2:uid="{00268466-B231-47CA-9752-5395AAE2F444}"/>
  </bookViews>
  <sheets>
    <sheet name="Schedule Of Adjusted Operations" sheetId="1" r:id="rId1"/>
    <sheet name="DebtServiceRequirements" sheetId="2" r:id="rId2"/>
    <sheet name="Wage-Benefits" sheetId="3" r:id="rId3"/>
  </sheets>
  <definedNames>
    <definedName name="_xlnm._FilterDatabase" localSheetId="2" hidden="1">'Wage-Benefits'!$A$1:$R$31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3" i="3" l="1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" i="3"/>
  <c r="F15" i="1" l="1"/>
  <c r="F9" i="1"/>
  <c r="F17" i="1" s="1"/>
  <c r="F47" i="1"/>
  <c r="E47" i="1"/>
  <c r="BW19" i="2"/>
  <c r="BS8" i="2"/>
  <c r="BS10" i="2"/>
  <c r="BS12" i="2"/>
  <c r="BS14" i="2"/>
  <c r="BS6" i="2"/>
  <c r="BR8" i="2"/>
  <c r="BR10" i="2"/>
  <c r="BR12" i="2"/>
  <c r="BR14" i="2"/>
  <c r="BR6" i="2"/>
  <c r="C39" i="1"/>
  <c r="C38" i="1"/>
  <c r="C40" i="1"/>
  <c r="C23" i="1"/>
  <c r="X4" i="3"/>
  <c r="X5" i="3"/>
  <c r="X6" i="3"/>
  <c r="X7" i="3"/>
  <c r="X8" i="3"/>
  <c r="X9" i="3"/>
  <c r="X10" i="3"/>
  <c r="X11" i="3"/>
  <c r="X12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" i="3"/>
  <c r="I36" i="3"/>
  <c r="D33" i="3"/>
  <c r="M32" i="3"/>
  <c r="I32" i="3"/>
  <c r="H32" i="3"/>
  <c r="W31" i="3"/>
  <c r="T31" i="3"/>
  <c r="U31" i="3" s="1"/>
  <c r="S31" i="3"/>
  <c r="P31" i="3"/>
  <c r="V31" i="3" s="1"/>
  <c r="W30" i="3"/>
  <c r="T30" i="3"/>
  <c r="U30" i="3" s="1"/>
  <c r="S30" i="3"/>
  <c r="P30" i="3"/>
  <c r="V30" i="3" s="1"/>
  <c r="W29" i="3"/>
  <c r="T29" i="3"/>
  <c r="U29" i="3" s="1"/>
  <c r="S29" i="3"/>
  <c r="P29" i="3"/>
  <c r="V29" i="3" s="1"/>
  <c r="W28" i="3"/>
  <c r="T28" i="3"/>
  <c r="U28" i="3" s="1"/>
  <c r="S28" i="3"/>
  <c r="P28" i="3"/>
  <c r="V28" i="3" s="1"/>
  <c r="W27" i="3"/>
  <c r="T27" i="3"/>
  <c r="U27" i="3" s="1"/>
  <c r="S27" i="3"/>
  <c r="P27" i="3"/>
  <c r="V27" i="3" s="1"/>
  <c r="T26" i="3"/>
  <c r="U26" i="3" s="1"/>
  <c r="S26" i="3"/>
  <c r="R26" i="3"/>
  <c r="W26" i="3" s="1"/>
  <c r="Q26" i="3"/>
  <c r="P26" i="3"/>
  <c r="V26" i="3" s="1"/>
  <c r="T25" i="3"/>
  <c r="U25" i="3" s="1"/>
  <c r="S25" i="3"/>
  <c r="R25" i="3"/>
  <c r="W25" i="3" s="1"/>
  <c r="Q25" i="3"/>
  <c r="P25" i="3"/>
  <c r="V25" i="3" s="1"/>
  <c r="T24" i="3"/>
  <c r="U24" i="3" s="1"/>
  <c r="S24" i="3"/>
  <c r="R24" i="3"/>
  <c r="Q24" i="3"/>
  <c r="P24" i="3"/>
  <c r="V24" i="3" s="1"/>
  <c r="T23" i="3"/>
  <c r="U23" i="3" s="1"/>
  <c r="S23" i="3"/>
  <c r="R23" i="3"/>
  <c r="W23" i="3" s="1"/>
  <c r="Q23" i="3"/>
  <c r="P23" i="3"/>
  <c r="V23" i="3" s="1"/>
  <c r="T22" i="3"/>
  <c r="U22" i="3" s="1"/>
  <c r="S22" i="3"/>
  <c r="R22" i="3"/>
  <c r="W22" i="3" s="1"/>
  <c r="Q22" i="3"/>
  <c r="P22" i="3"/>
  <c r="V22" i="3" s="1"/>
  <c r="T21" i="3"/>
  <c r="U21" i="3" s="1"/>
  <c r="S21" i="3"/>
  <c r="R21" i="3"/>
  <c r="Q21" i="3"/>
  <c r="P21" i="3"/>
  <c r="V21" i="3" s="1"/>
  <c r="T20" i="3"/>
  <c r="U20" i="3" s="1"/>
  <c r="S20" i="3"/>
  <c r="R20" i="3"/>
  <c r="W20" i="3" s="1"/>
  <c r="Q20" i="3"/>
  <c r="P20" i="3"/>
  <c r="V20" i="3" s="1"/>
  <c r="T19" i="3"/>
  <c r="U19" i="3" s="1"/>
  <c r="S19" i="3"/>
  <c r="R19" i="3"/>
  <c r="W19" i="3" s="1"/>
  <c r="Q19" i="3"/>
  <c r="P19" i="3"/>
  <c r="V19" i="3" s="1"/>
  <c r="T18" i="3"/>
  <c r="U18" i="3" s="1"/>
  <c r="S18" i="3"/>
  <c r="R18" i="3"/>
  <c r="Q18" i="3"/>
  <c r="P18" i="3"/>
  <c r="V18" i="3" s="1"/>
  <c r="T17" i="3"/>
  <c r="U17" i="3" s="1"/>
  <c r="S17" i="3"/>
  <c r="R17" i="3"/>
  <c r="W17" i="3" s="1"/>
  <c r="Q17" i="3"/>
  <c r="P17" i="3"/>
  <c r="V17" i="3" s="1"/>
  <c r="T16" i="3"/>
  <c r="U16" i="3" s="1"/>
  <c r="S16" i="3"/>
  <c r="R16" i="3"/>
  <c r="W16" i="3" s="1"/>
  <c r="Q16" i="3"/>
  <c r="P16" i="3"/>
  <c r="V16" i="3" s="1"/>
  <c r="T15" i="3"/>
  <c r="U15" i="3" s="1"/>
  <c r="S15" i="3"/>
  <c r="R15" i="3"/>
  <c r="W15" i="3" s="1"/>
  <c r="Q15" i="3"/>
  <c r="P15" i="3"/>
  <c r="V15" i="3" s="1"/>
  <c r="T14" i="3"/>
  <c r="U14" i="3" s="1"/>
  <c r="S14" i="3"/>
  <c r="R14" i="3"/>
  <c r="W14" i="3" s="1"/>
  <c r="Q14" i="3"/>
  <c r="P14" i="3"/>
  <c r="V14" i="3" s="1"/>
  <c r="T13" i="3"/>
  <c r="U13" i="3" s="1"/>
  <c r="S13" i="3"/>
  <c r="R13" i="3"/>
  <c r="W13" i="3" s="1"/>
  <c r="Q13" i="3"/>
  <c r="P13" i="3"/>
  <c r="V13" i="3" s="1"/>
  <c r="T12" i="3"/>
  <c r="U12" i="3" s="1"/>
  <c r="S12" i="3"/>
  <c r="R12" i="3"/>
  <c r="Q12" i="3"/>
  <c r="P12" i="3"/>
  <c r="V12" i="3" s="1"/>
  <c r="T11" i="3"/>
  <c r="U11" i="3" s="1"/>
  <c r="S11" i="3"/>
  <c r="R11" i="3"/>
  <c r="W11" i="3" s="1"/>
  <c r="Q11" i="3"/>
  <c r="P11" i="3"/>
  <c r="V11" i="3" s="1"/>
  <c r="T10" i="3"/>
  <c r="U10" i="3" s="1"/>
  <c r="S10" i="3"/>
  <c r="R10" i="3"/>
  <c r="W10" i="3" s="1"/>
  <c r="Q10" i="3"/>
  <c r="P10" i="3"/>
  <c r="V10" i="3" s="1"/>
  <c r="T9" i="3"/>
  <c r="U9" i="3" s="1"/>
  <c r="S9" i="3"/>
  <c r="R9" i="3"/>
  <c r="Q9" i="3"/>
  <c r="P9" i="3"/>
  <c r="V9" i="3" s="1"/>
  <c r="T8" i="3"/>
  <c r="U8" i="3" s="1"/>
  <c r="S8" i="3"/>
  <c r="R8" i="3"/>
  <c r="W8" i="3" s="1"/>
  <c r="Q8" i="3"/>
  <c r="P8" i="3"/>
  <c r="V8" i="3" s="1"/>
  <c r="T7" i="3"/>
  <c r="U7" i="3" s="1"/>
  <c r="S7" i="3"/>
  <c r="R7" i="3"/>
  <c r="W7" i="3" s="1"/>
  <c r="Q7" i="3"/>
  <c r="P7" i="3"/>
  <c r="V7" i="3" s="1"/>
  <c r="T6" i="3"/>
  <c r="U6" i="3" s="1"/>
  <c r="S6" i="3"/>
  <c r="R6" i="3"/>
  <c r="Q6" i="3"/>
  <c r="P6" i="3"/>
  <c r="V6" i="3" s="1"/>
  <c r="T5" i="3"/>
  <c r="U5" i="3" s="1"/>
  <c r="S5" i="3"/>
  <c r="R5" i="3"/>
  <c r="W5" i="3" s="1"/>
  <c r="Q5" i="3"/>
  <c r="P5" i="3"/>
  <c r="V5" i="3" s="1"/>
  <c r="T4" i="3"/>
  <c r="S4" i="3"/>
  <c r="R4" i="3"/>
  <c r="W4" i="3" s="1"/>
  <c r="Q4" i="3"/>
  <c r="P4" i="3"/>
  <c r="V4" i="3" s="1"/>
  <c r="S3" i="3"/>
  <c r="R3" i="3"/>
  <c r="Q3" i="3"/>
  <c r="P3" i="3"/>
  <c r="F34" i="1" l="1"/>
  <c r="F37" i="1" s="1"/>
  <c r="F43" i="1" s="1"/>
  <c r="F45" i="1"/>
  <c r="F49" i="1" s="1"/>
  <c r="T36" i="3"/>
  <c r="D3" i="3" s="1"/>
  <c r="P32" i="3"/>
  <c r="U4" i="3"/>
  <c r="Q32" i="3"/>
  <c r="S32" i="3"/>
  <c r="W9" i="3"/>
  <c r="W12" i="3"/>
  <c r="W18" i="3"/>
  <c r="W21" i="3"/>
  <c r="W24" i="3"/>
  <c r="R32" i="3"/>
  <c r="W6" i="3"/>
  <c r="T3" i="3" l="1"/>
  <c r="T32" i="3" s="1"/>
  <c r="I38" i="3" s="1"/>
  <c r="V3" i="3"/>
  <c r="V32" i="3" s="1"/>
  <c r="W3" i="3"/>
  <c r="U3" i="3"/>
  <c r="U32" i="3" s="1"/>
  <c r="W32" i="3"/>
  <c r="AY14" i="2" l="1"/>
  <c r="AS14" i="2"/>
  <c r="AM14" i="2"/>
  <c r="AL14" i="2"/>
  <c r="AJ14" i="2"/>
  <c r="AG14" i="2"/>
  <c r="T14" i="2"/>
  <c r="Q14" i="2"/>
  <c r="AY13" i="2"/>
  <c r="AX13" i="2"/>
  <c r="AS13" i="2"/>
  <c r="AR13" i="2"/>
  <c r="AM13" i="2"/>
  <c r="AL13" i="2"/>
  <c r="AJ13" i="2"/>
  <c r="AI13" i="2"/>
  <c r="AG13" i="2"/>
  <c r="AF13" i="2"/>
  <c r="T13" i="2"/>
  <c r="S13" i="2"/>
  <c r="Q13" i="2"/>
  <c r="X13" i="2" s="1"/>
  <c r="P13" i="2"/>
  <c r="W13" i="2" s="1"/>
  <c r="AY12" i="2"/>
  <c r="AS12" i="2"/>
  <c r="AM12" i="2"/>
  <c r="AL12" i="2"/>
  <c r="AJ12" i="2"/>
  <c r="AI12" i="2"/>
  <c r="AG12" i="2"/>
  <c r="T12" i="2"/>
  <c r="Q12" i="2"/>
  <c r="AY11" i="2"/>
  <c r="AX11" i="2"/>
  <c r="AS11" i="2"/>
  <c r="AR11" i="2"/>
  <c r="AM11" i="2"/>
  <c r="AL11" i="2"/>
  <c r="AJ11" i="2"/>
  <c r="AI11" i="2"/>
  <c r="AG11" i="2"/>
  <c r="AF11" i="2"/>
  <c r="T11" i="2"/>
  <c r="S11" i="2"/>
  <c r="Q11" i="2"/>
  <c r="X11" i="2" s="1"/>
  <c r="P11" i="2"/>
  <c r="W11" i="2" s="1"/>
  <c r="AY10" i="2"/>
  <c r="AS10" i="2"/>
  <c r="AM10" i="2"/>
  <c r="AL10" i="2"/>
  <c r="AJ10" i="2"/>
  <c r="AI10" i="2"/>
  <c r="AG10" i="2"/>
  <c r="T10" i="2"/>
  <c r="Q10" i="2"/>
  <c r="AY9" i="2"/>
  <c r="AX9" i="2"/>
  <c r="AS9" i="2"/>
  <c r="AR9" i="2"/>
  <c r="AM9" i="2"/>
  <c r="AL9" i="2"/>
  <c r="AJ9" i="2"/>
  <c r="AI9" i="2"/>
  <c r="AG9" i="2"/>
  <c r="AF9" i="2"/>
  <c r="T9" i="2"/>
  <c r="S9" i="2"/>
  <c r="Q9" i="2"/>
  <c r="X9" i="2" s="1"/>
  <c r="P9" i="2"/>
  <c r="W9" i="2" s="1"/>
  <c r="AY8" i="2"/>
  <c r="AS8" i="2"/>
  <c r="AM8" i="2"/>
  <c r="AL8" i="2"/>
  <c r="AJ8" i="2"/>
  <c r="AI8" i="2"/>
  <c r="AG8" i="2"/>
  <c r="T8" i="2"/>
  <c r="Q8" i="2"/>
  <c r="AY7" i="2"/>
  <c r="AX7" i="2"/>
  <c r="AS7" i="2"/>
  <c r="AR7" i="2"/>
  <c r="AM7" i="2"/>
  <c r="AL7" i="2"/>
  <c r="AJ7" i="2"/>
  <c r="AI7" i="2"/>
  <c r="AG7" i="2"/>
  <c r="AF7" i="2"/>
  <c r="T7" i="2"/>
  <c r="S7" i="2"/>
  <c r="Q7" i="2"/>
  <c r="X7" i="2" s="1"/>
  <c r="P7" i="2"/>
  <c r="W7" i="2" s="1"/>
  <c r="AY6" i="2"/>
  <c r="AS6" i="2"/>
  <c r="AM6" i="2"/>
  <c r="AL6" i="2"/>
  <c r="AJ6" i="2"/>
  <c r="AI6" i="2"/>
  <c r="AG6" i="2"/>
  <c r="T6" i="2"/>
  <c r="Q6" i="2"/>
  <c r="AY5" i="2"/>
  <c r="AX5" i="2"/>
  <c r="AS5" i="2"/>
  <c r="AR5" i="2"/>
  <c r="AM5" i="2"/>
  <c r="AL5" i="2"/>
  <c r="AJ5" i="2"/>
  <c r="AI5" i="2"/>
  <c r="AG5" i="2"/>
  <c r="AF5" i="2"/>
  <c r="T5" i="2"/>
  <c r="S5" i="2"/>
  <c r="Q5" i="2"/>
  <c r="X5" i="2" s="1"/>
  <c r="P5" i="2"/>
  <c r="W5" i="2" s="1"/>
  <c r="E41" i="1"/>
  <c r="E40" i="1"/>
  <c r="E39" i="1"/>
  <c r="E38" i="1"/>
  <c r="B36" i="1"/>
  <c r="E36" i="1" s="1"/>
  <c r="E35" i="1"/>
  <c r="C33" i="1"/>
  <c r="B33" i="1"/>
  <c r="E32" i="1"/>
  <c r="E31" i="1"/>
  <c r="E30" i="1"/>
  <c r="B29" i="1"/>
  <c r="E28" i="1"/>
  <c r="E27" i="1"/>
  <c r="E26" i="1"/>
  <c r="E25" i="1"/>
  <c r="E24" i="1"/>
  <c r="E23" i="1"/>
  <c r="E22" i="1"/>
  <c r="C21" i="1"/>
  <c r="E21" i="1" s="1"/>
  <c r="B15" i="1"/>
  <c r="E14" i="1"/>
  <c r="E13" i="1"/>
  <c r="C12" i="1"/>
  <c r="C15" i="1" s="1"/>
  <c r="E11" i="1"/>
  <c r="B9" i="1"/>
  <c r="E8" i="1"/>
  <c r="E7" i="1"/>
  <c r="E6" i="1"/>
  <c r="C5" i="1"/>
  <c r="C9" i="1" s="1"/>
  <c r="E4" i="1"/>
  <c r="E33" i="1" l="1"/>
  <c r="B37" i="1"/>
  <c r="B43" i="1" s="1"/>
  <c r="E5" i="1"/>
  <c r="E29" i="1"/>
  <c r="E15" i="1"/>
  <c r="B17" i="1"/>
  <c r="B45" i="1" s="1"/>
  <c r="BB5" i="2"/>
  <c r="BB7" i="2"/>
  <c r="BB9" i="2"/>
  <c r="BB11" i="2"/>
  <c r="BB13" i="2"/>
  <c r="BA5" i="2"/>
  <c r="BA7" i="2"/>
  <c r="BA11" i="2"/>
  <c r="BA13" i="2"/>
  <c r="BA9" i="2"/>
  <c r="BU10" i="2"/>
  <c r="BU12" i="2"/>
  <c r="C17" i="1"/>
  <c r="E9" i="1"/>
  <c r="E12" i="1"/>
  <c r="BU8" i="2" l="1"/>
  <c r="BU6" i="2"/>
  <c r="BU14" i="2"/>
  <c r="E17" i="1"/>
  <c r="C34" i="1" s="1"/>
  <c r="BW15" i="2" l="1"/>
  <c r="BW16" i="2" s="1"/>
  <c r="BW17" i="2" s="1"/>
  <c r="E34" i="1" l="1"/>
  <c r="E37" i="1" s="1"/>
  <c r="E43" i="1" s="1"/>
  <c r="E45" i="1" s="1"/>
  <c r="E49" i="1" s="1"/>
  <c r="C37" i="1"/>
  <c r="C43" i="1" s="1"/>
  <c r="C45" i="1" s="1"/>
</calcChain>
</file>

<file path=xl/sharedStrings.xml><?xml version="1.0" encoding="utf-8"?>
<sst xmlns="http://schemas.openxmlformats.org/spreadsheetml/2006/main" count="277" uniqueCount="141">
  <si>
    <t>Test Year</t>
  </si>
  <si>
    <t>Adjustment</t>
  </si>
  <si>
    <t>Ref.</t>
  </si>
  <si>
    <t>Operating Revenues</t>
  </si>
  <si>
    <t>Sales of Water</t>
  </si>
  <si>
    <t>Unmetered Water Sales</t>
  </si>
  <si>
    <t>Metered Water Sales</t>
  </si>
  <si>
    <t>A</t>
  </si>
  <si>
    <t>Bulk Loading Stations</t>
  </si>
  <si>
    <t>Fire Protection Revenue</t>
  </si>
  <si>
    <t>Sales for Resale</t>
  </si>
  <si>
    <t>Total Water Sales</t>
  </si>
  <si>
    <t>Other Water Revenues</t>
  </si>
  <si>
    <t>Forfeited Discounts</t>
  </si>
  <si>
    <t>Miscellaneous Service Revenues</t>
  </si>
  <si>
    <t>B</t>
  </si>
  <si>
    <t>Rents from Water Property</t>
  </si>
  <si>
    <t>Total Other Water Revenues</t>
  </si>
  <si>
    <t>Total Operating Revenues</t>
  </si>
  <si>
    <t>Operating Expenses</t>
  </si>
  <si>
    <t>Operation and Maintenance Expenses</t>
  </si>
  <si>
    <t>Salaries and Wages - Employees</t>
  </si>
  <si>
    <t>C</t>
  </si>
  <si>
    <t>Salaries and Wages - Officers</t>
  </si>
  <si>
    <t>D</t>
  </si>
  <si>
    <t>Employee Pensions and Benefits</t>
  </si>
  <si>
    <t>E</t>
  </si>
  <si>
    <t>Purchased Water</t>
  </si>
  <si>
    <t>Purchased Power</t>
  </si>
  <si>
    <t>F</t>
  </si>
  <si>
    <t>Fuel for Power Production</t>
  </si>
  <si>
    <t>Chemicals</t>
  </si>
  <si>
    <t>Materials and Supplies</t>
  </si>
  <si>
    <t>Contractual Services</t>
  </si>
  <si>
    <t>G</t>
  </si>
  <si>
    <t>Water Testing</t>
  </si>
  <si>
    <t>Rents</t>
  </si>
  <si>
    <t>Transportation Expenses</t>
  </si>
  <si>
    <t>Insurance</t>
  </si>
  <si>
    <t>H</t>
  </si>
  <si>
    <t>Regulatory Commission Expenses</t>
  </si>
  <si>
    <t>I</t>
  </si>
  <si>
    <t>Bad Debt Expense</t>
  </si>
  <si>
    <t>Miscellaneous Expenses</t>
  </si>
  <si>
    <t>J</t>
  </si>
  <si>
    <t>Total Operation and Maintenance Expenses</t>
  </si>
  <si>
    <t>Depreciation Expense</t>
  </si>
  <si>
    <t>K</t>
  </si>
  <si>
    <t>Amortization Expense</t>
  </si>
  <si>
    <t>Taxes Other than Income</t>
  </si>
  <si>
    <t>L</t>
  </si>
  <si>
    <t>Income Tax Expense</t>
  </si>
  <si>
    <t>Total Operating Expenses</t>
  </si>
  <si>
    <t>Utility Operating Income</t>
  </si>
  <si>
    <t>USDA Debt</t>
  </si>
  <si>
    <t>Total USDA (Water)</t>
  </si>
  <si>
    <t>KRWA Finance Corporation</t>
  </si>
  <si>
    <t>Total KRWFC (Water)</t>
  </si>
  <si>
    <t>BB&amp;T (H2O Meters)</t>
  </si>
  <si>
    <t>KIA Loan</t>
  </si>
  <si>
    <t>Total</t>
  </si>
  <si>
    <t>Series 2012A</t>
  </si>
  <si>
    <t>Series 2012B</t>
  </si>
  <si>
    <t>Series 2015</t>
  </si>
  <si>
    <t>Series 2020</t>
  </si>
  <si>
    <t>Series 2020(W)</t>
  </si>
  <si>
    <t>Series 2020(S)</t>
  </si>
  <si>
    <t>Series 2012D</t>
  </si>
  <si>
    <t>Series 2012D (W)</t>
  </si>
  <si>
    <t>Series 2012D (S)</t>
  </si>
  <si>
    <t>Series 2013B</t>
  </si>
  <si>
    <t>Series 2020E-Bldg</t>
  </si>
  <si>
    <t>Series 2020E-Bldg (W)</t>
  </si>
  <si>
    <t>Series 2020E-Refund</t>
  </si>
  <si>
    <t>Series  2020E-Refund (W)</t>
  </si>
  <si>
    <t>No. 04-03</t>
  </si>
  <si>
    <t xml:space="preserve">Cash </t>
  </si>
  <si>
    <t>Principal</t>
  </si>
  <si>
    <t>Interest</t>
  </si>
  <si>
    <t>Payments</t>
  </si>
  <si>
    <t>5-year Total:</t>
  </si>
  <si>
    <t>Annual Average:</t>
  </si>
  <si>
    <t>Coverage:</t>
  </si>
  <si>
    <t>Division</t>
  </si>
  <si>
    <t>No.</t>
  </si>
  <si>
    <t>Allocation
To Water (%)
(District Method)</t>
  </si>
  <si>
    <t>Allocation
To Water (%)
PSC Method</t>
  </si>
  <si>
    <t>Status</t>
  </si>
  <si>
    <t>Employee</t>
  </si>
  <si>
    <t>Position</t>
  </si>
  <si>
    <t>Actual 2020 Wage/Salary</t>
  </si>
  <si>
    <t>Adjusted Wage/Salary</t>
  </si>
  <si>
    <t>Health Plan</t>
  </si>
  <si>
    <t>Health (Monthly)</t>
  </si>
  <si>
    <t>Dental</t>
  </si>
  <si>
    <t>Vision</t>
  </si>
  <si>
    <t>Life</t>
  </si>
  <si>
    <t>Total Insurance
Benefits
Adjusted Period</t>
  </si>
  <si>
    <t>Retirement Contribution</t>
  </si>
  <si>
    <t>FICA Adjusted</t>
  </si>
  <si>
    <t>Adjusted Wage/Salary
PSC Allocation Rules</t>
  </si>
  <si>
    <t>FICA
PSC Allocation Rules</t>
  </si>
  <si>
    <t>Adjusted</t>
  </si>
  <si>
    <t>W/S</t>
  </si>
  <si>
    <t>FT</t>
  </si>
  <si>
    <t>Superintendent</t>
  </si>
  <si>
    <t>FAM</t>
  </si>
  <si>
    <t>Office Assistant</t>
  </si>
  <si>
    <t>FAM-SP</t>
  </si>
  <si>
    <t>Distribution</t>
  </si>
  <si>
    <t>Office Manager</t>
  </si>
  <si>
    <t>SINGLE</t>
  </si>
  <si>
    <t>Customer Service</t>
  </si>
  <si>
    <t>NONE</t>
  </si>
  <si>
    <t>W</t>
  </si>
  <si>
    <t>WTP Operator/Supervisor</t>
  </si>
  <si>
    <t>S</t>
  </si>
  <si>
    <t>WWTP Operator/Collections</t>
  </si>
  <si>
    <t>WWTP Operator</t>
  </si>
  <si>
    <t>WTP Operator</t>
  </si>
  <si>
    <t>WITH CHILDREN</t>
  </si>
  <si>
    <t>Line Forman</t>
  </si>
  <si>
    <t>WWTP Collections</t>
  </si>
  <si>
    <t>Water Treatment Operator</t>
  </si>
  <si>
    <t>WWTP Supervisor</t>
  </si>
  <si>
    <t>PT</t>
  </si>
  <si>
    <t>Excluding GM:</t>
  </si>
  <si>
    <t>Water-To-Total</t>
  </si>
  <si>
    <t>Total Insurance
Allocated to Water
PSC Allocation Rules</t>
  </si>
  <si>
    <t>Actual Expense; Not  Adjusted for PSC Disallowance of Health and Dental Insurance</t>
  </si>
  <si>
    <t>Not considered for Debt Service Coverage Requirements</t>
  </si>
  <si>
    <t xml:space="preserve"> F21-025</t>
  </si>
  <si>
    <t>Total Annual Requirement</t>
  </si>
  <si>
    <t>Pro Forma
Current Rates</t>
  </si>
  <si>
    <t>Pro Forma
Proposed Rates</t>
  </si>
  <si>
    <t>Difference from Schedule of Adjusted Operations in Case No. 2021-00301</t>
  </si>
  <si>
    <t xml:space="preserve">All Commissioners Paid $6,000 </t>
  </si>
  <si>
    <t>Available after Debt Service Requirements</t>
  </si>
  <si>
    <t>Debt Service Requirement (Including Coverage)</t>
  </si>
  <si>
    <t>Adjusted Retirement Contribution Allocated to Water</t>
  </si>
  <si>
    <t>Adjusted Fringe Benefits Allocated to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</si>
</sst>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2" fontId="0" fillId="0" borderId="0" xfId="0" applyNumberFormat="1" applyAlignment="1">
      <alignment horizontal="right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4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vertical="center"/>
    </xf>
    <xf numFmtId="2" fontId="0" fillId="0" borderId="0" xfId="0" applyNumberFormat="1" applyAlignment="1"/>
    <xf numFmtId="2" fontId="0" fillId="0" borderId="0" xfId="2" applyNumberFormat="1" applyFont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" fontId="0" fillId="0" borderId="0" xfId="0" applyNumberFormat="1"/>
    <xf numFmtId="3" fontId="0" fillId="0" borderId="8" xfId="0" applyNumberFormat="1" applyBorder="1"/>
    <xf numFmtId="3" fontId="0" fillId="0" borderId="0" xfId="0" applyNumberFormat="1"/>
    <xf numFmtId="3" fontId="0" fillId="0" borderId="11" xfId="0" applyNumberFormat="1" applyBorder="1"/>
    <xf numFmtId="3" fontId="0" fillId="0" borderId="0" xfId="0" applyNumberFormat="1" applyBorder="1"/>
    <xf numFmtId="0" fontId="0" fillId="0" borderId="0" xfId="0" applyNumberFormat="1" applyBorder="1"/>
    <xf numFmtId="3" fontId="0" fillId="0" borderId="14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4" xfId="0" applyNumberFormat="1" applyBorder="1"/>
    <xf numFmtId="3" fontId="0" fillId="0" borderId="8" xfId="0" applyNumberFormat="1" applyFont="1" applyFill="1" applyBorder="1"/>
    <xf numFmtId="0" fontId="0" fillId="0" borderId="8" xfId="0" applyBorder="1"/>
    <xf numFmtId="14" fontId="0" fillId="0" borderId="0" xfId="0" applyNumberFormat="1" applyBorder="1"/>
    <xf numFmtId="0" fontId="2" fillId="0" borderId="14" xfId="0" applyFont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14" xfId="0" applyBorder="1"/>
    <xf numFmtId="0" fontId="0" fillId="0" borderId="0" xfId="0" applyBorder="1"/>
    <xf numFmtId="3" fontId="0" fillId="0" borderId="12" xfId="0" applyNumberForma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2" xfId="0" applyBorder="1"/>
    <xf numFmtId="3" fontId="0" fillId="0" borderId="4" xfId="0" applyNumberFormat="1" applyBorder="1"/>
    <xf numFmtId="0" fontId="0" fillId="0" borderId="0" xfId="0" applyAlignment="1">
      <alignment horizontal="right"/>
    </xf>
    <xf numFmtId="44" fontId="0" fillId="0" borderId="0" xfId="2" applyFont="1" applyAlignment="1">
      <alignment horizontal="right" vertical="center"/>
    </xf>
    <xf numFmtId="2" fontId="0" fillId="0" borderId="0" xfId="2" applyNumberFormat="1" applyFont="1" applyAlignment="1">
      <alignment horizontal="right" vertical="center"/>
    </xf>
    <xf numFmtId="44" fontId="2" fillId="0" borderId="0" xfId="2" applyFont="1" applyAlignment="1">
      <alignment horizontal="center" vertical="center"/>
    </xf>
    <xf numFmtId="2" fontId="0" fillId="0" borderId="0" xfId="2" applyNumberFormat="1" applyFont="1" applyAlignment="1">
      <alignment horizontal="center"/>
    </xf>
    <xf numFmtId="0" fontId="0" fillId="3" borderId="0" xfId="0" applyFill="1"/>
    <xf numFmtId="44" fontId="0" fillId="0" borderId="0" xfId="2" applyFont="1"/>
    <xf numFmtId="44" fontId="0" fillId="0" borderId="0" xfId="2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44" fontId="0" fillId="0" borderId="0" xfId="0" applyNumberFormat="1"/>
    <xf numFmtId="0" fontId="0" fillId="0" borderId="0" xfId="0" applyFill="1" applyAlignment="1">
      <alignment horizontal="center"/>
    </xf>
    <xf numFmtId="44" fontId="0" fillId="0" borderId="0" xfId="2" applyFont="1" applyFill="1"/>
    <xf numFmtId="8" fontId="0" fillId="0" borderId="0" xfId="2" applyNumberFormat="1" applyFont="1" applyAlignment="1">
      <alignment horizontal="right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4" fontId="0" fillId="4" borderId="0" xfId="2" applyFont="1" applyFill="1"/>
    <xf numFmtId="44" fontId="0" fillId="4" borderId="0" xfId="2" applyFont="1" applyFill="1" applyAlignment="1">
      <alignment horizontal="center" vertical="center"/>
    </xf>
    <xf numFmtId="44" fontId="0" fillId="4" borderId="0" xfId="2" applyFont="1" applyFill="1" applyAlignment="1">
      <alignment horizontal="right" vertical="center"/>
    </xf>
    <xf numFmtId="44" fontId="0" fillId="4" borderId="0" xfId="0" applyNumberFormat="1" applyFont="1" applyFill="1" applyAlignment="1">
      <alignment horizontal="center" vertical="center"/>
    </xf>
    <xf numFmtId="44" fontId="0" fillId="4" borderId="0" xfId="0" applyNumberFormat="1" applyFill="1"/>
    <xf numFmtId="0" fontId="0" fillId="0" borderId="0" xfId="0" applyFill="1"/>
    <xf numFmtId="0" fontId="0" fillId="0" borderId="0" xfId="0" applyAlignment="1">
      <alignment horizontal="left" vertical="center"/>
    </xf>
    <xf numFmtId="44" fontId="2" fillId="0" borderId="0" xfId="0" applyNumberFormat="1" applyFont="1" applyAlignment="1">
      <alignment horizontal="center" vertical="center"/>
    </xf>
    <xf numFmtId="44" fontId="0" fillId="0" borderId="0" xfId="2" applyFont="1" applyAlignment="1">
      <alignment horizontal="right"/>
    </xf>
    <xf numFmtId="16" fontId="0" fillId="0" borderId="0" xfId="0" applyNumberFormat="1" applyBorder="1"/>
    <xf numFmtId="3" fontId="0" fillId="0" borderId="1" xfId="0" applyNumberFormat="1" applyBorder="1"/>
    <xf numFmtId="4" fontId="0" fillId="0" borderId="8" xfId="0" applyNumberFormat="1" applyFill="1" applyBorder="1"/>
    <xf numFmtId="4" fontId="0" fillId="0" borderId="8" xfId="0" applyNumberFormat="1" applyBorder="1"/>
    <xf numFmtId="0" fontId="2" fillId="0" borderId="9" xfId="0" applyFont="1" applyBorder="1"/>
    <xf numFmtId="3" fontId="0" fillId="0" borderId="8" xfId="0" applyNumberFormat="1" applyFill="1" applyBorder="1"/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D9ED4-8896-4F88-891B-6C1BF0395A85}">
  <sheetPr>
    <pageSetUpPr fitToPage="1"/>
  </sheetPr>
  <dimension ref="A1:H49"/>
  <sheetViews>
    <sheetView topLeftCell="E3" zoomScale="80" zoomScaleNormal="80" workbookViewId="0">
      <selection activeCell="H39" sqref="H39"/>
    </sheetView>
  </sheetViews>
  <sheetFormatPr defaultRowHeight="15" x14ac:dyDescent="0.25"/>
  <cols>
    <col min="1" max="1" width="46.28515625" customWidth="1"/>
    <col min="2" max="2" width="15.42578125" style="9" hidden="1" customWidth="1"/>
    <col min="3" max="3" width="18.5703125" style="8" hidden="1" customWidth="1"/>
    <col min="4" max="4" width="0" style="2" hidden="1" customWidth="1"/>
    <col min="5" max="5" width="16.140625" style="9" customWidth="1"/>
    <col min="6" max="6" width="16.140625" style="7" customWidth="1"/>
    <col min="7" max="7" width="4.28515625" customWidth="1"/>
    <col min="8" max="8" width="82" style="76" customWidth="1"/>
  </cols>
  <sheetData>
    <row r="1" spans="1:8" ht="30" x14ac:dyDescent="0.25">
      <c r="B1" s="3" t="s">
        <v>0</v>
      </c>
      <c r="C1" s="4" t="s">
        <v>1</v>
      </c>
      <c r="D1" s="5" t="s">
        <v>2</v>
      </c>
      <c r="E1" s="85" t="s">
        <v>133</v>
      </c>
      <c r="F1" s="86" t="s">
        <v>134</v>
      </c>
      <c r="H1" s="5" t="s">
        <v>135</v>
      </c>
    </row>
    <row r="2" spans="1:8" x14ac:dyDescent="0.25">
      <c r="A2" s="6" t="s">
        <v>3</v>
      </c>
      <c r="B2" s="7"/>
    </row>
    <row r="3" spans="1:8" x14ac:dyDescent="0.25">
      <c r="A3" s="10" t="s">
        <v>4</v>
      </c>
      <c r="B3" s="7"/>
    </row>
    <row r="4" spans="1:8" x14ac:dyDescent="0.25">
      <c r="A4" s="11" t="s">
        <v>5</v>
      </c>
      <c r="B4" s="7"/>
      <c r="E4" s="9">
        <f>B4+C4</f>
        <v>0</v>
      </c>
      <c r="F4" s="56">
        <v>0</v>
      </c>
    </row>
    <row r="5" spans="1:8" x14ac:dyDescent="0.25">
      <c r="A5" s="11" t="s">
        <v>6</v>
      </c>
      <c r="B5" s="7">
        <v>3623288.31</v>
      </c>
      <c r="C5" s="9">
        <f>(4028282.04-3623288.31)-22116.41</f>
        <v>382877.32</v>
      </c>
      <c r="D5" s="2" t="s">
        <v>7</v>
      </c>
      <c r="E5" s="9">
        <f t="shared" ref="E5:E41" si="0">B5+C5</f>
        <v>4006165.63</v>
      </c>
      <c r="F5" s="56">
        <v>4093780.7613047501</v>
      </c>
    </row>
    <row r="6" spans="1:8" x14ac:dyDescent="0.25">
      <c r="A6" s="11" t="s">
        <v>8</v>
      </c>
      <c r="B6" s="7"/>
      <c r="E6" s="9">
        <f t="shared" si="0"/>
        <v>0</v>
      </c>
      <c r="F6" s="56">
        <v>0</v>
      </c>
    </row>
    <row r="7" spans="1:8" x14ac:dyDescent="0.25">
      <c r="A7" s="11" t="s">
        <v>9</v>
      </c>
      <c r="B7" s="7"/>
      <c r="E7" s="9">
        <f t="shared" si="0"/>
        <v>0</v>
      </c>
      <c r="F7" s="56">
        <v>0</v>
      </c>
    </row>
    <row r="8" spans="1:8" x14ac:dyDescent="0.25">
      <c r="A8" s="11" t="s">
        <v>10</v>
      </c>
      <c r="B8" s="7"/>
      <c r="E8" s="9">
        <f t="shared" si="0"/>
        <v>0</v>
      </c>
      <c r="F8" s="56">
        <v>0</v>
      </c>
    </row>
    <row r="9" spans="1:8" x14ac:dyDescent="0.25">
      <c r="A9" s="10" t="s">
        <v>11</v>
      </c>
      <c r="B9" s="7">
        <f>SUM(B4:B8)</f>
        <v>3623288.31</v>
      </c>
      <c r="C9" s="9">
        <f>SUM(C4:C8)</f>
        <v>382877.32</v>
      </c>
      <c r="E9" s="9">
        <f t="shared" si="0"/>
        <v>4006165.63</v>
      </c>
      <c r="F9" s="56">
        <f>SUM(F4:F8)</f>
        <v>4093780.7613047501</v>
      </c>
    </row>
    <row r="10" spans="1:8" x14ac:dyDescent="0.25">
      <c r="A10" s="10" t="s">
        <v>12</v>
      </c>
      <c r="B10" s="7"/>
      <c r="C10" s="9"/>
      <c r="F10" s="56"/>
    </row>
    <row r="11" spans="1:8" s="12" customFormat="1" x14ac:dyDescent="0.25">
      <c r="A11" s="12" t="s">
        <v>13</v>
      </c>
      <c r="B11" s="7"/>
      <c r="C11" s="13"/>
      <c r="D11" s="2"/>
      <c r="E11" s="9">
        <f t="shared" si="0"/>
        <v>0</v>
      </c>
      <c r="F11" s="56">
        <v>0</v>
      </c>
      <c r="H11" s="76"/>
    </row>
    <row r="12" spans="1:8" s="12" customFormat="1" x14ac:dyDescent="0.25">
      <c r="A12" s="12" t="s">
        <v>14</v>
      </c>
      <c r="B12" s="7">
        <v>105578.32</v>
      </c>
      <c r="C12" s="14">
        <f>(16700-34452.75)-(4257.43*0.1545)</f>
        <v>-18410.522935000001</v>
      </c>
      <c r="D12" s="2" t="s">
        <v>15</v>
      </c>
      <c r="E12" s="9">
        <f t="shared" si="0"/>
        <v>87167.797065000006</v>
      </c>
      <c r="F12" s="56">
        <v>87167.797065000006</v>
      </c>
      <c r="H12" s="76"/>
    </row>
    <row r="13" spans="1:8" s="12" customFormat="1" x14ac:dyDescent="0.25">
      <c r="A13" s="12" t="s">
        <v>16</v>
      </c>
      <c r="B13" s="7">
        <v>52543.6</v>
      </c>
      <c r="C13" s="15"/>
      <c r="D13" s="2"/>
      <c r="E13" s="9">
        <f t="shared" si="0"/>
        <v>52543.6</v>
      </c>
      <c r="F13" s="56">
        <v>52543.6</v>
      </c>
      <c r="H13" s="76"/>
    </row>
    <row r="14" spans="1:8" s="12" customFormat="1" x14ac:dyDescent="0.25">
      <c r="A14" s="12" t="s">
        <v>12</v>
      </c>
      <c r="B14" s="7"/>
      <c r="C14" s="15"/>
      <c r="D14" s="2"/>
      <c r="E14" s="9">
        <f t="shared" si="0"/>
        <v>0</v>
      </c>
      <c r="F14" s="56">
        <v>0</v>
      </c>
      <c r="H14" s="76"/>
    </row>
    <row r="15" spans="1:8" x14ac:dyDescent="0.25">
      <c r="A15" s="10" t="s">
        <v>17</v>
      </c>
      <c r="B15" s="7">
        <f>SUM(B11:B14)</f>
        <v>158121.92000000001</v>
      </c>
      <c r="C15" s="13">
        <f>SUM(C11:C14)</f>
        <v>-18410.522935000001</v>
      </c>
      <c r="E15" s="9">
        <f t="shared" si="0"/>
        <v>139711.39706500003</v>
      </c>
      <c r="F15" s="56">
        <f>SUM(F11:F14)</f>
        <v>139711.397065</v>
      </c>
    </row>
    <row r="16" spans="1:8" x14ac:dyDescent="0.25">
      <c r="A16" s="10"/>
      <c r="B16" s="7"/>
      <c r="C16" s="9"/>
      <c r="F16" s="56"/>
    </row>
    <row r="17" spans="1:8" x14ac:dyDescent="0.25">
      <c r="A17" s="6" t="s">
        <v>18</v>
      </c>
      <c r="B17" s="7">
        <f>B9+B15</f>
        <v>3781410.23</v>
      </c>
      <c r="C17" s="9">
        <f>C9+C15</f>
        <v>364466.79706499999</v>
      </c>
      <c r="E17" s="9">
        <f t="shared" si="0"/>
        <v>4145877.027065</v>
      </c>
      <c r="F17" s="56">
        <f>F9+F15</f>
        <v>4233492.1583697498</v>
      </c>
    </row>
    <row r="18" spans="1:8" x14ac:dyDescent="0.25">
      <c r="B18" s="7"/>
      <c r="C18" s="9"/>
      <c r="F18" s="56"/>
    </row>
    <row r="19" spans="1:8" x14ac:dyDescent="0.25">
      <c r="A19" s="6" t="s">
        <v>19</v>
      </c>
      <c r="B19" s="7"/>
      <c r="C19" s="9"/>
      <c r="F19" s="56"/>
    </row>
    <row r="20" spans="1:8" x14ac:dyDescent="0.25">
      <c r="A20" s="10" t="s">
        <v>20</v>
      </c>
      <c r="B20" s="7"/>
      <c r="C20" s="15"/>
      <c r="F20" s="56"/>
    </row>
    <row r="21" spans="1:8" s="12" customFormat="1" x14ac:dyDescent="0.25">
      <c r="A21" s="12" t="s">
        <v>21</v>
      </c>
      <c r="B21" s="7">
        <v>877486.24</v>
      </c>
      <c r="C21" s="15">
        <f>(919074.18-22433.57)-877486.24</f>
        <v>19154.370000000112</v>
      </c>
      <c r="D21" s="2" t="s">
        <v>22</v>
      </c>
      <c r="E21" s="9">
        <f t="shared" si="0"/>
        <v>896640.6100000001</v>
      </c>
      <c r="F21" s="56">
        <v>896640.6100000001</v>
      </c>
      <c r="H21" s="76"/>
    </row>
    <row r="22" spans="1:8" s="12" customFormat="1" x14ac:dyDescent="0.25">
      <c r="A22" s="12" t="s">
        <v>23</v>
      </c>
      <c r="B22" s="7">
        <v>30000</v>
      </c>
      <c r="C22" s="15">
        <v>-4635</v>
      </c>
      <c r="D22" s="2" t="s">
        <v>24</v>
      </c>
      <c r="E22" s="9">
        <f t="shared" si="0"/>
        <v>25365</v>
      </c>
      <c r="F22" s="56">
        <v>25365</v>
      </c>
      <c r="H22" s="76" t="s">
        <v>136</v>
      </c>
    </row>
    <row r="23" spans="1:8" s="12" customFormat="1" x14ac:dyDescent="0.25">
      <c r="A23" s="12" t="s">
        <v>25</v>
      </c>
      <c r="B23" s="7">
        <v>648235.84</v>
      </c>
      <c r="C23" s="15">
        <f>(B23-'Wage-Benefits'!X32)*-1</f>
        <v>-200249.39792320819</v>
      </c>
      <c r="D23" s="2" t="s">
        <v>26</v>
      </c>
      <c r="E23" s="9">
        <f t="shared" si="0"/>
        <v>447986.44207679178</v>
      </c>
      <c r="F23" s="56">
        <v>447986.44207679178</v>
      </c>
      <c r="H23" s="76" t="s">
        <v>129</v>
      </c>
    </row>
    <row r="24" spans="1:8" s="12" customFormat="1" x14ac:dyDescent="0.25">
      <c r="A24" s="12" t="s">
        <v>27</v>
      </c>
      <c r="B24" s="7"/>
      <c r="C24" s="15"/>
      <c r="D24" s="2"/>
      <c r="E24" s="9">
        <f t="shared" si="0"/>
        <v>0</v>
      </c>
      <c r="F24" s="56">
        <v>0</v>
      </c>
      <c r="H24" s="76"/>
    </row>
    <row r="25" spans="1:8" s="12" customFormat="1" x14ac:dyDescent="0.25">
      <c r="A25" s="12" t="s">
        <v>28</v>
      </c>
      <c r="B25" s="7">
        <v>302100.28999999998</v>
      </c>
      <c r="C25" s="15">
        <v>0</v>
      </c>
      <c r="D25" s="2" t="s">
        <v>29</v>
      </c>
      <c r="E25" s="9">
        <f t="shared" si="0"/>
        <v>302100.28999999998</v>
      </c>
      <c r="F25" s="56">
        <v>302100.28999999998</v>
      </c>
      <c r="H25" s="76"/>
    </row>
    <row r="26" spans="1:8" s="12" customFormat="1" x14ac:dyDescent="0.25">
      <c r="A26" s="12" t="s">
        <v>30</v>
      </c>
      <c r="B26" s="7"/>
      <c r="C26" s="15"/>
      <c r="D26" s="2"/>
      <c r="E26" s="9">
        <f t="shared" si="0"/>
        <v>0</v>
      </c>
      <c r="F26" s="56">
        <v>0</v>
      </c>
      <c r="H26" s="76"/>
    </row>
    <row r="27" spans="1:8" s="12" customFormat="1" x14ac:dyDescent="0.25">
      <c r="A27" s="12" t="s">
        <v>31</v>
      </c>
      <c r="B27" s="7">
        <v>132583.64000000001</v>
      </c>
      <c r="C27" s="15"/>
      <c r="D27" s="2"/>
      <c r="E27" s="9">
        <f t="shared" si="0"/>
        <v>132583.64000000001</v>
      </c>
      <c r="F27" s="56">
        <v>132583.64000000001</v>
      </c>
      <c r="H27" s="76"/>
    </row>
    <row r="28" spans="1:8" s="12" customFormat="1" x14ac:dyDescent="0.25">
      <c r="A28" s="12" t="s">
        <v>32</v>
      </c>
      <c r="B28" s="7">
        <v>251394.92</v>
      </c>
      <c r="C28" s="15"/>
      <c r="D28" s="2"/>
      <c r="E28" s="9">
        <f t="shared" si="0"/>
        <v>251394.92</v>
      </c>
      <c r="F28" s="56">
        <v>251394.92</v>
      </c>
      <c r="H28" s="76"/>
    </row>
    <row r="29" spans="1:8" s="12" customFormat="1" x14ac:dyDescent="0.25">
      <c r="A29" s="12" t="s">
        <v>33</v>
      </c>
      <c r="B29" s="7">
        <f>39011.12+15845.13+750+305443.45</f>
        <v>361049.7</v>
      </c>
      <c r="C29" s="15">
        <v>-49974.879999999997</v>
      </c>
      <c r="D29" s="2" t="s">
        <v>34</v>
      </c>
      <c r="E29" s="9">
        <f t="shared" si="0"/>
        <v>311074.82</v>
      </c>
      <c r="F29" s="56">
        <v>311074.82</v>
      </c>
      <c r="H29" s="76"/>
    </row>
    <row r="30" spans="1:8" s="12" customFormat="1" x14ac:dyDescent="0.25">
      <c r="A30" s="12" t="s">
        <v>35</v>
      </c>
      <c r="B30" s="7">
        <v>1731.52</v>
      </c>
      <c r="C30" s="15"/>
      <c r="D30" s="2"/>
      <c r="E30" s="9">
        <f t="shared" si="0"/>
        <v>1731.52</v>
      </c>
      <c r="F30" s="56">
        <v>1731.52</v>
      </c>
      <c r="H30" s="76"/>
    </row>
    <row r="31" spans="1:8" s="12" customFormat="1" x14ac:dyDescent="0.25">
      <c r="A31" s="12" t="s">
        <v>36</v>
      </c>
      <c r="B31" s="7"/>
      <c r="C31" s="15"/>
      <c r="D31" s="2"/>
      <c r="E31" s="9">
        <f t="shared" si="0"/>
        <v>0</v>
      </c>
      <c r="F31" s="56">
        <v>0</v>
      </c>
      <c r="H31" s="76"/>
    </row>
    <row r="32" spans="1:8" s="12" customFormat="1" x14ac:dyDescent="0.25">
      <c r="A32" s="12" t="s">
        <v>37</v>
      </c>
      <c r="B32" s="7">
        <v>86251.18</v>
      </c>
      <c r="C32" s="15"/>
      <c r="D32" s="2"/>
      <c r="E32" s="9">
        <f t="shared" si="0"/>
        <v>86251.18</v>
      </c>
      <c r="F32" s="56">
        <v>86251.18</v>
      </c>
      <c r="H32" s="76"/>
    </row>
    <row r="33" spans="1:8" s="12" customFormat="1" x14ac:dyDescent="0.25">
      <c r="A33" s="12" t="s">
        <v>38</v>
      </c>
      <c r="B33" s="7">
        <f>33975.66+26835.86+8326.36</f>
        <v>69137.88</v>
      </c>
      <c r="C33" s="15">
        <f>((12986.64*0.7697)+(0.7526*35943.58))-69137.22</f>
        <v>-32090.264884000004</v>
      </c>
      <c r="D33" s="2" t="s">
        <v>39</v>
      </c>
      <c r="E33" s="9">
        <f t="shared" si="0"/>
        <v>37047.615116000001</v>
      </c>
      <c r="F33" s="56">
        <v>37047.615116000001</v>
      </c>
      <c r="H33" s="76"/>
    </row>
    <row r="34" spans="1:8" s="12" customFormat="1" x14ac:dyDescent="0.25">
      <c r="A34" s="12" t="s">
        <v>40</v>
      </c>
      <c r="B34" s="7">
        <v>9475.7800000000007</v>
      </c>
      <c r="C34" s="15">
        <f>(E17*0.002)-9476</f>
        <v>-1184.2459458699996</v>
      </c>
      <c r="D34" s="2" t="s">
        <v>41</v>
      </c>
      <c r="E34" s="9">
        <f t="shared" si="0"/>
        <v>8291.5340541300011</v>
      </c>
      <c r="F34" s="56">
        <f>F17*0.002</f>
        <v>8466.9843167394993</v>
      </c>
      <c r="H34" s="76"/>
    </row>
    <row r="35" spans="1:8" s="12" customFormat="1" x14ac:dyDescent="0.25">
      <c r="A35" s="12" t="s">
        <v>42</v>
      </c>
      <c r="B35" s="7">
        <v>53440</v>
      </c>
      <c r="C35" s="15"/>
      <c r="D35" s="2"/>
      <c r="E35" s="9">
        <f t="shared" si="0"/>
        <v>53440</v>
      </c>
      <c r="F35" s="56">
        <v>53440</v>
      </c>
      <c r="H35" s="76"/>
    </row>
    <row r="36" spans="1:8" s="12" customFormat="1" x14ac:dyDescent="0.25">
      <c r="A36" s="12" t="s">
        <v>43</v>
      </c>
      <c r="B36" s="7">
        <f>110012.11+6096.66</f>
        <v>116108.77</v>
      </c>
      <c r="C36" s="15">
        <v>-2082.29</v>
      </c>
      <c r="D36" s="2" t="s">
        <v>44</v>
      </c>
      <c r="E36" s="9">
        <f t="shared" si="0"/>
        <v>114026.48000000001</v>
      </c>
      <c r="F36" s="56">
        <v>114026.48000000001</v>
      </c>
      <c r="H36" s="76"/>
    </row>
    <row r="37" spans="1:8" x14ac:dyDescent="0.25">
      <c r="A37" s="10" t="s">
        <v>45</v>
      </c>
      <c r="B37" s="7">
        <f>SUM(B21:B36)</f>
        <v>2938995.7600000002</v>
      </c>
      <c r="C37" s="7">
        <f>SUM(C21:C36)</f>
        <v>-271061.70875307807</v>
      </c>
      <c r="E37" s="9">
        <f>SUM(E21:E36)</f>
        <v>2667934.051246922</v>
      </c>
      <c r="F37" s="56">
        <f>SUM(F21:F36)</f>
        <v>2668109.5015095319</v>
      </c>
    </row>
    <row r="38" spans="1:8" x14ac:dyDescent="0.25">
      <c r="A38" s="10" t="s">
        <v>46</v>
      </c>
      <c r="B38" s="7">
        <v>1092601</v>
      </c>
      <c r="C38" s="16">
        <f>B38*-1</f>
        <v>-1092601</v>
      </c>
      <c r="D38" s="2" t="s">
        <v>47</v>
      </c>
      <c r="E38" s="9">
        <f t="shared" si="0"/>
        <v>0</v>
      </c>
      <c r="F38" s="56">
        <v>0</v>
      </c>
      <c r="H38" s="76" t="s">
        <v>130</v>
      </c>
    </row>
    <row r="39" spans="1:8" x14ac:dyDescent="0.25">
      <c r="A39" s="10" t="s">
        <v>48</v>
      </c>
      <c r="B39" s="7">
        <v>43068.84</v>
      </c>
      <c r="C39" s="16">
        <f>B39*-1</f>
        <v>-43068.84</v>
      </c>
      <c r="E39" s="9">
        <f t="shared" si="0"/>
        <v>0</v>
      </c>
      <c r="F39" s="56">
        <v>0</v>
      </c>
      <c r="H39" s="76" t="s">
        <v>130</v>
      </c>
    </row>
    <row r="40" spans="1:8" x14ac:dyDescent="0.25">
      <c r="A40" s="10" t="s">
        <v>49</v>
      </c>
      <c r="B40" s="7">
        <v>75522.64</v>
      </c>
      <c r="C40" s="9">
        <f>(B40-'Wage-Benefits'!U32)*-1</f>
        <v>-5213.4648586810799</v>
      </c>
      <c r="D40" s="2" t="s">
        <v>50</v>
      </c>
      <c r="E40" s="9">
        <f t="shared" si="0"/>
        <v>70309.175141318919</v>
      </c>
      <c r="F40" s="56">
        <v>70309.175141318919</v>
      </c>
    </row>
    <row r="41" spans="1:8" x14ac:dyDescent="0.25">
      <c r="A41" s="10" t="s">
        <v>51</v>
      </c>
      <c r="B41" s="7"/>
      <c r="C41" s="9"/>
      <c r="E41" s="9">
        <f t="shared" si="0"/>
        <v>0</v>
      </c>
      <c r="F41" s="56">
        <v>0</v>
      </c>
    </row>
    <row r="42" spans="1:8" x14ac:dyDescent="0.25">
      <c r="B42" s="7"/>
      <c r="C42" s="9"/>
      <c r="F42" s="56"/>
    </row>
    <row r="43" spans="1:8" x14ac:dyDescent="0.25">
      <c r="A43" s="6" t="s">
        <v>52</v>
      </c>
      <c r="B43" s="7">
        <f>SUM(B37:B41)</f>
        <v>4150188.24</v>
      </c>
      <c r="C43" s="7">
        <f>SUM(C37:C41)</f>
        <v>-1411945.0136117591</v>
      </c>
      <c r="E43" s="9">
        <f>SUM(E37:E41)</f>
        <v>2738243.2263882407</v>
      </c>
      <c r="F43" s="56">
        <f>SUM(F37:F41)</f>
        <v>2738418.6766508506</v>
      </c>
    </row>
    <row r="44" spans="1:8" x14ac:dyDescent="0.25">
      <c r="B44" s="7"/>
      <c r="C44" s="9"/>
      <c r="F44" s="56"/>
    </row>
    <row r="45" spans="1:8" x14ac:dyDescent="0.25">
      <c r="A45" s="6" t="s">
        <v>53</v>
      </c>
      <c r="B45" s="7">
        <f>B17-B43</f>
        <v>-368778.01000000024</v>
      </c>
      <c r="C45" s="7">
        <f>C17-C43</f>
        <v>1776411.8106767591</v>
      </c>
      <c r="E45" s="9">
        <f>E17-E43</f>
        <v>1407633.8006767593</v>
      </c>
      <c r="F45" s="56">
        <f>F17-F43</f>
        <v>1495073.4817188992</v>
      </c>
    </row>
    <row r="46" spans="1:8" x14ac:dyDescent="0.25">
      <c r="F46" s="56"/>
    </row>
    <row r="47" spans="1:8" x14ac:dyDescent="0.25">
      <c r="A47" s="6" t="s">
        <v>138</v>
      </c>
      <c r="E47" s="9">
        <f>DebtServiceRequirements!BW19</f>
        <v>860617.38537600008</v>
      </c>
      <c r="F47" s="56">
        <f>DebtServiceRequirements!BW19</f>
        <v>860617.38537600008</v>
      </c>
    </row>
    <row r="49" spans="1:6" x14ac:dyDescent="0.25">
      <c r="A49" s="6" t="s">
        <v>137</v>
      </c>
      <c r="E49" s="9">
        <f>E45-E47</f>
        <v>547016.41530075925</v>
      </c>
      <c r="F49" s="9">
        <f>F45-F47</f>
        <v>634456.09634289914</v>
      </c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52AE-2767-4917-875A-94780D131EE9}">
  <dimension ref="A2:BZ85"/>
  <sheetViews>
    <sheetView zoomScale="75" zoomScaleNormal="75" workbookViewId="0">
      <selection activeCell="A19" sqref="A19"/>
    </sheetView>
  </sheetViews>
  <sheetFormatPr defaultRowHeight="15" x14ac:dyDescent="0.25"/>
  <cols>
    <col min="1" max="1" width="6.42578125" bestFit="1" customWidth="1"/>
    <col min="2" max="2" width="6" bestFit="1" customWidth="1"/>
    <col min="3" max="3" width="2.7109375" customWidth="1"/>
    <col min="4" max="5" width="10.42578125" customWidth="1"/>
    <col min="6" max="6" width="2.5703125" customWidth="1"/>
    <col min="7" max="8" width="10.5703125" customWidth="1"/>
    <col min="9" max="9" width="2.5703125" customWidth="1"/>
    <col min="10" max="11" width="10.5703125" customWidth="1"/>
    <col min="12" max="12" width="2.5703125" customWidth="1"/>
    <col min="13" max="13" width="12.140625" bestFit="1" customWidth="1"/>
    <col min="14" max="14" width="10.5703125" customWidth="1"/>
    <col min="15" max="15" width="2.5703125" customWidth="1"/>
    <col min="16" max="17" width="10.5703125" customWidth="1"/>
    <col min="18" max="18" width="3.28515625" customWidth="1"/>
    <col min="19" max="20" width="10.5703125" customWidth="1"/>
    <col min="21" max="21" width="4.28515625" customWidth="1"/>
    <col min="22" max="22" width="7" customWidth="1"/>
    <col min="23" max="24" width="10.5703125" customWidth="1"/>
    <col min="25" max="25" width="4.140625" customWidth="1"/>
    <col min="26" max="26" width="7" customWidth="1"/>
    <col min="27" max="27" width="6.42578125" customWidth="1"/>
    <col min="28" max="28" width="2.7109375" customWidth="1"/>
    <col min="29" max="30" width="9.28515625" bestFit="1" customWidth="1"/>
    <col min="31" max="31" width="2.7109375" customWidth="1"/>
    <col min="32" max="33" width="10.42578125" bestFit="1" customWidth="1"/>
    <col min="34" max="34" width="2.5703125" customWidth="1"/>
    <col min="35" max="36" width="10.42578125" customWidth="1"/>
    <col min="37" max="37" width="4.140625" customWidth="1"/>
    <col min="38" max="39" width="10.42578125" customWidth="1"/>
    <col min="40" max="40" width="2.5703125" customWidth="1"/>
    <col min="41" max="42" width="10.42578125" customWidth="1"/>
    <col min="43" max="43" width="3.7109375" customWidth="1"/>
    <col min="44" max="44" width="10.42578125" customWidth="1"/>
    <col min="45" max="45" width="11.42578125" customWidth="1"/>
    <col min="46" max="46" width="4.5703125" customWidth="1"/>
    <col min="47" max="48" width="10.42578125" customWidth="1"/>
    <col min="49" max="49" width="3.5703125" customWidth="1"/>
    <col min="50" max="50" width="12.85546875" customWidth="1"/>
    <col min="51" max="51" width="13.28515625" customWidth="1"/>
    <col min="52" max="52" width="4.85546875" customWidth="1"/>
    <col min="53" max="53" width="11.5703125" bestFit="1" customWidth="1"/>
    <col min="54" max="54" width="10.42578125" bestFit="1" customWidth="1"/>
    <col min="55" max="55" width="2.7109375" customWidth="1"/>
    <col min="56" max="56" width="11.5703125" bestFit="1" customWidth="1"/>
    <col min="57" max="57" width="10.42578125" bestFit="1" customWidth="1"/>
    <col min="58" max="58" width="6.42578125" bestFit="1" customWidth="1"/>
    <col min="59" max="59" width="5.85546875" bestFit="1" customWidth="1"/>
    <col min="60" max="60" width="10.42578125" bestFit="1" customWidth="1"/>
    <col min="61" max="61" width="8.7109375" bestFit="1" customWidth="1"/>
    <col min="62" max="62" width="4" customWidth="1"/>
    <col min="63" max="63" width="8.42578125" customWidth="1"/>
    <col min="64" max="64" width="5.85546875" bestFit="1" customWidth="1"/>
    <col min="65" max="65" width="9.5703125" customWidth="1"/>
    <col min="66" max="66" width="8.85546875" customWidth="1"/>
    <col min="67" max="68" width="2.7109375" customWidth="1"/>
    <col min="69" max="69" width="5.85546875" bestFit="1" customWidth="1"/>
    <col min="70" max="70" width="12.7109375" bestFit="1" customWidth="1"/>
    <col min="71" max="71" width="11.5703125" bestFit="1" customWidth="1"/>
    <col min="72" max="72" width="2.7109375" customWidth="1"/>
    <col min="73" max="73" width="12.7109375" bestFit="1" customWidth="1"/>
    <col min="74" max="74" width="25.5703125" customWidth="1"/>
    <col min="75" max="75" width="21.7109375" bestFit="1" customWidth="1"/>
    <col min="77" max="77" width="10.7109375" customWidth="1"/>
    <col min="78" max="78" width="10" bestFit="1" customWidth="1"/>
    <col min="288" max="288" width="6.42578125" bestFit="1" customWidth="1"/>
    <col min="289" max="289" width="6" bestFit="1" customWidth="1"/>
    <col min="290" max="290" width="2.7109375" customWidth="1"/>
    <col min="291" max="292" width="10.42578125" customWidth="1"/>
    <col min="293" max="293" width="2.5703125" customWidth="1"/>
    <col min="294" max="295" width="10.5703125" customWidth="1"/>
    <col min="296" max="296" width="2.5703125" customWidth="1"/>
    <col min="297" max="298" width="10.5703125" customWidth="1"/>
    <col min="299" max="299" width="2.5703125" customWidth="1"/>
    <col min="300" max="300" width="12.140625" bestFit="1" customWidth="1"/>
    <col min="301" max="301" width="10.5703125" customWidth="1"/>
    <col min="302" max="302" width="2.5703125" customWidth="1"/>
    <col min="303" max="304" width="10.5703125" customWidth="1"/>
    <col min="305" max="305" width="2.7109375" customWidth="1"/>
    <col min="306" max="307" width="9.28515625" bestFit="1" customWidth="1"/>
    <col min="308" max="308" width="2.7109375" customWidth="1"/>
    <col min="309" max="310" width="10.42578125" bestFit="1" customWidth="1"/>
    <col min="311" max="311" width="2.5703125" customWidth="1"/>
    <col min="312" max="313" width="10.42578125" customWidth="1"/>
    <col min="314" max="314" width="2.5703125" customWidth="1"/>
    <col min="315" max="316" width="10.42578125" customWidth="1"/>
    <col min="317" max="317" width="2.7109375" customWidth="1"/>
    <col min="318" max="318" width="11.5703125" bestFit="1" customWidth="1"/>
    <col min="319" max="319" width="10.42578125" bestFit="1" customWidth="1"/>
    <col min="320" max="320" width="6.42578125" bestFit="1" customWidth="1"/>
    <col min="321" max="321" width="5.85546875" bestFit="1" customWidth="1"/>
    <col min="322" max="322" width="10.42578125" bestFit="1" customWidth="1"/>
    <col min="323" max="323" width="8.7109375" bestFit="1" customWidth="1"/>
    <col min="324" max="324" width="2.7109375" customWidth="1"/>
    <col min="325" max="325" width="5.85546875" bestFit="1" customWidth="1"/>
    <col min="326" max="326" width="12.7109375" bestFit="1" customWidth="1"/>
    <col min="327" max="327" width="11.5703125" bestFit="1" customWidth="1"/>
    <col min="328" max="328" width="2.7109375" customWidth="1"/>
    <col min="329" max="329" width="12.7109375" bestFit="1" customWidth="1"/>
    <col min="331" max="331" width="21.7109375" bestFit="1" customWidth="1"/>
    <col min="333" max="333" width="10.7109375" customWidth="1"/>
    <col min="334" max="334" width="10" bestFit="1" customWidth="1"/>
    <col min="544" max="544" width="6.42578125" bestFit="1" customWidth="1"/>
    <col min="545" max="545" width="6" bestFit="1" customWidth="1"/>
    <col min="546" max="546" width="2.7109375" customWidth="1"/>
    <col min="547" max="548" width="10.42578125" customWidth="1"/>
    <col min="549" max="549" width="2.5703125" customWidth="1"/>
    <col min="550" max="551" width="10.5703125" customWidth="1"/>
    <col min="552" max="552" width="2.5703125" customWidth="1"/>
    <col min="553" max="554" width="10.5703125" customWidth="1"/>
    <col min="555" max="555" width="2.5703125" customWidth="1"/>
    <col min="556" max="556" width="12.140625" bestFit="1" customWidth="1"/>
    <col min="557" max="557" width="10.5703125" customWidth="1"/>
    <col min="558" max="558" width="2.5703125" customWidth="1"/>
    <col min="559" max="560" width="10.5703125" customWidth="1"/>
    <col min="561" max="561" width="2.7109375" customWidth="1"/>
    <col min="562" max="563" width="9.28515625" bestFit="1" customWidth="1"/>
    <col min="564" max="564" width="2.7109375" customWidth="1"/>
    <col min="565" max="566" width="10.42578125" bestFit="1" customWidth="1"/>
    <col min="567" max="567" width="2.5703125" customWidth="1"/>
    <col min="568" max="569" width="10.42578125" customWidth="1"/>
    <col min="570" max="570" width="2.5703125" customWidth="1"/>
    <col min="571" max="572" width="10.42578125" customWidth="1"/>
    <col min="573" max="573" width="2.7109375" customWidth="1"/>
    <col min="574" max="574" width="11.5703125" bestFit="1" customWidth="1"/>
    <col min="575" max="575" width="10.42578125" bestFit="1" customWidth="1"/>
    <col min="576" max="576" width="6.42578125" bestFit="1" customWidth="1"/>
    <col min="577" max="577" width="5.85546875" bestFit="1" customWidth="1"/>
    <col min="578" max="578" width="10.42578125" bestFit="1" customWidth="1"/>
    <col min="579" max="579" width="8.7109375" bestFit="1" customWidth="1"/>
    <col min="580" max="580" width="2.7109375" customWidth="1"/>
    <col min="581" max="581" width="5.85546875" bestFit="1" customWidth="1"/>
    <col min="582" max="582" width="12.7109375" bestFit="1" customWidth="1"/>
    <col min="583" max="583" width="11.5703125" bestFit="1" customWidth="1"/>
    <col min="584" max="584" width="2.7109375" customWidth="1"/>
    <col min="585" max="585" width="12.7109375" bestFit="1" customWidth="1"/>
    <col min="587" max="587" width="21.7109375" bestFit="1" customWidth="1"/>
    <col min="589" max="589" width="10.7109375" customWidth="1"/>
    <col min="590" max="590" width="10" bestFit="1" customWidth="1"/>
    <col min="800" max="800" width="6.42578125" bestFit="1" customWidth="1"/>
    <col min="801" max="801" width="6" bestFit="1" customWidth="1"/>
    <col min="802" max="802" width="2.7109375" customWidth="1"/>
    <col min="803" max="804" width="10.42578125" customWidth="1"/>
    <col min="805" max="805" width="2.5703125" customWidth="1"/>
    <col min="806" max="807" width="10.5703125" customWidth="1"/>
    <col min="808" max="808" width="2.5703125" customWidth="1"/>
    <col min="809" max="810" width="10.5703125" customWidth="1"/>
    <col min="811" max="811" width="2.5703125" customWidth="1"/>
    <col min="812" max="812" width="12.140625" bestFit="1" customWidth="1"/>
    <col min="813" max="813" width="10.5703125" customWidth="1"/>
    <col min="814" max="814" width="2.5703125" customWidth="1"/>
    <col min="815" max="816" width="10.5703125" customWidth="1"/>
    <col min="817" max="817" width="2.7109375" customWidth="1"/>
    <col min="818" max="819" width="9.28515625" bestFit="1" customWidth="1"/>
    <col min="820" max="820" width="2.7109375" customWidth="1"/>
    <col min="821" max="822" width="10.42578125" bestFit="1" customWidth="1"/>
    <col min="823" max="823" width="2.5703125" customWidth="1"/>
    <col min="824" max="825" width="10.42578125" customWidth="1"/>
    <col min="826" max="826" width="2.5703125" customWidth="1"/>
    <col min="827" max="828" width="10.42578125" customWidth="1"/>
    <col min="829" max="829" width="2.7109375" customWidth="1"/>
    <col min="830" max="830" width="11.5703125" bestFit="1" customWidth="1"/>
    <col min="831" max="831" width="10.42578125" bestFit="1" customWidth="1"/>
    <col min="832" max="832" width="6.42578125" bestFit="1" customWidth="1"/>
    <col min="833" max="833" width="5.85546875" bestFit="1" customWidth="1"/>
    <col min="834" max="834" width="10.42578125" bestFit="1" customWidth="1"/>
    <col min="835" max="835" width="8.7109375" bestFit="1" customWidth="1"/>
    <col min="836" max="836" width="2.7109375" customWidth="1"/>
    <col min="837" max="837" width="5.85546875" bestFit="1" customWidth="1"/>
    <col min="838" max="838" width="12.7109375" bestFit="1" customWidth="1"/>
    <col min="839" max="839" width="11.5703125" bestFit="1" customWidth="1"/>
    <col min="840" max="840" width="2.7109375" customWidth="1"/>
    <col min="841" max="841" width="12.7109375" bestFit="1" customWidth="1"/>
    <col min="843" max="843" width="21.7109375" bestFit="1" customWidth="1"/>
    <col min="845" max="845" width="10.7109375" customWidth="1"/>
    <col min="846" max="846" width="10" bestFit="1" customWidth="1"/>
    <col min="1056" max="1056" width="6.42578125" bestFit="1" customWidth="1"/>
    <col min="1057" max="1057" width="6" bestFit="1" customWidth="1"/>
    <col min="1058" max="1058" width="2.7109375" customWidth="1"/>
    <col min="1059" max="1060" width="10.42578125" customWidth="1"/>
    <col min="1061" max="1061" width="2.5703125" customWidth="1"/>
    <col min="1062" max="1063" width="10.5703125" customWidth="1"/>
    <col min="1064" max="1064" width="2.5703125" customWidth="1"/>
    <col min="1065" max="1066" width="10.5703125" customWidth="1"/>
    <col min="1067" max="1067" width="2.5703125" customWidth="1"/>
    <col min="1068" max="1068" width="12.140625" bestFit="1" customWidth="1"/>
    <col min="1069" max="1069" width="10.5703125" customWidth="1"/>
    <col min="1070" max="1070" width="2.5703125" customWidth="1"/>
    <col min="1071" max="1072" width="10.5703125" customWidth="1"/>
    <col min="1073" max="1073" width="2.7109375" customWidth="1"/>
    <col min="1074" max="1075" width="9.28515625" bestFit="1" customWidth="1"/>
    <col min="1076" max="1076" width="2.7109375" customWidth="1"/>
    <col min="1077" max="1078" width="10.42578125" bestFit="1" customWidth="1"/>
    <col min="1079" max="1079" width="2.5703125" customWidth="1"/>
    <col min="1080" max="1081" width="10.42578125" customWidth="1"/>
    <col min="1082" max="1082" width="2.5703125" customWidth="1"/>
    <col min="1083" max="1084" width="10.42578125" customWidth="1"/>
    <col min="1085" max="1085" width="2.7109375" customWidth="1"/>
    <col min="1086" max="1086" width="11.5703125" bestFit="1" customWidth="1"/>
    <col min="1087" max="1087" width="10.42578125" bestFit="1" customWidth="1"/>
    <col min="1088" max="1088" width="6.42578125" bestFit="1" customWidth="1"/>
    <col min="1089" max="1089" width="5.85546875" bestFit="1" customWidth="1"/>
    <col min="1090" max="1090" width="10.42578125" bestFit="1" customWidth="1"/>
    <col min="1091" max="1091" width="8.7109375" bestFit="1" customWidth="1"/>
    <col min="1092" max="1092" width="2.7109375" customWidth="1"/>
    <col min="1093" max="1093" width="5.85546875" bestFit="1" customWidth="1"/>
    <col min="1094" max="1094" width="12.7109375" bestFit="1" customWidth="1"/>
    <col min="1095" max="1095" width="11.5703125" bestFit="1" customWidth="1"/>
    <col min="1096" max="1096" width="2.7109375" customWidth="1"/>
    <col min="1097" max="1097" width="12.7109375" bestFit="1" customWidth="1"/>
    <col min="1099" max="1099" width="21.7109375" bestFit="1" customWidth="1"/>
    <col min="1101" max="1101" width="10.7109375" customWidth="1"/>
    <col min="1102" max="1102" width="10" bestFit="1" customWidth="1"/>
    <col min="1312" max="1312" width="6.42578125" bestFit="1" customWidth="1"/>
    <col min="1313" max="1313" width="6" bestFit="1" customWidth="1"/>
    <col min="1314" max="1314" width="2.7109375" customWidth="1"/>
    <col min="1315" max="1316" width="10.42578125" customWidth="1"/>
    <col min="1317" max="1317" width="2.5703125" customWidth="1"/>
    <col min="1318" max="1319" width="10.5703125" customWidth="1"/>
    <col min="1320" max="1320" width="2.5703125" customWidth="1"/>
    <col min="1321" max="1322" width="10.5703125" customWidth="1"/>
    <col min="1323" max="1323" width="2.5703125" customWidth="1"/>
    <col min="1324" max="1324" width="12.140625" bestFit="1" customWidth="1"/>
    <col min="1325" max="1325" width="10.5703125" customWidth="1"/>
    <col min="1326" max="1326" width="2.5703125" customWidth="1"/>
    <col min="1327" max="1328" width="10.5703125" customWidth="1"/>
    <col min="1329" max="1329" width="2.7109375" customWidth="1"/>
    <col min="1330" max="1331" width="9.28515625" bestFit="1" customWidth="1"/>
    <col min="1332" max="1332" width="2.7109375" customWidth="1"/>
    <col min="1333" max="1334" width="10.42578125" bestFit="1" customWidth="1"/>
    <col min="1335" max="1335" width="2.5703125" customWidth="1"/>
    <col min="1336" max="1337" width="10.42578125" customWidth="1"/>
    <col min="1338" max="1338" width="2.5703125" customWidth="1"/>
    <col min="1339" max="1340" width="10.42578125" customWidth="1"/>
    <col min="1341" max="1341" width="2.7109375" customWidth="1"/>
    <col min="1342" max="1342" width="11.5703125" bestFit="1" customWidth="1"/>
    <col min="1343" max="1343" width="10.42578125" bestFit="1" customWidth="1"/>
    <col min="1344" max="1344" width="6.42578125" bestFit="1" customWidth="1"/>
    <col min="1345" max="1345" width="5.85546875" bestFit="1" customWidth="1"/>
    <col min="1346" max="1346" width="10.42578125" bestFit="1" customWidth="1"/>
    <col min="1347" max="1347" width="8.7109375" bestFit="1" customWidth="1"/>
    <col min="1348" max="1348" width="2.7109375" customWidth="1"/>
    <col min="1349" max="1349" width="5.85546875" bestFit="1" customWidth="1"/>
    <col min="1350" max="1350" width="12.7109375" bestFit="1" customWidth="1"/>
    <col min="1351" max="1351" width="11.5703125" bestFit="1" customWidth="1"/>
    <col min="1352" max="1352" width="2.7109375" customWidth="1"/>
    <col min="1353" max="1353" width="12.7109375" bestFit="1" customWidth="1"/>
    <col min="1355" max="1355" width="21.7109375" bestFit="1" customWidth="1"/>
    <col min="1357" max="1357" width="10.7109375" customWidth="1"/>
    <col min="1358" max="1358" width="10" bestFit="1" customWidth="1"/>
    <col min="1568" max="1568" width="6.42578125" bestFit="1" customWidth="1"/>
    <col min="1569" max="1569" width="6" bestFit="1" customWidth="1"/>
    <col min="1570" max="1570" width="2.7109375" customWidth="1"/>
    <col min="1571" max="1572" width="10.42578125" customWidth="1"/>
    <col min="1573" max="1573" width="2.5703125" customWidth="1"/>
    <col min="1574" max="1575" width="10.5703125" customWidth="1"/>
    <col min="1576" max="1576" width="2.5703125" customWidth="1"/>
    <col min="1577" max="1578" width="10.5703125" customWidth="1"/>
    <col min="1579" max="1579" width="2.5703125" customWidth="1"/>
    <col min="1580" max="1580" width="12.140625" bestFit="1" customWidth="1"/>
    <col min="1581" max="1581" width="10.5703125" customWidth="1"/>
    <col min="1582" max="1582" width="2.5703125" customWidth="1"/>
    <col min="1583" max="1584" width="10.5703125" customWidth="1"/>
    <col min="1585" max="1585" width="2.7109375" customWidth="1"/>
    <col min="1586" max="1587" width="9.28515625" bestFit="1" customWidth="1"/>
    <col min="1588" max="1588" width="2.7109375" customWidth="1"/>
    <col min="1589" max="1590" width="10.42578125" bestFit="1" customWidth="1"/>
    <col min="1591" max="1591" width="2.5703125" customWidth="1"/>
    <col min="1592" max="1593" width="10.42578125" customWidth="1"/>
    <col min="1594" max="1594" width="2.5703125" customWidth="1"/>
    <col min="1595" max="1596" width="10.42578125" customWidth="1"/>
    <col min="1597" max="1597" width="2.7109375" customWidth="1"/>
    <col min="1598" max="1598" width="11.5703125" bestFit="1" customWidth="1"/>
    <col min="1599" max="1599" width="10.42578125" bestFit="1" customWidth="1"/>
    <col min="1600" max="1600" width="6.42578125" bestFit="1" customWidth="1"/>
    <col min="1601" max="1601" width="5.85546875" bestFit="1" customWidth="1"/>
    <col min="1602" max="1602" width="10.42578125" bestFit="1" customWidth="1"/>
    <col min="1603" max="1603" width="8.7109375" bestFit="1" customWidth="1"/>
    <col min="1604" max="1604" width="2.7109375" customWidth="1"/>
    <col min="1605" max="1605" width="5.85546875" bestFit="1" customWidth="1"/>
    <col min="1606" max="1606" width="12.7109375" bestFit="1" customWidth="1"/>
    <col min="1607" max="1607" width="11.5703125" bestFit="1" customWidth="1"/>
    <col min="1608" max="1608" width="2.7109375" customWidth="1"/>
    <col min="1609" max="1609" width="12.7109375" bestFit="1" customWidth="1"/>
    <col min="1611" max="1611" width="21.7109375" bestFit="1" customWidth="1"/>
    <col min="1613" max="1613" width="10.7109375" customWidth="1"/>
    <col min="1614" max="1614" width="10" bestFit="1" customWidth="1"/>
    <col min="1824" max="1824" width="6.42578125" bestFit="1" customWidth="1"/>
    <col min="1825" max="1825" width="6" bestFit="1" customWidth="1"/>
    <col min="1826" max="1826" width="2.7109375" customWidth="1"/>
    <col min="1827" max="1828" width="10.42578125" customWidth="1"/>
    <col min="1829" max="1829" width="2.5703125" customWidth="1"/>
    <col min="1830" max="1831" width="10.5703125" customWidth="1"/>
    <col min="1832" max="1832" width="2.5703125" customWidth="1"/>
    <col min="1833" max="1834" width="10.5703125" customWidth="1"/>
    <col min="1835" max="1835" width="2.5703125" customWidth="1"/>
    <col min="1836" max="1836" width="12.140625" bestFit="1" customWidth="1"/>
    <col min="1837" max="1837" width="10.5703125" customWidth="1"/>
    <col min="1838" max="1838" width="2.5703125" customWidth="1"/>
    <col min="1839" max="1840" width="10.5703125" customWidth="1"/>
    <col min="1841" max="1841" width="2.7109375" customWidth="1"/>
    <col min="1842" max="1843" width="9.28515625" bestFit="1" customWidth="1"/>
    <col min="1844" max="1844" width="2.7109375" customWidth="1"/>
    <col min="1845" max="1846" width="10.42578125" bestFit="1" customWidth="1"/>
    <col min="1847" max="1847" width="2.5703125" customWidth="1"/>
    <col min="1848" max="1849" width="10.42578125" customWidth="1"/>
    <col min="1850" max="1850" width="2.5703125" customWidth="1"/>
    <col min="1851" max="1852" width="10.42578125" customWidth="1"/>
    <col min="1853" max="1853" width="2.7109375" customWidth="1"/>
    <col min="1854" max="1854" width="11.5703125" bestFit="1" customWidth="1"/>
    <col min="1855" max="1855" width="10.42578125" bestFit="1" customWidth="1"/>
    <col min="1856" max="1856" width="6.42578125" bestFit="1" customWidth="1"/>
    <col min="1857" max="1857" width="5.85546875" bestFit="1" customWidth="1"/>
    <col min="1858" max="1858" width="10.42578125" bestFit="1" customWidth="1"/>
    <col min="1859" max="1859" width="8.7109375" bestFit="1" customWidth="1"/>
    <col min="1860" max="1860" width="2.7109375" customWidth="1"/>
    <col min="1861" max="1861" width="5.85546875" bestFit="1" customWidth="1"/>
    <col min="1862" max="1862" width="12.7109375" bestFit="1" customWidth="1"/>
    <col min="1863" max="1863" width="11.5703125" bestFit="1" customWidth="1"/>
    <col min="1864" max="1864" width="2.7109375" customWidth="1"/>
    <col min="1865" max="1865" width="12.7109375" bestFit="1" customWidth="1"/>
    <col min="1867" max="1867" width="21.7109375" bestFit="1" customWidth="1"/>
    <col min="1869" max="1869" width="10.7109375" customWidth="1"/>
    <col min="1870" max="1870" width="10" bestFit="1" customWidth="1"/>
    <col min="2080" max="2080" width="6.42578125" bestFit="1" customWidth="1"/>
    <col min="2081" max="2081" width="6" bestFit="1" customWidth="1"/>
    <col min="2082" max="2082" width="2.7109375" customWidth="1"/>
    <col min="2083" max="2084" width="10.42578125" customWidth="1"/>
    <col min="2085" max="2085" width="2.5703125" customWidth="1"/>
    <col min="2086" max="2087" width="10.5703125" customWidth="1"/>
    <col min="2088" max="2088" width="2.5703125" customWidth="1"/>
    <col min="2089" max="2090" width="10.5703125" customWidth="1"/>
    <col min="2091" max="2091" width="2.5703125" customWidth="1"/>
    <col min="2092" max="2092" width="12.140625" bestFit="1" customWidth="1"/>
    <col min="2093" max="2093" width="10.5703125" customWidth="1"/>
    <col min="2094" max="2094" width="2.5703125" customWidth="1"/>
    <col min="2095" max="2096" width="10.5703125" customWidth="1"/>
    <col min="2097" max="2097" width="2.7109375" customWidth="1"/>
    <col min="2098" max="2099" width="9.28515625" bestFit="1" customWidth="1"/>
    <col min="2100" max="2100" width="2.7109375" customWidth="1"/>
    <col min="2101" max="2102" width="10.42578125" bestFit="1" customWidth="1"/>
    <col min="2103" max="2103" width="2.5703125" customWidth="1"/>
    <col min="2104" max="2105" width="10.42578125" customWidth="1"/>
    <col min="2106" max="2106" width="2.5703125" customWidth="1"/>
    <col min="2107" max="2108" width="10.42578125" customWidth="1"/>
    <col min="2109" max="2109" width="2.7109375" customWidth="1"/>
    <col min="2110" max="2110" width="11.5703125" bestFit="1" customWidth="1"/>
    <col min="2111" max="2111" width="10.42578125" bestFit="1" customWidth="1"/>
    <col min="2112" max="2112" width="6.42578125" bestFit="1" customWidth="1"/>
    <col min="2113" max="2113" width="5.85546875" bestFit="1" customWidth="1"/>
    <col min="2114" max="2114" width="10.42578125" bestFit="1" customWidth="1"/>
    <col min="2115" max="2115" width="8.7109375" bestFit="1" customWidth="1"/>
    <col min="2116" max="2116" width="2.7109375" customWidth="1"/>
    <col min="2117" max="2117" width="5.85546875" bestFit="1" customWidth="1"/>
    <col min="2118" max="2118" width="12.7109375" bestFit="1" customWidth="1"/>
    <col min="2119" max="2119" width="11.5703125" bestFit="1" customWidth="1"/>
    <col min="2120" max="2120" width="2.7109375" customWidth="1"/>
    <col min="2121" max="2121" width="12.7109375" bestFit="1" customWidth="1"/>
    <col min="2123" max="2123" width="21.7109375" bestFit="1" customWidth="1"/>
    <col min="2125" max="2125" width="10.7109375" customWidth="1"/>
    <col min="2126" max="2126" width="10" bestFit="1" customWidth="1"/>
    <col min="2336" max="2336" width="6.42578125" bestFit="1" customWidth="1"/>
    <col min="2337" max="2337" width="6" bestFit="1" customWidth="1"/>
    <col min="2338" max="2338" width="2.7109375" customWidth="1"/>
    <col min="2339" max="2340" width="10.42578125" customWidth="1"/>
    <col min="2341" max="2341" width="2.5703125" customWidth="1"/>
    <col min="2342" max="2343" width="10.5703125" customWidth="1"/>
    <col min="2344" max="2344" width="2.5703125" customWidth="1"/>
    <col min="2345" max="2346" width="10.5703125" customWidth="1"/>
    <col min="2347" max="2347" width="2.5703125" customWidth="1"/>
    <col min="2348" max="2348" width="12.140625" bestFit="1" customWidth="1"/>
    <col min="2349" max="2349" width="10.5703125" customWidth="1"/>
    <col min="2350" max="2350" width="2.5703125" customWidth="1"/>
    <col min="2351" max="2352" width="10.5703125" customWidth="1"/>
    <col min="2353" max="2353" width="2.7109375" customWidth="1"/>
    <col min="2354" max="2355" width="9.28515625" bestFit="1" customWidth="1"/>
    <col min="2356" max="2356" width="2.7109375" customWidth="1"/>
    <col min="2357" max="2358" width="10.42578125" bestFit="1" customWidth="1"/>
    <col min="2359" max="2359" width="2.5703125" customWidth="1"/>
    <col min="2360" max="2361" width="10.42578125" customWidth="1"/>
    <col min="2362" max="2362" width="2.5703125" customWidth="1"/>
    <col min="2363" max="2364" width="10.42578125" customWidth="1"/>
    <col min="2365" max="2365" width="2.7109375" customWidth="1"/>
    <col min="2366" max="2366" width="11.5703125" bestFit="1" customWidth="1"/>
    <col min="2367" max="2367" width="10.42578125" bestFit="1" customWidth="1"/>
    <col min="2368" max="2368" width="6.42578125" bestFit="1" customWidth="1"/>
    <col min="2369" max="2369" width="5.85546875" bestFit="1" customWidth="1"/>
    <col min="2370" max="2370" width="10.42578125" bestFit="1" customWidth="1"/>
    <col min="2371" max="2371" width="8.7109375" bestFit="1" customWidth="1"/>
    <col min="2372" max="2372" width="2.7109375" customWidth="1"/>
    <col min="2373" max="2373" width="5.85546875" bestFit="1" customWidth="1"/>
    <col min="2374" max="2374" width="12.7109375" bestFit="1" customWidth="1"/>
    <col min="2375" max="2375" width="11.5703125" bestFit="1" customWidth="1"/>
    <col min="2376" max="2376" width="2.7109375" customWidth="1"/>
    <col min="2377" max="2377" width="12.7109375" bestFit="1" customWidth="1"/>
    <col min="2379" max="2379" width="21.7109375" bestFit="1" customWidth="1"/>
    <col min="2381" max="2381" width="10.7109375" customWidth="1"/>
    <col min="2382" max="2382" width="10" bestFit="1" customWidth="1"/>
    <col min="2592" max="2592" width="6.42578125" bestFit="1" customWidth="1"/>
    <col min="2593" max="2593" width="6" bestFit="1" customWidth="1"/>
    <col min="2594" max="2594" width="2.7109375" customWidth="1"/>
    <col min="2595" max="2596" width="10.42578125" customWidth="1"/>
    <col min="2597" max="2597" width="2.5703125" customWidth="1"/>
    <col min="2598" max="2599" width="10.5703125" customWidth="1"/>
    <col min="2600" max="2600" width="2.5703125" customWidth="1"/>
    <col min="2601" max="2602" width="10.5703125" customWidth="1"/>
    <col min="2603" max="2603" width="2.5703125" customWidth="1"/>
    <col min="2604" max="2604" width="12.140625" bestFit="1" customWidth="1"/>
    <col min="2605" max="2605" width="10.5703125" customWidth="1"/>
    <col min="2606" max="2606" width="2.5703125" customWidth="1"/>
    <col min="2607" max="2608" width="10.5703125" customWidth="1"/>
    <col min="2609" max="2609" width="2.7109375" customWidth="1"/>
    <col min="2610" max="2611" width="9.28515625" bestFit="1" customWidth="1"/>
    <col min="2612" max="2612" width="2.7109375" customWidth="1"/>
    <col min="2613" max="2614" width="10.42578125" bestFit="1" customWidth="1"/>
    <col min="2615" max="2615" width="2.5703125" customWidth="1"/>
    <col min="2616" max="2617" width="10.42578125" customWidth="1"/>
    <col min="2618" max="2618" width="2.5703125" customWidth="1"/>
    <col min="2619" max="2620" width="10.42578125" customWidth="1"/>
    <col min="2621" max="2621" width="2.7109375" customWidth="1"/>
    <col min="2622" max="2622" width="11.5703125" bestFit="1" customWidth="1"/>
    <col min="2623" max="2623" width="10.42578125" bestFit="1" customWidth="1"/>
    <col min="2624" max="2624" width="6.42578125" bestFit="1" customWidth="1"/>
    <col min="2625" max="2625" width="5.85546875" bestFit="1" customWidth="1"/>
    <col min="2626" max="2626" width="10.42578125" bestFit="1" customWidth="1"/>
    <col min="2627" max="2627" width="8.7109375" bestFit="1" customWidth="1"/>
    <col min="2628" max="2628" width="2.7109375" customWidth="1"/>
    <col min="2629" max="2629" width="5.85546875" bestFit="1" customWidth="1"/>
    <col min="2630" max="2630" width="12.7109375" bestFit="1" customWidth="1"/>
    <col min="2631" max="2631" width="11.5703125" bestFit="1" customWidth="1"/>
    <col min="2632" max="2632" width="2.7109375" customWidth="1"/>
    <col min="2633" max="2633" width="12.7109375" bestFit="1" customWidth="1"/>
    <col min="2635" max="2635" width="21.7109375" bestFit="1" customWidth="1"/>
    <col min="2637" max="2637" width="10.7109375" customWidth="1"/>
    <col min="2638" max="2638" width="10" bestFit="1" customWidth="1"/>
    <col min="2848" max="2848" width="6.42578125" bestFit="1" customWidth="1"/>
    <col min="2849" max="2849" width="6" bestFit="1" customWidth="1"/>
    <col min="2850" max="2850" width="2.7109375" customWidth="1"/>
    <col min="2851" max="2852" width="10.42578125" customWidth="1"/>
    <col min="2853" max="2853" width="2.5703125" customWidth="1"/>
    <col min="2854" max="2855" width="10.5703125" customWidth="1"/>
    <col min="2856" max="2856" width="2.5703125" customWidth="1"/>
    <col min="2857" max="2858" width="10.5703125" customWidth="1"/>
    <col min="2859" max="2859" width="2.5703125" customWidth="1"/>
    <col min="2860" max="2860" width="12.140625" bestFit="1" customWidth="1"/>
    <col min="2861" max="2861" width="10.5703125" customWidth="1"/>
    <col min="2862" max="2862" width="2.5703125" customWidth="1"/>
    <col min="2863" max="2864" width="10.5703125" customWidth="1"/>
    <col min="2865" max="2865" width="2.7109375" customWidth="1"/>
    <col min="2866" max="2867" width="9.28515625" bestFit="1" customWidth="1"/>
    <col min="2868" max="2868" width="2.7109375" customWidth="1"/>
    <col min="2869" max="2870" width="10.42578125" bestFit="1" customWidth="1"/>
    <col min="2871" max="2871" width="2.5703125" customWidth="1"/>
    <col min="2872" max="2873" width="10.42578125" customWidth="1"/>
    <col min="2874" max="2874" width="2.5703125" customWidth="1"/>
    <col min="2875" max="2876" width="10.42578125" customWidth="1"/>
    <col min="2877" max="2877" width="2.7109375" customWidth="1"/>
    <col min="2878" max="2878" width="11.5703125" bestFit="1" customWidth="1"/>
    <col min="2879" max="2879" width="10.42578125" bestFit="1" customWidth="1"/>
    <col min="2880" max="2880" width="6.42578125" bestFit="1" customWidth="1"/>
    <col min="2881" max="2881" width="5.85546875" bestFit="1" customWidth="1"/>
    <col min="2882" max="2882" width="10.42578125" bestFit="1" customWidth="1"/>
    <col min="2883" max="2883" width="8.7109375" bestFit="1" customWidth="1"/>
    <col min="2884" max="2884" width="2.7109375" customWidth="1"/>
    <col min="2885" max="2885" width="5.85546875" bestFit="1" customWidth="1"/>
    <col min="2886" max="2886" width="12.7109375" bestFit="1" customWidth="1"/>
    <col min="2887" max="2887" width="11.5703125" bestFit="1" customWidth="1"/>
    <col min="2888" max="2888" width="2.7109375" customWidth="1"/>
    <col min="2889" max="2889" width="12.7109375" bestFit="1" customWidth="1"/>
    <col min="2891" max="2891" width="21.7109375" bestFit="1" customWidth="1"/>
    <col min="2893" max="2893" width="10.7109375" customWidth="1"/>
    <col min="2894" max="2894" width="10" bestFit="1" customWidth="1"/>
    <col min="3104" max="3104" width="6.42578125" bestFit="1" customWidth="1"/>
    <col min="3105" max="3105" width="6" bestFit="1" customWidth="1"/>
    <col min="3106" max="3106" width="2.7109375" customWidth="1"/>
    <col min="3107" max="3108" width="10.42578125" customWidth="1"/>
    <col min="3109" max="3109" width="2.5703125" customWidth="1"/>
    <col min="3110" max="3111" width="10.5703125" customWidth="1"/>
    <col min="3112" max="3112" width="2.5703125" customWidth="1"/>
    <col min="3113" max="3114" width="10.5703125" customWidth="1"/>
    <col min="3115" max="3115" width="2.5703125" customWidth="1"/>
    <col min="3116" max="3116" width="12.140625" bestFit="1" customWidth="1"/>
    <col min="3117" max="3117" width="10.5703125" customWidth="1"/>
    <col min="3118" max="3118" width="2.5703125" customWidth="1"/>
    <col min="3119" max="3120" width="10.5703125" customWidth="1"/>
    <col min="3121" max="3121" width="2.7109375" customWidth="1"/>
    <col min="3122" max="3123" width="9.28515625" bestFit="1" customWidth="1"/>
    <col min="3124" max="3124" width="2.7109375" customWidth="1"/>
    <col min="3125" max="3126" width="10.42578125" bestFit="1" customWidth="1"/>
    <col min="3127" max="3127" width="2.5703125" customWidth="1"/>
    <col min="3128" max="3129" width="10.42578125" customWidth="1"/>
    <col min="3130" max="3130" width="2.5703125" customWidth="1"/>
    <col min="3131" max="3132" width="10.42578125" customWidth="1"/>
    <col min="3133" max="3133" width="2.7109375" customWidth="1"/>
    <col min="3134" max="3134" width="11.5703125" bestFit="1" customWidth="1"/>
    <col min="3135" max="3135" width="10.42578125" bestFit="1" customWidth="1"/>
    <col min="3136" max="3136" width="6.42578125" bestFit="1" customWidth="1"/>
    <col min="3137" max="3137" width="5.85546875" bestFit="1" customWidth="1"/>
    <col min="3138" max="3138" width="10.42578125" bestFit="1" customWidth="1"/>
    <col min="3139" max="3139" width="8.7109375" bestFit="1" customWidth="1"/>
    <col min="3140" max="3140" width="2.7109375" customWidth="1"/>
    <col min="3141" max="3141" width="5.85546875" bestFit="1" customWidth="1"/>
    <col min="3142" max="3142" width="12.7109375" bestFit="1" customWidth="1"/>
    <col min="3143" max="3143" width="11.5703125" bestFit="1" customWidth="1"/>
    <col min="3144" max="3144" width="2.7109375" customWidth="1"/>
    <col min="3145" max="3145" width="12.7109375" bestFit="1" customWidth="1"/>
    <col min="3147" max="3147" width="21.7109375" bestFit="1" customWidth="1"/>
    <col min="3149" max="3149" width="10.7109375" customWidth="1"/>
    <col min="3150" max="3150" width="10" bestFit="1" customWidth="1"/>
    <col min="3360" max="3360" width="6.42578125" bestFit="1" customWidth="1"/>
    <col min="3361" max="3361" width="6" bestFit="1" customWidth="1"/>
    <col min="3362" max="3362" width="2.7109375" customWidth="1"/>
    <col min="3363" max="3364" width="10.42578125" customWidth="1"/>
    <col min="3365" max="3365" width="2.5703125" customWidth="1"/>
    <col min="3366" max="3367" width="10.5703125" customWidth="1"/>
    <col min="3368" max="3368" width="2.5703125" customWidth="1"/>
    <col min="3369" max="3370" width="10.5703125" customWidth="1"/>
    <col min="3371" max="3371" width="2.5703125" customWidth="1"/>
    <col min="3372" max="3372" width="12.140625" bestFit="1" customWidth="1"/>
    <col min="3373" max="3373" width="10.5703125" customWidth="1"/>
    <col min="3374" max="3374" width="2.5703125" customWidth="1"/>
    <col min="3375" max="3376" width="10.5703125" customWidth="1"/>
    <col min="3377" max="3377" width="2.7109375" customWidth="1"/>
    <col min="3378" max="3379" width="9.28515625" bestFit="1" customWidth="1"/>
    <col min="3380" max="3380" width="2.7109375" customWidth="1"/>
    <col min="3381" max="3382" width="10.42578125" bestFit="1" customWidth="1"/>
    <col min="3383" max="3383" width="2.5703125" customWidth="1"/>
    <col min="3384" max="3385" width="10.42578125" customWidth="1"/>
    <col min="3386" max="3386" width="2.5703125" customWidth="1"/>
    <col min="3387" max="3388" width="10.42578125" customWidth="1"/>
    <col min="3389" max="3389" width="2.7109375" customWidth="1"/>
    <col min="3390" max="3390" width="11.5703125" bestFit="1" customWidth="1"/>
    <col min="3391" max="3391" width="10.42578125" bestFit="1" customWidth="1"/>
    <col min="3392" max="3392" width="6.42578125" bestFit="1" customWidth="1"/>
    <col min="3393" max="3393" width="5.85546875" bestFit="1" customWidth="1"/>
    <col min="3394" max="3394" width="10.42578125" bestFit="1" customWidth="1"/>
    <col min="3395" max="3395" width="8.7109375" bestFit="1" customWidth="1"/>
    <col min="3396" max="3396" width="2.7109375" customWidth="1"/>
    <col min="3397" max="3397" width="5.85546875" bestFit="1" customWidth="1"/>
    <col min="3398" max="3398" width="12.7109375" bestFit="1" customWidth="1"/>
    <col min="3399" max="3399" width="11.5703125" bestFit="1" customWidth="1"/>
    <col min="3400" max="3400" width="2.7109375" customWidth="1"/>
    <col min="3401" max="3401" width="12.7109375" bestFit="1" customWidth="1"/>
    <col min="3403" max="3403" width="21.7109375" bestFit="1" customWidth="1"/>
    <col min="3405" max="3405" width="10.7109375" customWidth="1"/>
    <col min="3406" max="3406" width="10" bestFit="1" customWidth="1"/>
    <col min="3616" max="3616" width="6.42578125" bestFit="1" customWidth="1"/>
    <col min="3617" max="3617" width="6" bestFit="1" customWidth="1"/>
    <col min="3618" max="3618" width="2.7109375" customWidth="1"/>
    <col min="3619" max="3620" width="10.42578125" customWidth="1"/>
    <col min="3621" max="3621" width="2.5703125" customWidth="1"/>
    <col min="3622" max="3623" width="10.5703125" customWidth="1"/>
    <col min="3624" max="3624" width="2.5703125" customWidth="1"/>
    <col min="3625" max="3626" width="10.5703125" customWidth="1"/>
    <col min="3627" max="3627" width="2.5703125" customWidth="1"/>
    <col min="3628" max="3628" width="12.140625" bestFit="1" customWidth="1"/>
    <col min="3629" max="3629" width="10.5703125" customWidth="1"/>
    <col min="3630" max="3630" width="2.5703125" customWidth="1"/>
    <col min="3631" max="3632" width="10.5703125" customWidth="1"/>
    <col min="3633" max="3633" width="2.7109375" customWidth="1"/>
    <col min="3634" max="3635" width="9.28515625" bestFit="1" customWidth="1"/>
    <col min="3636" max="3636" width="2.7109375" customWidth="1"/>
    <col min="3637" max="3638" width="10.42578125" bestFit="1" customWidth="1"/>
    <col min="3639" max="3639" width="2.5703125" customWidth="1"/>
    <col min="3640" max="3641" width="10.42578125" customWidth="1"/>
    <col min="3642" max="3642" width="2.5703125" customWidth="1"/>
    <col min="3643" max="3644" width="10.42578125" customWidth="1"/>
    <col min="3645" max="3645" width="2.7109375" customWidth="1"/>
    <col min="3646" max="3646" width="11.5703125" bestFit="1" customWidth="1"/>
    <col min="3647" max="3647" width="10.42578125" bestFit="1" customWidth="1"/>
    <col min="3648" max="3648" width="6.42578125" bestFit="1" customWidth="1"/>
    <col min="3649" max="3649" width="5.85546875" bestFit="1" customWidth="1"/>
    <col min="3650" max="3650" width="10.42578125" bestFit="1" customWidth="1"/>
    <col min="3651" max="3651" width="8.7109375" bestFit="1" customWidth="1"/>
    <col min="3652" max="3652" width="2.7109375" customWidth="1"/>
    <col min="3653" max="3653" width="5.85546875" bestFit="1" customWidth="1"/>
    <col min="3654" max="3654" width="12.7109375" bestFit="1" customWidth="1"/>
    <col min="3655" max="3655" width="11.5703125" bestFit="1" customWidth="1"/>
    <col min="3656" max="3656" width="2.7109375" customWidth="1"/>
    <col min="3657" max="3657" width="12.7109375" bestFit="1" customWidth="1"/>
    <col min="3659" max="3659" width="21.7109375" bestFit="1" customWidth="1"/>
    <col min="3661" max="3661" width="10.7109375" customWidth="1"/>
    <col min="3662" max="3662" width="10" bestFit="1" customWidth="1"/>
    <col min="3872" max="3872" width="6.42578125" bestFit="1" customWidth="1"/>
    <col min="3873" max="3873" width="6" bestFit="1" customWidth="1"/>
    <col min="3874" max="3874" width="2.7109375" customWidth="1"/>
    <col min="3875" max="3876" width="10.42578125" customWidth="1"/>
    <col min="3877" max="3877" width="2.5703125" customWidth="1"/>
    <col min="3878" max="3879" width="10.5703125" customWidth="1"/>
    <col min="3880" max="3880" width="2.5703125" customWidth="1"/>
    <col min="3881" max="3882" width="10.5703125" customWidth="1"/>
    <col min="3883" max="3883" width="2.5703125" customWidth="1"/>
    <col min="3884" max="3884" width="12.140625" bestFit="1" customWidth="1"/>
    <col min="3885" max="3885" width="10.5703125" customWidth="1"/>
    <col min="3886" max="3886" width="2.5703125" customWidth="1"/>
    <col min="3887" max="3888" width="10.5703125" customWidth="1"/>
    <col min="3889" max="3889" width="2.7109375" customWidth="1"/>
    <col min="3890" max="3891" width="9.28515625" bestFit="1" customWidth="1"/>
    <col min="3892" max="3892" width="2.7109375" customWidth="1"/>
    <col min="3893" max="3894" width="10.42578125" bestFit="1" customWidth="1"/>
    <col min="3895" max="3895" width="2.5703125" customWidth="1"/>
    <col min="3896" max="3897" width="10.42578125" customWidth="1"/>
    <col min="3898" max="3898" width="2.5703125" customWidth="1"/>
    <col min="3899" max="3900" width="10.42578125" customWidth="1"/>
    <col min="3901" max="3901" width="2.7109375" customWidth="1"/>
    <col min="3902" max="3902" width="11.5703125" bestFit="1" customWidth="1"/>
    <col min="3903" max="3903" width="10.42578125" bestFit="1" customWidth="1"/>
    <col min="3904" max="3904" width="6.42578125" bestFit="1" customWidth="1"/>
    <col min="3905" max="3905" width="5.85546875" bestFit="1" customWidth="1"/>
    <col min="3906" max="3906" width="10.42578125" bestFit="1" customWidth="1"/>
    <col min="3907" max="3907" width="8.7109375" bestFit="1" customWidth="1"/>
    <col min="3908" max="3908" width="2.7109375" customWidth="1"/>
    <col min="3909" max="3909" width="5.85546875" bestFit="1" customWidth="1"/>
    <col min="3910" max="3910" width="12.7109375" bestFit="1" customWidth="1"/>
    <col min="3911" max="3911" width="11.5703125" bestFit="1" customWidth="1"/>
    <col min="3912" max="3912" width="2.7109375" customWidth="1"/>
    <col min="3913" max="3913" width="12.7109375" bestFit="1" customWidth="1"/>
    <col min="3915" max="3915" width="21.7109375" bestFit="1" customWidth="1"/>
    <col min="3917" max="3917" width="10.7109375" customWidth="1"/>
    <col min="3918" max="3918" width="10" bestFit="1" customWidth="1"/>
    <col min="4128" max="4128" width="6.42578125" bestFit="1" customWidth="1"/>
    <col min="4129" max="4129" width="6" bestFit="1" customWidth="1"/>
    <col min="4130" max="4130" width="2.7109375" customWidth="1"/>
    <col min="4131" max="4132" width="10.42578125" customWidth="1"/>
    <col min="4133" max="4133" width="2.5703125" customWidth="1"/>
    <col min="4134" max="4135" width="10.5703125" customWidth="1"/>
    <col min="4136" max="4136" width="2.5703125" customWidth="1"/>
    <col min="4137" max="4138" width="10.5703125" customWidth="1"/>
    <col min="4139" max="4139" width="2.5703125" customWidth="1"/>
    <col min="4140" max="4140" width="12.140625" bestFit="1" customWidth="1"/>
    <col min="4141" max="4141" width="10.5703125" customWidth="1"/>
    <col min="4142" max="4142" width="2.5703125" customWidth="1"/>
    <col min="4143" max="4144" width="10.5703125" customWidth="1"/>
    <col min="4145" max="4145" width="2.7109375" customWidth="1"/>
    <col min="4146" max="4147" width="9.28515625" bestFit="1" customWidth="1"/>
    <col min="4148" max="4148" width="2.7109375" customWidth="1"/>
    <col min="4149" max="4150" width="10.42578125" bestFit="1" customWidth="1"/>
    <col min="4151" max="4151" width="2.5703125" customWidth="1"/>
    <col min="4152" max="4153" width="10.42578125" customWidth="1"/>
    <col min="4154" max="4154" width="2.5703125" customWidth="1"/>
    <col min="4155" max="4156" width="10.42578125" customWidth="1"/>
    <col min="4157" max="4157" width="2.7109375" customWidth="1"/>
    <col min="4158" max="4158" width="11.5703125" bestFit="1" customWidth="1"/>
    <col min="4159" max="4159" width="10.42578125" bestFit="1" customWidth="1"/>
    <col min="4160" max="4160" width="6.42578125" bestFit="1" customWidth="1"/>
    <col min="4161" max="4161" width="5.85546875" bestFit="1" customWidth="1"/>
    <col min="4162" max="4162" width="10.42578125" bestFit="1" customWidth="1"/>
    <col min="4163" max="4163" width="8.7109375" bestFit="1" customWidth="1"/>
    <col min="4164" max="4164" width="2.7109375" customWidth="1"/>
    <col min="4165" max="4165" width="5.85546875" bestFit="1" customWidth="1"/>
    <col min="4166" max="4166" width="12.7109375" bestFit="1" customWidth="1"/>
    <col min="4167" max="4167" width="11.5703125" bestFit="1" customWidth="1"/>
    <col min="4168" max="4168" width="2.7109375" customWidth="1"/>
    <col min="4169" max="4169" width="12.7109375" bestFit="1" customWidth="1"/>
    <col min="4171" max="4171" width="21.7109375" bestFit="1" customWidth="1"/>
    <col min="4173" max="4173" width="10.7109375" customWidth="1"/>
    <col min="4174" max="4174" width="10" bestFit="1" customWidth="1"/>
    <col min="4384" max="4384" width="6.42578125" bestFit="1" customWidth="1"/>
    <col min="4385" max="4385" width="6" bestFit="1" customWidth="1"/>
    <col min="4386" max="4386" width="2.7109375" customWidth="1"/>
    <col min="4387" max="4388" width="10.42578125" customWidth="1"/>
    <col min="4389" max="4389" width="2.5703125" customWidth="1"/>
    <col min="4390" max="4391" width="10.5703125" customWidth="1"/>
    <col min="4392" max="4392" width="2.5703125" customWidth="1"/>
    <col min="4393" max="4394" width="10.5703125" customWidth="1"/>
    <col min="4395" max="4395" width="2.5703125" customWidth="1"/>
    <col min="4396" max="4396" width="12.140625" bestFit="1" customWidth="1"/>
    <col min="4397" max="4397" width="10.5703125" customWidth="1"/>
    <col min="4398" max="4398" width="2.5703125" customWidth="1"/>
    <col min="4399" max="4400" width="10.5703125" customWidth="1"/>
    <col min="4401" max="4401" width="2.7109375" customWidth="1"/>
    <col min="4402" max="4403" width="9.28515625" bestFit="1" customWidth="1"/>
    <col min="4404" max="4404" width="2.7109375" customWidth="1"/>
    <col min="4405" max="4406" width="10.42578125" bestFit="1" customWidth="1"/>
    <col min="4407" max="4407" width="2.5703125" customWidth="1"/>
    <col min="4408" max="4409" width="10.42578125" customWidth="1"/>
    <col min="4410" max="4410" width="2.5703125" customWidth="1"/>
    <col min="4411" max="4412" width="10.42578125" customWidth="1"/>
    <col min="4413" max="4413" width="2.7109375" customWidth="1"/>
    <col min="4414" max="4414" width="11.5703125" bestFit="1" customWidth="1"/>
    <col min="4415" max="4415" width="10.42578125" bestFit="1" customWidth="1"/>
    <col min="4416" max="4416" width="6.42578125" bestFit="1" customWidth="1"/>
    <col min="4417" max="4417" width="5.85546875" bestFit="1" customWidth="1"/>
    <col min="4418" max="4418" width="10.42578125" bestFit="1" customWidth="1"/>
    <col min="4419" max="4419" width="8.7109375" bestFit="1" customWidth="1"/>
    <col min="4420" max="4420" width="2.7109375" customWidth="1"/>
    <col min="4421" max="4421" width="5.85546875" bestFit="1" customWidth="1"/>
    <col min="4422" max="4422" width="12.7109375" bestFit="1" customWidth="1"/>
    <col min="4423" max="4423" width="11.5703125" bestFit="1" customWidth="1"/>
    <col min="4424" max="4424" width="2.7109375" customWidth="1"/>
    <col min="4425" max="4425" width="12.7109375" bestFit="1" customWidth="1"/>
    <col min="4427" max="4427" width="21.7109375" bestFit="1" customWidth="1"/>
    <col min="4429" max="4429" width="10.7109375" customWidth="1"/>
    <col min="4430" max="4430" width="10" bestFit="1" customWidth="1"/>
    <col min="4640" max="4640" width="6.42578125" bestFit="1" customWidth="1"/>
    <col min="4641" max="4641" width="6" bestFit="1" customWidth="1"/>
    <col min="4642" max="4642" width="2.7109375" customWidth="1"/>
    <col min="4643" max="4644" width="10.42578125" customWidth="1"/>
    <col min="4645" max="4645" width="2.5703125" customWidth="1"/>
    <col min="4646" max="4647" width="10.5703125" customWidth="1"/>
    <col min="4648" max="4648" width="2.5703125" customWidth="1"/>
    <col min="4649" max="4650" width="10.5703125" customWidth="1"/>
    <col min="4651" max="4651" width="2.5703125" customWidth="1"/>
    <col min="4652" max="4652" width="12.140625" bestFit="1" customWidth="1"/>
    <col min="4653" max="4653" width="10.5703125" customWidth="1"/>
    <col min="4654" max="4654" width="2.5703125" customWidth="1"/>
    <col min="4655" max="4656" width="10.5703125" customWidth="1"/>
    <col min="4657" max="4657" width="2.7109375" customWidth="1"/>
    <col min="4658" max="4659" width="9.28515625" bestFit="1" customWidth="1"/>
    <col min="4660" max="4660" width="2.7109375" customWidth="1"/>
    <col min="4661" max="4662" width="10.42578125" bestFit="1" customWidth="1"/>
    <col min="4663" max="4663" width="2.5703125" customWidth="1"/>
    <col min="4664" max="4665" width="10.42578125" customWidth="1"/>
    <col min="4666" max="4666" width="2.5703125" customWidth="1"/>
    <col min="4667" max="4668" width="10.42578125" customWidth="1"/>
    <col min="4669" max="4669" width="2.7109375" customWidth="1"/>
    <col min="4670" max="4670" width="11.5703125" bestFit="1" customWidth="1"/>
    <col min="4671" max="4671" width="10.42578125" bestFit="1" customWidth="1"/>
    <col min="4672" max="4672" width="6.42578125" bestFit="1" customWidth="1"/>
    <col min="4673" max="4673" width="5.85546875" bestFit="1" customWidth="1"/>
    <col min="4674" max="4674" width="10.42578125" bestFit="1" customWidth="1"/>
    <col min="4675" max="4675" width="8.7109375" bestFit="1" customWidth="1"/>
    <col min="4676" max="4676" width="2.7109375" customWidth="1"/>
    <col min="4677" max="4677" width="5.85546875" bestFit="1" customWidth="1"/>
    <col min="4678" max="4678" width="12.7109375" bestFit="1" customWidth="1"/>
    <col min="4679" max="4679" width="11.5703125" bestFit="1" customWidth="1"/>
    <col min="4680" max="4680" width="2.7109375" customWidth="1"/>
    <col min="4681" max="4681" width="12.7109375" bestFit="1" customWidth="1"/>
    <col min="4683" max="4683" width="21.7109375" bestFit="1" customWidth="1"/>
    <col min="4685" max="4685" width="10.7109375" customWidth="1"/>
    <col min="4686" max="4686" width="10" bestFit="1" customWidth="1"/>
    <col min="4896" max="4896" width="6.42578125" bestFit="1" customWidth="1"/>
    <col min="4897" max="4897" width="6" bestFit="1" customWidth="1"/>
    <col min="4898" max="4898" width="2.7109375" customWidth="1"/>
    <col min="4899" max="4900" width="10.42578125" customWidth="1"/>
    <col min="4901" max="4901" width="2.5703125" customWidth="1"/>
    <col min="4902" max="4903" width="10.5703125" customWidth="1"/>
    <col min="4904" max="4904" width="2.5703125" customWidth="1"/>
    <col min="4905" max="4906" width="10.5703125" customWidth="1"/>
    <col min="4907" max="4907" width="2.5703125" customWidth="1"/>
    <col min="4908" max="4908" width="12.140625" bestFit="1" customWidth="1"/>
    <col min="4909" max="4909" width="10.5703125" customWidth="1"/>
    <col min="4910" max="4910" width="2.5703125" customWidth="1"/>
    <col min="4911" max="4912" width="10.5703125" customWidth="1"/>
    <col min="4913" max="4913" width="2.7109375" customWidth="1"/>
    <col min="4914" max="4915" width="9.28515625" bestFit="1" customWidth="1"/>
    <col min="4916" max="4916" width="2.7109375" customWidth="1"/>
    <col min="4917" max="4918" width="10.42578125" bestFit="1" customWidth="1"/>
    <col min="4919" max="4919" width="2.5703125" customWidth="1"/>
    <col min="4920" max="4921" width="10.42578125" customWidth="1"/>
    <col min="4922" max="4922" width="2.5703125" customWidth="1"/>
    <col min="4923" max="4924" width="10.42578125" customWidth="1"/>
    <col min="4925" max="4925" width="2.7109375" customWidth="1"/>
    <col min="4926" max="4926" width="11.5703125" bestFit="1" customWidth="1"/>
    <col min="4927" max="4927" width="10.42578125" bestFit="1" customWidth="1"/>
    <col min="4928" max="4928" width="6.42578125" bestFit="1" customWidth="1"/>
    <col min="4929" max="4929" width="5.85546875" bestFit="1" customWidth="1"/>
    <col min="4930" max="4930" width="10.42578125" bestFit="1" customWidth="1"/>
    <col min="4931" max="4931" width="8.7109375" bestFit="1" customWidth="1"/>
    <col min="4932" max="4932" width="2.7109375" customWidth="1"/>
    <col min="4933" max="4933" width="5.85546875" bestFit="1" customWidth="1"/>
    <col min="4934" max="4934" width="12.7109375" bestFit="1" customWidth="1"/>
    <col min="4935" max="4935" width="11.5703125" bestFit="1" customWidth="1"/>
    <col min="4936" max="4936" width="2.7109375" customWidth="1"/>
    <col min="4937" max="4937" width="12.7109375" bestFit="1" customWidth="1"/>
    <col min="4939" max="4939" width="21.7109375" bestFit="1" customWidth="1"/>
    <col min="4941" max="4941" width="10.7109375" customWidth="1"/>
    <col min="4942" max="4942" width="10" bestFit="1" customWidth="1"/>
    <col min="5152" max="5152" width="6.42578125" bestFit="1" customWidth="1"/>
    <col min="5153" max="5153" width="6" bestFit="1" customWidth="1"/>
    <col min="5154" max="5154" width="2.7109375" customWidth="1"/>
    <col min="5155" max="5156" width="10.42578125" customWidth="1"/>
    <col min="5157" max="5157" width="2.5703125" customWidth="1"/>
    <col min="5158" max="5159" width="10.5703125" customWidth="1"/>
    <col min="5160" max="5160" width="2.5703125" customWidth="1"/>
    <col min="5161" max="5162" width="10.5703125" customWidth="1"/>
    <col min="5163" max="5163" width="2.5703125" customWidth="1"/>
    <col min="5164" max="5164" width="12.140625" bestFit="1" customWidth="1"/>
    <col min="5165" max="5165" width="10.5703125" customWidth="1"/>
    <col min="5166" max="5166" width="2.5703125" customWidth="1"/>
    <col min="5167" max="5168" width="10.5703125" customWidth="1"/>
    <col min="5169" max="5169" width="2.7109375" customWidth="1"/>
    <col min="5170" max="5171" width="9.28515625" bestFit="1" customWidth="1"/>
    <col min="5172" max="5172" width="2.7109375" customWidth="1"/>
    <col min="5173" max="5174" width="10.42578125" bestFit="1" customWidth="1"/>
    <col min="5175" max="5175" width="2.5703125" customWidth="1"/>
    <col min="5176" max="5177" width="10.42578125" customWidth="1"/>
    <col min="5178" max="5178" width="2.5703125" customWidth="1"/>
    <col min="5179" max="5180" width="10.42578125" customWidth="1"/>
    <col min="5181" max="5181" width="2.7109375" customWidth="1"/>
    <col min="5182" max="5182" width="11.5703125" bestFit="1" customWidth="1"/>
    <col min="5183" max="5183" width="10.42578125" bestFit="1" customWidth="1"/>
    <col min="5184" max="5184" width="6.42578125" bestFit="1" customWidth="1"/>
    <col min="5185" max="5185" width="5.85546875" bestFit="1" customWidth="1"/>
    <col min="5186" max="5186" width="10.42578125" bestFit="1" customWidth="1"/>
    <col min="5187" max="5187" width="8.7109375" bestFit="1" customWidth="1"/>
    <col min="5188" max="5188" width="2.7109375" customWidth="1"/>
    <col min="5189" max="5189" width="5.85546875" bestFit="1" customWidth="1"/>
    <col min="5190" max="5190" width="12.7109375" bestFit="1" customWidth="1"/>
    <col min="5191" max="5191" width="11.5703125" bestFit="1" customWidth="1"/>
    <col min="5192" max="5192" width="2.7109375" customWidth="1"/>
    <col min="5193" max="5193" width="12.7109375" bestFit="1" customWidth="1"/>
    <col min="5195" max="5195" width="21.7109375" bestFit="1" customWidth="1"/>
    <col min="5197" max="5197" width="10.7109375" customWidth="1"/>
    <col min="5198" max="5198" width="10" bestFit="1" customWidth="1"/>
    <col min="5408" max="5408" width="6.42578125" bestFit="1" customWidth="1"/>
    <col min="5409" max="5409" width="6" bestFit="1" customWidth="1"/>
    <col min="5410" max="5410" width="2.7109375" customWidth="1"/>
    <col min="5411" max="5412" width="10.42578125" customWidth="1"/>
    <col min="5413" max="5413" width="2.5703125" customWidth="1"/>
    <col min="5414" max="5415" width="10.5703125" customWidth="1"/>
    <col min="5416" max="5416" width="2.5703125" customWidth="1"/>
    <col min="5417" max="5418" width="10.5703125" customWidth="1"/>
    <col min="5419" max="5419" width="2.5703125" customWidth="1"/>
    <col min="5420" max="5420" width="12.140625" bestFit="1" customWidth="1"/>
    <col min="5421" max="5421" width="10.5703125" customWidth="1"/>
    <col min="5422" max="5422" width="2.5703125" customWidth="1"/>
    <col min="5423" max="5424" width="10.5703125" customWidth="1"/>
    <col min="5425" max="5425" width="2.7109375" customWidth="1"/>
    <col min="5426" max="5427" width="9.28515625" bestFit="1" customWidth="1"/>
    <col min="5428" max="5428" width="2.7109375" customWidth="1"/>
    <col min="5429" max="5430" width="10.42578125" bestFit="1" customWidth="1"/>
    <col min="5431" max="5431" width="2.5703125" customWidth="1"/>
    <col min="5432" max="5433" width="10.42578125" customWidth="1"/>
    <col min="5434" max="5434" width="2.5703125" customWidth="1"/>
    <col min="5435" max="5436" width="10.42578125" customWidth="1"/>
    <col min="5437" max="5437" width="2.7109375" customWidth="1"/>
    <col min="5438" max="5438" width="11.5703125" bestFit="1" customWidth="1"/>
    <col min="5439" max="5439" width="10.42578125" bestFit="1" customWidth="1"/>
    <col min="5440" max="5440" width="6.42578125" bestFit="1" customWidth="1"/>
    <col min="5441" max="5441" width="5.85546875" bestFit="1" customWidth="1"/>
    <col min="5442" max="5442" width="10.42578125" bestFit="1" customWidth="1"/>
    <col min="5443" max="5443" width="8.7109375" bestFit="1" customWidth="1"/>
    <col min="5444" max="5444" width="2.7109375" customWidth="1"/>
    <col min="5445" max="5445" width="5.85546875" bestFit="1" customWidth="1"/>
    <col min="5446" max="5446" width="12.7109375" bestFit="1" customWidth="1"/>
    <col min="5447" max="5447" width="11.5703125" bestFit="1" customWidth="1"/>
    <col min="5448" max="5448" width="2.7109375" customWidth="1"/>
    <col min="5449" max="5449" width="12.7109375" bestFit="1" customWidth="1"/>
    <col min="5451" max="5451" width="21.7109375" bestFit="1" customWidth="1"/>
    <col min="5453" max="5453" width="10.7109375" customWidth="1"/>
    <col min="5454" max="5454" width="10" bestFit="1" customWidth="1"/>
    <col min="5664" max="5664" width="6.42578125" bestFit="1" customWidth="1"/>
    <col min="5665" max="5665" width="6" bestFit="1" customWidth="1"/>
    <col min="5666" max="5666" width="2.7109375" customWidth="1"/>
    <col min="5667" max="5668" width="10.42578125" customWidth="1"/>
    <col min="5669" max="5669" width="2.5703125" customWidth="1"/>
    <col min="5670" max="5671" width="10.5703125" customWidth="1"/>
    <col min="5672" max="5672" width="2.5703125" customWidth="1"/>
    <col min="5673" max="5674" width="10.5703125" customWidth="1"/>
    <col min="5675" max="5675" width="2.5703125" customWidth="1"/>
    <col min="5676" max="5676" width="12.140625" bestFit="1" customWidth="1"/>
    <col min="5677" max="5677" width="10.5703125" customWidth="1"/>
    <col min="5678" max="5678" width="2.5703125" customWidth="1"/>
    <col min="5679" max="5680" width="10.5703125" customWidth="1"/>
    <col min="5681" max="5681" width="2.7109375" customWidth="1"/>
    <col min="5682" max="5683" width="9.28515625" bestFit="1" customWidth="1"/>
    <col min="5684" max="5684" width="2.7109375" customWidth="1"/>
    <col min="5685" max="5686" width="10.42578125" bestFit="1" customWidth="1"/>
    <col min="5687" max="5687" width="2.5703125" customWidth="1"/>
    <col min="5688" max="5689" width="10.42578125" customWidth="1"/>
    <col min="5690" max="5690" width="2.5703125" customWidth="1"/>
    <col min="5691" max="5692" width="10.42578125" customWidth="1"/>
    <col min="5693" max="5693" width="2.7109375" customWidth="1"/>
    <col min="5694" max="5694" width="11.5703125" bestFit="1" customWidth="1"/>
    <col min="5695" max="5695" width="10.42578125" bestFit="1" customWidth="1"/>
    <col min="5696" max="5696" width="6.42578125" bestFit="1" customWidth="1"/>
    <col min="5697" max="5697" width="5.85546875" bestFit="1" customWidth="1"/>
    <col min="5698" max="5698" width="10.42578125" bestFit="1" customWidth="1"/>
    <col min="5699" max="5699" width="8.7109375" bestFit="1" customWidth="1"/>
    <col min="5700" max="5700" width="2.7109375" customWidth="1"/>
    <col min="5701" max="5701" width="5.85546875" bestFit="1" customWidth="1"/>
    <col min="5702" max="5702" width="12.7109375" bestFit="1" customWidth="1"/>
    <col min="5703" max="5703" width="11.5703125" bestFit="1" customWidth="1"/>
    <col min="5704" max="5704" width="2.7109375" customWidth="1"/>
    <col min="5705" max="5705" width="12.7109375" bestFit="1" customWidth="1"/>
    <col min="5707" max="5707" width="21.7109375" bestFit="1" customWidth="1"/>
    <col min="5709" max="5709" width="10.7109375" customWidth="1"/>
    <col min="5710" max="5710" width="10" bestFit="1" customWidth="1"/>
    <col min="5920" max="5920" width="6.42578125" bestFit="1" customWidth="1"/>
    <col min="5921" max="5921" width="6" bestFit="1" customWidth="1"/>
    <col min="5922" max="5922" width="2.7109375" customWidth="1"/>
    <col min="5923" max="5924" width="10.42578125" customWidth="1"/>
    <col min="5925" max="5925" width="2.5703125" customWidth="1"/>
    <col min="5926" max="5927" width="10.5703125" customWidth="1"/>
    <col min="5928" max="5928" width="2.5703125" customWidth="1"/>
    <col min="5929" max="5930" width="10.5703125" customWidth="1"/>
    <col min="5931" max="5931" width="2.5703125" customWidth="1"/>
    <col min="5932" max="5932" width="12.140625" bestFit="1" customWidth="1"/>
    <col min="5933" max="5933" width="10.5703125" customWidth="1"/>
    <col min="5934" max="5934" width="2.5703125" customWidth="1"/>
    <col min="5935" max="5936" width="10.5703125" customWidth="1"/>
    <col min="5937" max="5937" width="2.7109375" customWidth="1"/>
    <col min="5938" max="5939" width="9.28515625" bestFit="1" customWidth="1"/>
    <col min="5940" max="5940" width="2.7109375" customWidth="1"/>
    <col min="5941" max="5942" width="10.42578125" bestFit="1" customWidth="1"/>
    <col min="5943" max="5943" width="2.5703125" customWidth="1"/>
    <col min="5944" max="5945" width="10.42578125" customWidth="1"/>
    <col min="5946" max="5946" width="2.5703125" customWidth="1"/>
    <col min="5947" max="5948" width="10.42578125" customWidth="1"/>
    <col min="5949" max="5949" width="2.7109375" customWidth="1"/>
    <col min="5950" max="5950" width="11.5703125" bestFit="1" customWidth="1"/>
    <col min="5951" max="5951" width="10.42578125" bestFit="1" customWidth="1"/>
    <col min="5952" max="5952" width="6.42578125" bestFit="1" customWidth="1"/>
    <col min="5953" max="5953" width="5.85546875" bestFit="1" customWidth="1"/>
    <col min="5954" max="5954" width="10.42578125" bestFit="1" customWidth="1"/>
    <col min="5955" max="5955" width="8.7109375" bestFit="1" customWidth="1"/>
    <col min="5956" max="5956" width="2.7109375" customWidth="1"/>
    <col min="5957" max="5957" width="5.85546875" bestFit="1" customWidth="1"/>
    <col min="5958" max="5958" width="12.7109375" bestFit="1" customWidth="1"/>
    <col min="5959" max="5959" width="11.5703125" bestFit="1" customWidth="1"/>
    <col min="5960" max="5960" width="2.7109375" customWidth="1"/>
    <col min="5961" max="5961" width="12.7109375" bestFit="1" customWidth="1"/>
    <col min="5963" max="5963" width="21.7109375" bestFit="1" customWidth="1"/>
    <col min="5965" max="5965" width="10.7109375" customWidth="1"/>
    <col min="5966" max="5966" width="10" bestFit="1" customWidth="1"/>
    <col min="6176" max="6176" width="6.42578125" bestFit="1" customWidth="1"/>
    <col min="6177" max="6177" width="6" bestFit="1" customWidth="1"/>
    <col min="6178" max="6178" width="2.7109375" customWidth="1"/>
    <col min="6179" max="6180" width="10.42578125" customWidth="1"/>
    <col min="6181" max="6181" width="2.5703125" customWidth="1"/>
    <col min="6182" max="6183" width="10.5703125" customWidth="1"/>
    <col min="6184" max="6184" width="2.5703125" customWidth="1"/>
    <col min="6185" max="6186" width="10.5703125" customWidth="1"/>
    <col min="6187" max="6187" width="2.5703125" customWidth="1"/>
    <col min="6188" max="6188" width="12.140625" bestFit="1" customWidth="1"/>
    <col min="6189" max="6189" width="10.5703125" customWidth="1"/>
    <col min="6190" max="6190" width="2.5703125" customWidth="1"/>
    <col min="6191" max="6192" width="10.5703125" customWidth="1"/>
    <col min="6193" max="6193" width="2.7109375" customWidth="1"/>
    <col min="6194" max="6195" width="9.28515625" bestFit="1" customWidth="1"/>
    <col min="6196" max="6196" width="2.7109375" customWidth="1"/>
    <col min="6197" max="6198" width="10.42578125" bestFit="1" customWidth="1"/>
    <col min="6199" max="6199" width="2.5703125" customWidth="1"/>
    <col min="6200" max="6201" width="10.42578125" customWidth="1"/>
    <col min="6202" max="6202" width="2.5703125" customWidth="1"/>
    <col min="6203" max="6204" width="10.42578125" customWidth="1"/>
    <col min="6205" max="6205" width="2.7109375" customWidth="1"/>
    <col min="6206" max="6206" width="11.5703125" bestFit="1" customWidth="1"/>
    <col min="6207" max="6207" width="10.42578125" bestFit="1" customWidth="1"/>
    <col min="6208" max="6208" width="6.42578125" bestFit="1" customWidth="1"/>
    <col min="6209" max="6209" width="5.85546875" bestFit="1" customWidth="1"/>
    <col min="6210" max="6210" width="10.42578125" bestFit="1" customWidth="1"/>
    <col min="6211" max="6211" width="8.7109375" bestFit="1" customWidth="1"/>
    <col min="6212" max="6212" width="2.7109375" customWidth="1"/>
    <col min="6213" max="6213" width="5.85546875" bestFit="1" customWidth="1"/>
    <col min="6214" max="6214" width="12.7109375" bestFit="1" customWidth="1"/>
    <col min="6215" max="6215" width="11.5703125" bestFit="1" customWidth="1"/>
    <col min="6216" max="6216" width="2.7109375" customWidth="1"/>
    <col min="6217" max="6217" width="12.7109375" bestFit="1" customWidth="1"/>
    <col min="6219" max="6219" width="21.7109375" bestFit="1" customWidth="1"/>
    <col min="6221" max="6221" width="10.7109375" customWidth="1"/>
    <col min="6222" max="6222" width="10" bestFit="1" customWidth="1"/>
    <col min="6432" max="6432" width="6.42578125" bestFit="1" customWidth="1"/>
    <col min="6433" max="6433" width="6" bestFit="1" customWidth="1"/>
    <col min="6434" max="6434" width="2.7109375" customWidth="1"/>
    <col min="6435" max="6436" width="10.42578125" customWidth="1"/>
    <col min="6437" max="6437" width="2.5703125" customWidth="1"/>
    <col min="6438" max="6439" width="10.5703125" customWidth="1"/>
    <col min="6440" max="6440" width="2.5703125" customWidth="1"/>
    <col min="6441" max="6442" width="10.5703125" customWidth="1"/>
    <col min="6443" max="6443" width="2.5703125" customWidth="1"/>
    <col min="6444" max="6444" width="12.140625" bestFit="1" customWidth="1"/>
    <col min="6445" max="6445" width="10.5703125" customWidth="1"/>
    <col min="6446" max="6446" width="2.5703125" customWidth="1"/>
    <col min="6447" max="6448" width="10.5703125" customWidth="1"/>
    <col min="6449" max="6449" width="2.7109375" customWidth="1"/>
    <col min="6450" max="6451" width="9.28515625" bestFit="1" customWidth="1"/>
    <col min="6452" max="6452" width="2.7109375" customWidth="1"/>
    <col min="6453" max="6454" width="10.42578125" bestFit="1" customWidth="1"/>
    <col min="6455" max="6455" width="2.5703125" customWidth="1"/>
    <col min="6456" max="6457" width="10.42578125" customWidth="1"/>
    <col min="6458" max="6458" width="2.5703125" customWidth="1"/>
    <col min="6459" max="6460" width="10.42578125" customWidth="1"/>
    <col min="6461" max="6461" width="2.7109375" customWidth="1"/>
    <col min="6462" max="6462" width="11.5703125" bestFit="1" customWidth="1"/>
    <col min="6463" max="6463" width="10.42578125" bestFit="1" customWidth="1"/>
    <col min="6464" max="6464" width="6.42578125" bestFit="1" customWidth="1"/>
    <col min="6465" max="6465" width="5.85546875" bestFit="1" customWidth="1"/>
    <col min="6466" max="6466" width="10.42578125" bestFit="1" customWidth="1"/>
    <col min="6467" max="6467" width="8.7109375" bestFit="1" customWidth="1"/>
    <col min="6468" max="6468" width="2.7109375" customWidth="1"/>
    <col min="6469" max="6469" width="5.85546875" bestFit="1" customWidth="1"/>
    <col min="6470" max="6470" width="12.7109375" bestFit="1" customWidth="1"/>
    <col min="6471" max="6471" width="11.5703125" bestFit="1" customWidth="1"/>
    <col min="6472" max="6472" width="2.7109375" customWidth="1"/>
    <col min="6473" max="6473" width="12.7109375" bestFit="1" customWidth="1"/>
    <col min="6475" max="6475" width="21.7109375" bestFit="1" customWidth="1"/>
    <col min="6477" max="6477" width="10.7109375" customWidth="1"/>
    <col min="6478" max="6478" width="10" bestFit="1" customWidth="1"/>
    <col min="6688" max="6688" width="6.42578125" bestFit="1" customWidth="1"/>
    <col min="6689" max="6689" width="6" bestFit="1" customWidth="1"/>
    <col min="6690" max="6690" width="2.7109375" customWidth="1"/>
    <col min="6691" max="6692" width="10.42578125" customWidth="1"/>
    <col min="6693" max="6693" width="2.5703125" customWidth="1"/>
    <col min="6694" max="6695" width="10.5703125" customWidth="1"/>
    <col min="6696" max="6696" width="2.5703125" customWidth="1"/>
    <col min="6697" max="6698" width="10.5703125" customWidth="1"/>
    <col min="6699" max="6699" width="2.5703125" customWidth="1"/>
    <col min="6700" max="6700" width="12.140625" bestFit="1" customWidth="1"/>
    <col min="6701" max="6701" width="10.5703125" customWidth="1"/>
    <col min="6702" max="6702" width="2.5703125" customWidth="1"/>
    <col min="6703" max="6704" width="10.5703125" customWidth="1"/>
    <col min="6705" max="6705" width="2.7109375" customWidth="1"/>
    <col min="6706" max="6707" width="9.28515625" bestFit="1" customWidth="1"/>
    <col min="6708" max="6708" width="2.7109375" customWidth="1"/>
    <col min="6709" max="6710" width="10.42578125" bestFit="1" customWidth="1"/>
    <col min="6711" max="6711" width="2.5703125" customWidth="1"/>
    <col min="6712" max="6713" width="10.42578125" customWidth="1"/>
    <col min="6714" max="6714" width="2.5703125" customWidth="1"/>
    <col min="6715" max="6716" width="10.42578125" customWidth="1"/>
    <col min="6717" max="6717" width="2.7109375" customWidth="1"/>
    <col min="6718" max="6718" width="11.5703125" bestFit="1" customWidth="1"/>
    <col min="6719" max="6719" width="10.42578125" bestFit="1" customWidth="1"/>
    <col min="6720" max="6720" width="6.42578125" bestFit="1" customWidth="1"/>
    <col min="6721" max="6721" width="5.85546875" bestFit="1" customWidth="1"/>
    <col min="6722" max="6722" width="10.42578125" bestFit="1" customWidth="1"/>
    <col min="6723" max="6723" width="8.7109375" bestFit="1" customWidth="1"/>
    <col min="6724" max="6724" width="2.7109375" customWidth="1"/>
    <col min="6725" max="6725" width="5.85546875" bestFit="1" customWidth="1"/>
    <col min="6726" max="6726" width="12.7109375" bestFit="1" customWidth="1"/>
    <col min="6727" max="6727" width="11.5703125" bestFit="1" customWidth="1"/>
    <col min="6728" max="6728" width="2.7109375" customWidth="1"/>
    <col min="6729" max="6729" width="12.7109375" bestFit="1" customWidth="1"/>
    <col min="6731" max="6731" width="21.7109375" bestFit="1" customWidth="1"/>
    <col min="6733" max="6733" width="10.7109375" customWidth="1"/>
    <col min="6734" max="6734" width="10" bestFit="1" customWidth="1"/>
    <col min="6944" max="6944" width="6.42578125" bestFit="1" customWidth="1"/>
    <col min="6945" max="6945" width="6" bestFit="1" customWidth="1"/>
    <col min="6946" max="6946" width="2.7109375" customWidth="1"/>
    <col min="6947" max="6948" width="10.42578125" customWidth="1"/>
    <col min="6949" max="6949" width="2.5703125" customWidth="1"/>
    <col min="6950" max="6951" width="10.5703125" customWidth="1"/>
    <col min="6952" max="6952" width="2.5703125" customWidth="1"/>
    <col min="6953" max="6954" width="10.5703125" customWidth="1"/>
    <col min="6955" max="6955" width="2.5703125" customWidth="1"/>
    <col min="6956" max="6956" width="12.140625" bestFit="1" customWidth="1"/>
    <col min="6957" max="6957" width="10.5703125" customWidth="1"/>
    <col min="6958" max="6958" width="2.5703125" customWidth="1"/>
    <col min="6959" max="6960" width="10.5703125" customWidth="1"/>
    <col min="6961" max="6961" width="2.7109375" customWidth="1"/>
    <col min="6962" max="6963" width="9.28515625" bestFit="1" customWidth="1"/>
    <col min="6964" max="6964" width="2.7109375" customWidth="1"/>
    <col min="6965" max="6966" width="10.42578125" bestFit="1" customWidth="1"/>
    <col min="6967" max="6967" width="2.5703125" customWidth="1"/>
    <col min="6968" max="6969" width="10.42578125" customWidth="1"/>
    <col min="6970" max="6970" width="2.5703125" customWidth="1"/>
    <col min="6971" max="6972" width="10.42578125" customWidth="1"/>
    <col min="6973" max="6973" width="2.7109375" customWidth="1"/>
    <col min="6974" max="6974" width="11.5703125" bestFit="1" customWidth="1"/>
    <col min="6975" max="6975" width="10.42578125" bestFit="1" customWidth="1"/>
    <col min="6976" max="6976" width="6.42578125" bestFit="1" customWidth="1"/>
    <col min="6977" max="6977" width="5.85546875" bestFit="1" customWidth="1"/>
    <col min="6978" max="6978" width="10.42578125" bestFit="1" customWidth="1"/>
    <col min="6979" max="6979" width="8.7109375" bestFit="1" customWidth="1"/>
    <col min="6980" max="6980" width="2.7109375" customWidth="1"/>
    <col min="6981" max="6981" width="5.85546875" bestFit="1" customWidth="1"/>
    <col min="6982" max="6982" width="12.7109375" bestFit="1" customWidth="1"/>
    <col min="6983" max="6983" width="11.5703125" bestFit="1" customWidth="1"/>
    <col min="6984" max="6984" width="2.7109375" customWidth="1"/>
    <col min="6985" max="6985" width="12.7109375" bestFit="1" customWidth="1"/>
    <col min="6987" max="6987" width="21.7109375" bestFit="1" customWidth="1"/>
    <col min="6989" max="6989" width="10.7109375" customWidth="1"/>
    <col min="6990" max="6990" width="10" bestFit="1" customWidth="1"/>
    <col min="7200" max="7200" width="6.42578125" bestFit="1" customWidth="1"/>
    <col min="7201" max="7201" width="6" bestFit="1" customWidth="1"/>
    <col min="7202" max="7202" width="2.7109375" customWidth="1"/>
    <col min="7203" max="7204" width="10.42578125" customWidth="1"/>
    <col min="7205" max="7205" width="2.5703125" customWidth="1"/>
    <col min="7206" max="7207" width="10.5703125" customWidth="1"/>
    <col min="7208" max="7208" width="2.5703125" customWidth="1"/>
    <col min="7209" max="7210" width="10.5703125" customWidth="1"/>
    <col min="7211" max="7211" width="2.5703125" customWidth="1"/>
    <col min="7212" max="7212" width="12.140625" bestFit="1" customWidth="1"/>
    <col min="7213" max="7213" width="10.5703125" customWidth="1"/>
    <col min="7214" max="7214" width="2.5703125" customWidth="1"/>
    <col min="7215" max="7216" width="10.5703125" customWidth="1"/>
    <col min="7217" max="7217" width="2.7109375" customWidth="1"/>
    <col min="7218" max="7219" width="9.28515625" bestFit="1" customWidth="1"/>
    <col min="7220" max="7220" width="2.7109375" customWidth="1"/>
    <col min="7221" max="7222" width="10.42578125" bestFit="1" customWidth="1"/>
    <col min="7223" max="7223" width="2.5703125" customWidth="1"/>
    <col min="7224" max="7225" width="10.42578125" customWidth="1"/>
    <col min="7226" max="7226" width="2.5703125" customWidth="1"/>
    <col min="7227" max="7228" width="10.42578125" customWidth="1"/>
    <col min="7229" max="7229" width="2.7109375" customWidth="1"/>
    <col min="7230" max="7230" width="11.5703125" bestFit="1" customWidth="1"/>
    <col min="7231" max="7231" width="10.42578125" bestFit="1" customWidth="1"/>
    <col min="7232" max="7232" width="6.42578125" bestFit="1" customWidth="1"/>
    <col min="7233" max="7233" width="5.85546875" bestFit="1" customWidth="1"/>
    <col min="7234" max="7234" width="10.42578125" bestFit="1" customWidth="1"/>
    <col min="7235" max="7235" width="8.7109375" bestFit="1" customWidth="1"/>
    <col min="7236" max="7236" width="2.7109375" customWidth="1"/>
    <col min="7237" max="7237" width="5.85546875" bestFit="1" customWidth="1"/>
    <col min="7238" max="7238" width="12.7109375" bestFit="1" customWidth="1"/>
    <col min="7239" max="7239" width="11.5703125" bestFit="1" customWidth="1"/>
    <col min="7240" max="7240" width="2.7109375" customWidth="1"/>
    <col min="7241" max="7241" width="12.7109375" bestFit="1" customWidth="1"/>
    <col min="7243" max="7243" width="21.7109375" bestFit="1" customWidth="1"/>
    <col min="7245" max="7245" width="10.7109375" customWidth="1"/>
    <col min="7246" max="7246" width="10" bestFit="1" customWidth="1"/>
    <col min="7456" max="7456" width="6.42578125" bestFit="1" customWidth="1"/>
    <col min="7457" max="7457" width="6" bestFit="1" customWidth="1"/>
    <col min="7458" max="7458" width="2.7109375" customWidth="1"/>
    <col min="7459" max="7460" width="10.42578125" customWidth="1"/>
    <col min="7461" max="7461" width="2.5703125" customWidth="1"/>
    <col min="7462" max="7463" width="10.5703125" customWidth="1"/>
    <col min="7464" max="7464" width="2.5703125" customWidth="1"/>
    <col min="7465" max="7466" width="10.5703125" customWidth="1"/>
    <col min="7467" max="7467" width="2.5703125" customWidth="1"/>
    <col min="7468" max="7468" width="12.140625" bestFit="1" customWidth="1"/>
    <col min="7469" max="7469" width="10.5703125" customWidth="1"/>
    <col min="7470" max="7470" width="2.5703125" customWidth="1"/>
    <col min="7471" max="7472" width="10.5703125" customWidth="1"/>
    <col min="7473" max="7473" width="2.7109375" customWidth="1"/>
    <col min="7474" max="7475" width="9.28515625" bestFit="1" customWidth="1"/>
    <col min="7476" max="7476" width="2.7109375" customWidth="1"/>
    <col min="7477" max="7478" width="10.42578125" bestFit="1" customWidth="1"/>
    <col min="7479" max="7479" width="2.5703125" customWidth="1"/>
    <col min="7480" max="7481" width="10.42578125" customWidth="1"/>
    <col min="7482" max="7482" width="2.5703125" customWidth="1"/>
    <col min="7483" max="7484" width="10.42578125" customWidth="1"/>
    <col min="7485" max="7485" width="2.7109375" customWidth="1"/>
    <col min="7486" max="7486" width="11.5703125" bestFit="1" customWidth="1"/>
    <col min="7487" max="7487" width="10.42578125" bestFit="1" customWidth="1"/>
    <col min="7488" max="7488" width="6.42578125" bestFit="1" customWidth="1"/>
    <col min="7489" max="7489" width="5.85546875" bestFit="1" customWidth="1"/>
    <col min="7490" max="7490" width="10.42578125" bestFit="1" customWidth="1"/>
    <col min="7491" max="7491" width="8.7109375" bestFit="1" customWidth="1"/>
    <col min="7492" max="7492" width="2.7109375" customWidth="1"/>
    <col min="7493" max="7493" width="5.85546875" bestFit="1" customWidth="1"/>
    <col min="7494" max="7494" width="12.7109375" bestFit="1" customWidth="1"/>
    <col min="7495" max="7495" width="11.5703125" bestFit="1" customWidth="1"/>
    <col min="7496" max="7496" width="2.7109375" customWidth="1"/>
    <col min="7497" max="7497" width="12.7109375" bestFit="1" customWidth="1"/>
    <col min="7499" max="7499" width="21.7109375" bestFit="1" customWidth="1"/>
    <col min="7501" max="7501" width="10.7109375" customWidth="1"/>
    <col min="7502" max="7502" width="10" bestFit="1" customWidth="1"/>
    <col min="7712" max="7712" width="6.42578125" bestFit="1" customWidth="1"/>
    <col min="7713" max="7713" width="6" bestFit="1" customWidth="1"/>
    <col min="7714" max="7714" width="2.7109375" customWidth="1"/>
    <col min="7715" max="7716" width="10.42578125" customWidth="1"/>
    <col min="7717" max="7717" width="2.5703125" customWidth="1"/>
    <col min="7718" max="7719" width="10.5703125" customWidth="1"/>
    <col min="7720" max="7720" width="2.5703125" customWidth="1"/>
    <col min="7721" max="7722" width="10.5703125" customWidth="1"/>
    <col min="7723" max="7723" width="2.5703125" customWidth="1"/>
    <col min="7724" max="7724" width="12.140625" bestFit="1" customWidth="1"/>
    <col min="7725" max="7725" width="10.5703125" customWidth="1"/>
    <col min="7726" max="7726" width="2.5703125" customWidth="1"/>
    <col min="7727" max="7728" width="10.5703125" customWidth="1"/>
    <col min="7729" max="7729" width="2.7109375" customWidth="1"/>
    <col min="7730" max="7731" width="9.28515625" bestFit="1" customWidth="1"/>
    <col min="7732" max="7732" width="2.7109375" customWidth="1"/>
    <col min="7733" max="7734" width="10.42578125" bestFit="1" customWidth="1"/>
    <col min="7735" max="7735" width="2.5703125" customWidth="1"/>
    <col min="7736" max="7737" width="10.42578125" customWidth="1"/>
    <col min="7738" max="7738" width="2.5703125" customWidth="1"/>
    <col min="7739" max="7740" width="10.42578125" customWidth="1"/>
    <col min="7741" max="7741" width="2.7109375" customWidth="1"/>
    <col min="7742" max="7742" width="11.5703125" bestFit="1" customWidth="1"/>
    <col min="7743" max="7743" width="10.42578125" bestFit="1" customWidth="1"/>
    <col min="7744" max="7744" width="6.42578125" bestFit="1" customWidth="1"/>
    <col min="7745" max="7745" width="5.85546875" bestFit="1" customWidth="1"/>
    <col min="7746" max="7746" width="10.42578125" bestFit="1" customWidth="1"/>
    <col min="7747" max="7747" width="8.7109375" bestFit="1" customWidth="1"/>
    <col min="7748" max="7748" width="2.7109375" customWidth="1"/>
    <col min="7749" max="7749" width="5.85546875" bestFit="1" customWidth="1"/>
    <col min="7750" max="7750" width="12.7109375" bestFit="1" customWidth="1"/>
    <col min="7751" max="7751" width="11.5703125" bestFit="1" customWidth="1"/>
    <col min="7752" max="7752" width="2.7109375" customWidth="1"/>
    <col min="7753" max="7753" width="12.7109375" bestFit="1" customWidth="1"/>
    <col min="7755" max="7755" width="21.7109375" bestFit="1" customWidth="1"/>
    <col min="7757" max="7757" width="10.7109375" customWidth="1"/>
    <col min="7758" max="7758" width="10" bestFit="1" customWidth="1"/>
    <col min="7968" max="7968" width="6.42578125" bestFit="1" customWidth="1"/>
    <col min="7969" max="7969" width="6" bestFit="1" customWidth="1"/>
    <col min="7970" max="7970" width="2.7109375" customWidth="1"/>
    <col min="7971" max="7972" width="10.42578125" customWidth="1"/>
    <col min="7973" max="7973" width="2.5703125" customWidth="1"/>
    <col min="7974" max="7975" width="10.5703125" customWidth="1"/>
    <col min="7976" max="7976" width="2.5703125" customWidth="1"/>
    <col min="7977" max="7978" width="10.5703125" customWidth="1"/>
    <col min="7979" max="7979" width="2.5703125" customWidth="1"/>
    <col min="7980" max="7980" width="12.140625" bestFit="1" customWidth="1"/>
    <col min="7981" max="7981" width="10.5703125" customWidth="1"/>
    <col min="7982" max="7982" width="2.5703125" customWidth="1"/>
    <col min="7983" max="7984" width="10.5703125" customWidth="1"/>
    <col min="7985" max="7985" width="2.7109375" customWidth="1"/>
    <col min="7986" max="7987" width="9.28515625" bestFit="1" customWidth="1"/>
    <col min="7988" max="7988" width="2.7109375" customWidth="1"/>
    <col min="7989" max="7990" width="10.42578125" bestFit="1" customWidth="1"/>
    <col min="7991" max="7991" width="2.5703125" customWidth="1"/>
    <col min="7992" max="7993" width="10.42578125" customWidth="1"/>
    <col min="7994" max="7994" width="2.5703125" customWidth="1"/>
    <col min="7995" max="7996" width="10.42578125" customWidth="1"/>
    <col min="7997" max="7997" width="2.7109375" customWidth="1"/>
    <col min="7998" max="7998" width="11.5703125" bestFit="1" customWidth="1"/>
    <col min="7999" max="7999" width="10.42578125" bestFit="1" customWidth="1"/>
    <col min="8000" max="8000" width="6.42578125" bestFit="1" customWidth="1"/>
    <col min="8001" max="8001" width="5.85546875" bestFit="1" customWidth="1"/>
    <col min="8002" max="8002" width="10.42578125" bestFit="1" customWidth="1"/>
    <col min="8003" max="8003" width="8.7109375" bestFit="1" customWidth="1"/>
    <col min="8004" max="8004" width="2.7109375" customWidth="1"/>
    <col min="8005" max="8005" width="5.85546875" bestFit="1" customWidth="1"/>
    <col min="8006" max="8006" width="12.7109375" bestFit="1" customWidth="1"/>
    <col min="8007" max="8007" width="11.5703125" bestFit="1" customWidth="1"/>
    <col min="8008" max="8008" width="2.7109375" customWidth="1"/>
    <col min="8009" max="8009" width="12.7109375" bestFit="1" customWidth="1"/>
    <col min="8011" max="8011" width="21.7109375" bestFit="1" customWidth="1"/>
    <col min="8013" max="8013" width="10.7109375" customWidth="1"/>
    <col min="8014" max="8014" width="10" bestFit="1" customWidth="1"/>
    <col min="8224" max="8224" width="6.42578125" bestFit="1" customWidth="1"/>
    <col min="8225" max="8225" width="6" bestFit="1" customWidth="1"/>
    <col min="8226" max="8226" width="2.7109375" customWidth="1"/>
    <col min="8227" max="8228" width="10.42578125" customWidth="1"/>
    <col min="8229" max="8229" width="2.5703125" customWidth="1"/>
    <col min="8230" max="8231" width="10.5703125" customWidth="1"/>
    <col min="8232" max="8232" width="2.5703125" customWidth="1"/>
    <col min="8233" max="8234" width="10.5703125" customWidth="1"/>
    <col min="8235" max="8235" width="2.5703125" customWidth="1"/>
    <col min="8236" max="8236" width="12.140625" bestFit="1" customWidth="1"/>
    <col min="8237" max="8237" width="10.5703125" customWidth="1"/>
    <col min="8238" max="8238" width="2.5703125" customWidth="1"/>
    <col min="8239" max="8240" width="10.5703125" customWidth="1"/>
    <col min="8241" max="8241" width="2.7109375" customWidth="1"/>
    <col min="8242" max="8243" width="9.28515625" bestFit="1" customWidth="1"/>
    <col min="8244" max="8244" width="2.7109375" customWidth="1"/>
    <col min="8245" max="8246" width="10.42578125" bestFit="1" customWidth="1"/>
    <col min="8247" max="8247" width="2.5703125" customWidth="1"/>
    <col min="8248" max="8249" width="10.42578125" customWidth="1"/>
    <col min="8250" max="8250" width="2.5703125" customWidth="1"/>
    <col min="8251" max="8252" width="10.42578125" customWidth="1"/>
    <col min="8253" max="8253" width="2.7109375" customWidth="1"/>
    <col min="8254" max="8254" width="11.5703125" bestFit="1" customWidth="1"/>
    <col min="8255" max="8255" width="10.42578125" bestFit="1" customWidth="1"/>
    <col min="8256" max="8256" width="6.42578125" bestFit="1" customWidth="1"/>
    <col min="8257" max="8257" width="5.85546875" bestFit="1" customWidth="1"/>
    <col min="8258" max="8258" width="10.42578125" bestFit="1" customWidth="1"/>
    <col min="8259" max="8259" width="8.7109375" bestFit="1" customWidth="1"/>
    <col min="8260" max="8260" width="2.7109375" customWidth="1"/>
    <col min="8261" max="8261" width="5.85546875" bestFit="1" customWidth="1"/>
    <col min="8262" max="8262" width="12.7109375" bestFit="1" customWidth="1"/>
    <col min="8263" max="8263" width="11.5703125" bestFit="1" customWidth="1"/>
    <col min="8264" max="8264" width="2.7109375" customWidth="1"/>
    <col min="8265" max="8265" width="12.7109375" bestFit="1" customWidth="1"/>
    <col min="8267" max="8267" width="21.7109375" bestFit="1" customWidth="1"/>
    <col min="8269" max="8269" width="10.7109375" customWidth="1"/>
    <col min="8270" max="8270" width="10" bestFit="1" customWidth="1"/>
    <col min="8480" max="8480" width="6.42578125" bestFit="1" customWidth="1"/>
    <col min="8481" max="8481" width="6" bestFit="1" customWidth="1"/>
    <col min="8482" max="8482" width="2.7109375" customWidth="1"/>
    <col min="8483" max="8484" width="10.42578125" customWidth="1"/>
    <col min="8485" max="8485" width="2.5703125" customWidth="1"/>
    <col min="8486" max="8487" width="10.5703125" customWidth="1"/>
    <col min="8488" max="8488" width="2.5703125" customWidth="1"/>
    <col min="8489" max="8490" width="10.5703125" customWidth="1"/>
    <col min="8491" max="8491" width="2.5703125" customWidth="1"/>
    <col min="8492" max="8492" width="12.140625" bestFit="1" customWidth="1"/>
    <col min="8493" max="8493" width="10.5703125" customWidth="1"/>
    <col min="8494" max="8494" width="2.5703125" customWidth="1"/>
    <col min="8495" max="8496" width="10.5703125" customWidth="1"/>
    <col min="8497" max="8497" width="2.7109375" customWidth="1"/>
    <col min="8498" max="8499" width="9.28515625" bestFit="1" customWidth="1"/>
    <col min="8500" max="8500" width="2.7109375" customWidth="1"/>
    <col min="8501" max="8502" width="10.42578125" bestFit="1" customWidth="1"/>
    <col min="8503" max="8503" width="2.5703125" customWidth="1"/>
    <col min="8504" max="8505" width="10.42578125" customWidth="1"/>
    <col min="8506" max="8506" width="2.5703125" customWidth="1"/>
    <col min="8507" max="8508" width="10.42578125" customWidth="1"/>
    <col min="8509" max="8509" width="2.7109375" customWidth="1"/>
    <col min="8510" max="8510" width="11.5703125" bestFit="1" customWidth="1"/>
    <col min="8511" max="8511" width="10.42578125" bestFit="1" customWidth="1"/>
    <col min="8512" max="8512" width="6.42578125" bestFit="1" customWidth="1"/>
    <col min="8513" max="8513" width="5.85546875" bestFit="1" customWidth="1"/>
    <col min="8514" max="8514" width="10.42578125" bestFit="1" customWidth="1"/>
    <col min="8515" max="8515" width="8.7109375" bestFit="1" customWidth="1"/>
    <col min="8516" max="8516" width="2.7109375" customWidth="1"/>
    <col min="8517" max="8517" width="5.85546875" bestFit="1" customWidth="1"/>
    <col min="8518" max="8518" width="12.7109375" bestFit="1" customWidth="1"/>
    <col min="8519" max="8519" width="11.5703125" bestFit="1" customWidth="1"/>
    <col min="8520" max="8520" width="2.7109375" customWidth="1"/>
    <col min="8521" max="8521" width="12.7109375" bestFit="1" customWidth="1"/>
    <col min="8523" max="8523" width="21.7109375" bestFit="1" customWidth="1"/>
    <col min="8525" max="8525" width="10.7109375" customWidth="1"/>
    <col min="8526" max="8526" width="10" bestFit="1" customWidth="1"/>
    <col min="8736" max="8736" width="6.42578125" bestFit="1" customWidth="1"/>
    <col min="8737" max="8737" width="6" bestFit="1" customWidth="1"/>
    <col min="8738" max="8738" width="2.7109375" customWidth="1"/>
    <col min="8739" max="8740" width="10.42578125" customWidth="1"/>
    <col min="8741" max="8741" width="2.5703125" customWidth="1"/>
    <col min="8742" max="8743" width="10.5703125" customWidth="1"/>
    <col min="8744" max="8744" width="2.5703125" customWidth="1"/>
    <col min="8745" max="8746" width="10.5703125" customWidth="1"/>
    <col min="8747" max="8747" width="2.5703125" customWidth="1"/>
    <col min="8748" max="8748" width="12.140625" bestFit="1" customWidth="1"/>
    <col min="8749" max="8749" width="10.5703125" customWidth="1"/>
    <col min="8750" max="8750" width="2.5703125" customWidth="1"/>
    <col min="8751" max="8752" width="10.5703125" customWidth="1"/>
    <col min="8753" max="8753" width="2.7109375" customWidth="1"/>
    <col min="8754" max="8755" width="9.28515625" bestFit="1" customWidth="1"/>
    <col min="8756" max="8756" width="2.7109375" customWidth="1"/>
    <col min="8757" max="8758" width="10.42578125" bestFit="1" customWidth="1"/>
    <col min="8759" max="8759" width="2.5703125" customWidth="1"/>
    <col min="8760" max="8761" width="10.42578125" customWidth="1"/>
    <col min="8762" max="8762" width="2.5703125" customWidth="1"/>
    <col min="8763" max="8764" width="10.42578125" customWidth="1"/>
    <col min="8765" max="8765" width="2.7109375" customWidth="1"/>
    <col min="8766" max="8766" width="11.5703125" bestFit="1" customWidth="1"/>
    <col min="8767" max="8767" width="10.42578125" bestFit="1" customWidth="1"/>
    <col min="8768" max="8768" width="6.42578125" bestFit="1" customWidth="1"/>
    <col min="8769" max="8769" width="5.85546875" bestFit="1" customWidth="1"/>
    <col min="8770" max="8770" width="10.42578125" bestFit="1" customWidth="1"/>
    <col min="8771" max="8771" width="8.7109375" bestFit="1" customWidth="1"/>
    <col min="8772" max="8772" width="2.7109375" customWidth="1"/>
    <col min="8773" max="8773" width="5.85546875" bestFit="1" customWidth="1"/>
    <col min="8774" max="8774" width="12.7109375" bestFit="1" customWidth="1"/>
    <col min="8775" max="8775" width="11.5703125" bestFit="1" customWidth="1"/>
    <col min="8776" max="8776" width="2.7109375" customWidth="1"/>
    <col min="8777" max="8777" width="12.7109375" bestFit="1" customWidth="1"/>
    <col min="8779" max="8779" width="21.7109375" bestFit="1" customWidth="1"/>
    <col min="8781" max="8781" width="10.7109375" customWidth="1"/>
    <col min="8782" max="8782" width="10" bestFit="1" customWidth="1"/>
    <col min="8992" max="8992" width="6.42578125" bestFit="1" customWidth="1"/>
    <col min="8993" max="8993" width="6" bestFit="1" customWidth="1"/>
    <col min="8994" max="8994" width="2.7109375" customWidth="1"/>
    <col min="8995" max="8996" width="10.42578125" customWidth="1"/>
    <col min="8997" max="8997" width="2.5703125" customWidth="1"/>
    <col min="8998" max="8999" width="10.5703125" customWidth="1"/>
    <col min="9000" max="9000" width="2.5703125" customWidth="1"/>
    <col min="9001" max="9002" width="10.5703125" customWidth="1"/>
    <col min="9003" max="9003" width="2.5703125" customWidth="1"/>
    <col min="9004" max="9004" width="12.140625" bestFit="1" customWidth="1"/>
    <col min="9005" max="9005" width="10.5703125" customWidth="1"/>
    <col min="9006" max="9006" width="2.5703125" customWidth="1"/>
    <col min="9007" max="9008" width="10.5703125" customWidth="1"/>
    <col min="9009" max="9009" width="2.7109375" customWidth="1"/>
    <col min="9010" max="9011" width="9.28515625" bestFit="1" customWidth="1"/>
    <col min="9012" max="9012" width="2.7109375" customWidth="1"/>
    <col min="9013" max="9014" width="10.42578125" bestFit="1" customWidth="1"/>
    <col min="9015" max="9015" width="2.5703125" customWidth="1"/>
    <col min="9016" max="9017" width="10.42578125" customWidth="1"/>
    <col min="9018" max="9018" width="2.5703125" customWidth="1"/>
    <col min="9019" max="9020" width="10.42578125" customWidth="1"/>
    <col min="9021" max="9021" width="2.7109375" customWidth="1"/>
    <col min="9022" max="9022" width="11.5703125" bestFit="1" customWidth="1"/>
    <col min="9023" max="9023" width="10.42578125" bestFit="1" customWidth="1"/>
    <col min="9024" max="9024" width="6.42578125" bestFit="1" customWidth="1"/>
    <col min="9025" max="9025" width="5.85546875" bestFit="1" customWidth="1"/>
    <col min="9026" max="9026" width="10.42578125" bestFit="1" customWidth="1"/>
    <col min="9027" max="9027" width="8.7109375" bestFit="1" customWidth="1"/>
    <col min="9028" max="9028" width="2.7109375" customWidth="1"/>
    <col min="9029" max="9029" width="5.85546875" bestFit="1" customWidth="1"/>
    <col min="9030" max="9030" width="12.7109375" bestFit="1" customWidth="1"/>
    <col min="9031" max="9031" width="11.5703125" bestFit="1" customWidth="1"/>
    <col min="9032" max="9032" width="2.7109375" customWidth="1"/>
    <col min="9033" max="9033" width="12.7109375" bestFit="1" customWidth="1"/>
    <col min="9035" max="9035" width="21.7109375" bestFit="1" customWidth="1"/>
    <col min="9037" max="9037" width="10.7109375" customWidth="1"/>
    <col min="9038" max="9038" width="10" bestFit="1" customWidth="1"/>
    <col min="9248" max="9248" width="6.42578125" bestFit="1" customWidth="1"/>
    <col min="9249" max="9249" width="6" bestFit="1" customWidth="1"/>
    <col min="9250" max="9250" width="2.7109375" customWidth="1"/>
    <col min="9251" max="9252" width="10.42578125" customWidth="1"/>
    <col min="9253" max="9253" width="2.5703125" customWidth="1"/>
    <col min="9254" max="9255" width="10.5703125" customWidth="1"/>
    <col min="9256" max="9256" width="2.5703125" customWidth="1"/>
    <col min="9257" max="9258" width="10.5703125" customWidth="1"/>
    <col min="9259" max="9259" width="2.5703125" customWidth="1"/>
    <col min="9260" max="9260" width="12.140625" bestFit="1" customWidth="1"/>
    <col min="9261" max="9261" width="10.5703125" customWidth="1"/>
    <col min="9262" max="9262" width="2.5703125" customWidth="1"/>
    <col min="9263" max="9264" width="10.5703125" customWidth="1"/>
    <col min="9265" max="9265" width="2.7109375" customWidth="1"/>
    <col min="9266" max="9267" width="9.28515625" bestFit="1" customWidth="1"/>
    <col min="9268" max="9268" width="2.7109375" customWidth="1"/>
    <col min="9269" max="9270" width="10.42578125" bestFit="1" customWidth="1"/>
    <col min="9271" max="9271" width="2.5703125" customWidth="1"/>
    <col min="9272" max="9273" width="10.42578125" customWidth="1"/>
    <col min="9274" max="9274" width="2.5703125" customWidth="1"/>
    <col min="9275" max="9276" width="10.42578125" customWidth="1"/>
    <col min="9277" max="9277" width="2.7109375" customWidth="1"/>
    <col min="9278" max="9278" width="11.5703125" bestFit="1" customWidth="1"/>
    <col min="9279" max="9279" width="10.42578125" bestFit="1" customWidth="1"/>
    <col min="9280" max="9280" width="6.42578125" bestFit="1" customWidth="1"/>
    <col min="9281" max="9281" width="5.85546875" bestFit="1" customWidth="1"/>
    <col min="9282" max="9282" width="10.42578125" bestFit="1" customWidth="1"/>
    <col min="9283" max="9283" width="8.7109375" bestFit="1" customWidth="1"/>
    <col min="9284" max="9284" width="2.7109375" customWidth="1"/>
    <col min="9285" max="9285" width="5.85546875" bestFit="1" customWidth="1"/>
    <col min="9286" max="9286" width="12.7109375" bestFit="1" customWidth="1"/>
    <col min="9287" max="9287" width="11.5703125" bestFit="1" customWidth="1"/>
    <col min="9288" max="9288" width="2.7109375" customWidth="1"/>
    <col min="9289" max="9289" width="12.7109375" bestFit="1" customWidth="1"/>
    <col min="9291" max="9291" width="21.7109375" bestFit="1" customWidth="1"/>
    <col min="9293" max="9293" width="10.7109375" customWidth="1"/>
    <col min="9294" max="9294" width="10" bestFit="1" customWidth="1"/>
    <col min="9504" max="9504" width="6.42578125" bestFit="1" customWidth="1"/>
    <col min="9505" max="9505" width="6" bestFit="1" customWidth="1"/>
    <col min="9506" max="9506" width="2.7109375" customWidth="1"/>
    <col min="9507" max="9508" width="10.42578125" customWidth="1"/>
    <col min="9509" max="9509" width="2.5703125" customWidth="1"/>
    <col min="9510" max="9511" width="10.5703125" customWidth="1"/>
    <col min="9512" max="9512" width="2.5703125" customWidth="1"/>
    <col min="9513" max="9514" width="10.5703125" customWidth="1"/>
    <col min="9515" max="9515" width="2.5703125" customWidth="1"/>
    <col min="9516" max="9516" width="12.140625" bestFit="1" customWidth="1"/>
    <col min="9517" max="9517" width="10.5703125" customWidth="1"/>
    <col min="9518" max="9518" width="2.5703125" customWidth="1"/>
    <col min="9519" max="9520" width="10.5703125" customWidth="1"/>
    <col min="9521" max="9521" width="2.7109375" customWidth="1"/>
    <col min="9522" max="9523" width="9.28515625" bestFit="1" customWidth="1"/>
    <col min="9524" max="9524" width="2.7109375" customWidth="1"/>
    <col min="9525" max="9526" width="10.42578125" bestFit="1" customWidth="1"/>
    <col min="9527" max="9527" width="2.5703125" customWidth="1"/>
    <col min="9528" max="9529" width="10.42578125" customWidth="1"/>
    <col min="9530" max="9530" width="2.5703125" customWidth="1"/>
    <col min="9531" max="9532" width="10.42578125" customWidth="1"/>
    <col min="9533" max="9533" width="2.7109375" customWidth="1"/>
    <col min="9534" max="9534" width="11.5703125" bestFit="1" customWidth="1"/>
    <col min="9535" max="9535" width="10.42578125" bestFit="1" customWidth="1"/>
    <col min="9536" max="9536" width="6.42578125" bestFit="1" customWidth="1"/>
    <col min="9537" max="9537" width="5.85546875" bestFit="1" customWidth="1"/>
    <col min="9538" max="9538" width="10.42578125" bestFit="1" customWidth="1"/>
    <col min="9539" max="9539" width="8.7109375" bestFit="1" customWidth="1"/>
    <col min="9540" max="9540" width="2.7109375" customWidth="1"/>
    <col min="9541" max="9541" width="5.85546875" bestFit="1" customWidth="1"/>
    <col min="9542" max="9542" width="12.7109375" bestFit="1" customWidth="1"/>
    <col min="9543" max="9543" width="11.5703125" bestFit="1" customWidth="1"/>
    <col min="9544" max="9544" width="2.7109375" customWidth="1"/>
    <col min="9545" max="9545" width="12.7109375" bestFit="1" customWidth="1"/>
    <col min="9547" max="9547" width="21.7109375" bestFit="1" customWidth="1"/>
    <col min="9549" max="9549" width="10.7109375" customWidth="1"/>
    <col min="9550" max="9550" width="10" bestFit="1" customWidth="1"/>
    <col min="9760" max="9760" width="6.42578125" bestFit="1" customWidth="1"/>
    <col min="9761" max="9761" width="6" bestFit="1" customWidth="1"/>
    <col min="9762" max="9762" width="2.7109375" customWidth="1"/>
    <col min="9763" max="9764" width="10.42578125" customWidth="1"/>
    <col min="9765" max="9765" width="2.5703125" customWidth="1"/>
    <col min="9766" max="9767" width="10.5703125" customWidth="1"/>
    <col min="9768" max="9768" width="2.5703125" customWidth="1"/>
    <col min="9769" max="9770" width="10.5703125" customWidth="1"/>
    <col min="9771" max="9771" width="2.5703125" customWidth="1"/>
    <col min="9772" max="9772" width="12.140625" bestFit="1" customWidth="1"/>
    <col min="9773" max="9773" width="10.5703125" customWidth="1"/>
    <col min="9774" max="9774" width="2.5703125" customWidth="1"/>
    <col min="9775" max="9776" width="10.5703125" customWidth="1"/>
    <col min="9777" max="9777" width="2.7109375" customWidth="1"/>
    <col min="9778" max="9779" width="9.28515625" bestFit="1" customWidth="1"/>
    <col min="9780" max="9780" width="2.7109375" customWidth="1"/>
    <col min="9781" max="9782" width="10.42578125" bestFit="1" customWidth="1"/>
    <col min="9783" max="9783" width="2.5703125" customWidth="1"/>
    <col min="9784" max="9785" width="10.42578125" customWidth="1"/>
    <col min="9786" max="9786" width="2.5703125" customWidth="1"/>
    <col min="9787" max="9788" width="10.42578125" customWidth="1"/>
    <col min="9789" max="9789" width="2.7109375" customWidth="1"/>
    <col min="9790" max="9790" width="11.5703125" bestFit="1" customWidth="1"/>
    <col min="9791" max="9791" width="10.42578125" bestFit="1" customWidth="1"/>
    <col min="9792" max="9792" width="6.42578125" bestFit="1" customWidth="1"/>
    <col min="9793" max="9793" width="5.85546875" bestFit="1" customWidth="1"/>
    <col min="9794" max="9794" width="10.42578125" bestFit="1" customWidth="1"/>
    <col min="9795" max="9795" width="8.7109375" bestFit="1" customWidth="1"/>
    <col min="9796" max="9796" width="2.7109375" customWidth="1"/>
    <col min="9797" max="9797" width="5.85546875" bestFit="1" customWidth="1"/>
    <col min="9798" max="9798" width="12.7109375" bestFit="1" customWidth="1"/>
    <col min="9799" max="9799" width="11.5703125" bestFit="1" customWidth="1"/>
    <col min="9800" max="9800" width="2.7109375" customWidth="1"/>
    <col min="9801" max="9801" width="12.7109375" bestFit="1" customWidth="1"/>
    <col min="9803" max="9803" width="21.7109375" bestFit="1" customWidth="1"/>
    <col min="9805" max="9805" width="10.7109375" customWidth="1"/>
    <col min="9806" max="9806" width="10" bestFit="1" customWidth="1"/>
    <col min="10016" max="10016" width="6.42578125" bestFit="1" customWidth="1"/>
    <col min="10017" max="10017" width="6" bestFit="1" customWidth="1"/>
    <col min="10018" max="10018" width="2.7109375" customWidth="1"/>
    <col min="10019" max="10020" width="10.42578125" customWidth="1"/>
    <col min="10021" max="10021" width="2.5703125" customWidth="1"/>
    <col min="10022" max="10023" width="10.5703125" customWidth="1"/>
    <col min="10024" max="10024" width="2.5703125" customWidth="1"/>
    <col min="10025" max="10026" width="10.5703125" customWidth="1"/>
    <col min="10027" max="10027" width="2.5703125" customWidth="1"/>
    <col min="10028" max="10028" width="12.140625" bestFit="1" customWidth="1"/>
    <col min="10029" max="10029" width="10.5703125" customWidth="1"/>
    <col min="10030" max="10030" width="2.5703125" customWidth="1"/>
    <col min="10031" max="10032" width="10.5703125" customWidth="1"/>
    <col min="10033" max="10033" width="2.7109375" customWidth="1"/>
    <col min="10034" max="10035" width="9.28515625" bestFit="1" customWidth="1"/>
    <col min="10036" max="10036" width="2.7109375" customWidth="1"/>
    <col min="10037" max="10038" width="10.42578125" bestFit="1" customWidth="1"/>
    <col min="10039" max="10039" width="2.5703125" customWidth="1"/>
    <col min="10040" max="10041" width="10.42578125" customWidth="1"/>
    <col min="10042" max="10042" width="2.5703125" customWidth="1"/>
    <col min="10043" max="10044" width="10.42578125" customWidth="1"/>
    <col min="10045" max="10045" width="2.7109375" customWidth="1"/>
    <col min="10046" max="10046" width="11.5703125" bestFit="1" customWidth="1"/>
    <col min="10047" max="10047" width="10.42578125" bestFit="1" customWidth="1"/>
    <col min="10048" max="10048" width="6.42578125" bestFit="1" customWidth="1"/>
    <col min="10049" max="10049" width="5.85546875" bestFit="1" customWidth="1"/>
    <col min="10050" max="10050" width="10.42578125" bestFit="1" customWidth="1"/>
    <col min="10051" max="10051" width="8.7109375" bestFit="1" customWidth="1"/>
    <col min="10052" max="10052" width="2.7109375" customWidth="1"/>
    <col min="10053" max="10053" width="5.85546875" bestFit="1" customWidth="1"/>
    <col min="10054" max="10054" width="12.7109375" bestFit="1" customWidth="1"/>
    <col min="10055" max="10055" width="11.5703125" bestFit="1" customWidth="1"/>
    <col min="10056" max="10056" width="2.7109375" customWidth="1"/>
    <col min="10057" max="10057" width="12.7109375" bestFit="1" customWidth="1"/>
    <col min="10059" max="10059" width="21.7109375" bestFit="1" customWidth="1"/>
    <col min="10061" max="10061" width="10.7109375" customWidth="1"/>
    <col min="10062" max="10062" width="10" bestFit="1" customWidth="1"/>
    <col min="10272" max="10272" width="6.42578125" bestFit="1" customWidth="1"/>
    <col min="10273" max="10273" width="6" bestFit="1" customWidth="1"/>
    <col min="10274" max="10274" width="2.7109375" customWidth="1"/>
    <col min="10275" max="10276" width="10.42578125" customWidth="1"/>
    <col min="10277" max="10277" width="2.5703125" customWidth="1"/>
    <col min="10278" max="10279" width="10.5703125" customWidth="1"/>
    <col min="10280" max="10280" width="2.5703125" customWidth="1"/>
    <col min="10281" max="10282" width="10.5703125" customWidth="1"/>
    <col min="10283" max="10283" width="2.5703125" customWidth="1"/>
    <col min="10284" max="10284" width="12.140625" bestFit="1" customWidth="1"/>
    <col min="10285" max="10285" width="10.5703125" customWidth="1"/>
    <col min="10286" max="10286" width="2.5703125" customWidth="1"/>
    <col min="10287" max="10288" width="10.5703125" customWidth="1"/>
    <col min="10289" max="10289" width="2.7109375" customWidth="1"/>
    <col min="10290" max="10291" width="9.28515625" bestFit="1" customWidth="1"/>
    <col min="10292" max="10292" width="2.7109375" customWidth="1"/>
    <col min="10293" max="10294" width="10.42578125" bestFit="1" customWidth="1"/>
    <col min="10295" max="10295" width="2.5703125" customWidth="1"/>
    <col min="10296" max="10297" width="10.42578125" customWidth="1"/>
    <col min="10298" max="10298" width="2.5703125" customWidth="1"/>
    <col min="10299" max="10300" width="10.42578125" customWidth="1"/>
    <col min="10301" max="10301" width="2.7109375" customWidth="1"/>
    <col min="10302" max="10302" width="11.5703125" bestFit="1" customWidth="1"/>
    <col min="10303" max="10303" width="10.42578125" bestFit="1" customWidth="1"/>
    <col min="10304" max="10304" width="6.42578125" bestFit="1" customWidth="1"/>
    <col min="10305" max="10305" width="5.85546875" bestFit="1" customWidth="1"/>
    <col min="10306" max="10306" width="10.42578125" bestFit="1" customWidth="1"/>
    <col min="10307" max="10307" width="8.7109375" bestFit="1" customWidth="1"/>
    <col min="10308" max="10308" width="2.7109375" customWidth="1"/>
    <col min="10309" max="10309" width="5.85546875" bestFit="1" customWidth="1"/>
    <col min="10310" max="10310" width="12.7109375" bestFit="1" customWidth="1"/>
    <col min="10311" max="10311" width="11.5703125" bestFit="1" customWidth="1"/>
    <col min="10312" max="10312" width="2.7109375" customWidth="1"/>
    <col min="10313" max="10313" width="12.7109375" bestFit="1" customWidth="1"/>
    <col min="10315" max="10315" width="21.7109375" bestFit="1" customWidth="1"/>
    <col min="10317" max="10317" width="10.7109375" customWidth="1"/>
    <col min="10318" max="10318" width="10" bestFit="1" customWidth="1"/>
    <col min="10528" max="10528" width="6.42578125" bestFit="1" customWidth="1"/>
    <col min="10529" max="10529" width="6" bestFit="1" customWidth="1"/>
    <col min="10530" max="10530" width="2.7109375" customWidth="1"/>
    <col min="10531" max="10532" width="10.42578125" customWidth="1"/>
    <col min="10533" max="10533" width="2.5703125" customWidth="1"/>
    <col min="10534" max="10535" width="10.5703125" customWidth="1"/>
    <col min="10536" max="10536" width="2.5703125" customWidth="1"/>
    <col min="10537" max="10538" width="10.5703125" customWidth="1"/>
    <col min="10539" max="10539" width="2.5703125" customWidth="1"/>
    <col min="10540" max="10540" width="12.140625" bestFit="1" customWidth="1"/>
    <col min="10541" max="10541" width="10.5703125" customWidth="1"/>
    <col min="10542" max="10542" width="2.5703125" customWidth="1"/>
    <col min="10543" max="10544" width="10.5703125" customWidth="1"/>
    <col min="10545" max="10545" width="2.7109375" customWidth="1"/>
    <col min="10546" max="10547" width="9.28515625" bestFit="1" customWidth="1"/>
    <col min="10548" max="10548" width="2.7109375" customWidth="1"/>
    <col min="10549" max="10550" width="10.42578125" bestFit="1" customWidth="1"/>
    <col min="10551" max="10551" width="2.5703125" customWidth="1"/>
    <col min="10552" max="10553" width="10.42578125" customWidth="1"/>
    <col min="10554" max="10554" width="2.5703125" customWidth="1"/>
    <col min="10555" max="10556" width="10.42578125" customWidth="1"/>
    <col min="10557" max="10557" width="2.7109375" customWidth="1"/>
    <col min="10558" max="10558" width="11.5703125" bestFit="1" customWidth="1"/>
    <col min="10559" max="10559" width="10.42578125" bestFit="1" customWidth="1"/>
    <col min="10560" max="10560" width="6.42578125" bestFit="1" customWidth="1"/>
    <col min="10561" max="10561" width="5.85546875" bestFit="1" customWidth="1"/>
    <col min="10562" max="10562" width="10.42578125" bestFit="1" customWidth="1"/>
    <col min="10563" max="10563" width="8.7109375" bestFit="1" customWidth="1"/>
    <col min="10564" max="10564" width="2.7109375" customWidth="1"/>
    <col min="10565" max="10565" width="5.85546875" bestFit="1" customWidth="1"/>
    <col min="10566" max="10566" width="12.7109375" bestFit="1" customWidth="1"/>
    <col min="10567" max="10567" width="11.5703125" bestFit="1" customWidth="1"/>
    <col min="10568" max="10568" width="2.7109375" customWidth="1"/>
    <col min="10569" max="10569" width="12.7109375" bestFit="1" customWidth="1"/>
    <col min="10571" max="10571" width="21.7109375" bestFit="1" customWidth="1"/>
    <col min="10573" max="10573" width="10.7109375" customWidth="1"/>
    <col min="10574" max="10574" width="10" bestFit="1" customWidth="1"/>
    <col min="10784" max="10784" width="6.42578125" bestFit="1" customWidth="1"/>
    <col min="10785" max="10785" width="6" bestFit="1" customWidth="1"/>
    <col min="10786" max="10786" width="2.7109375" customWidth="1"/>
    <col min="10787" max="10788" width="10.42578125" customWidth="1"/>
    <col min="10789" max="10789" width="2.5703125" customWidth="1"/>
    <col min="10790" max="10791" width="10.5703125" customWidth="1"/>
    <col min="10792" max="10792" width="2.5703125" customWidth="1"/>
    <col min="10793" max="10794" width="10.5703125" customWidth="1"/>
    <col min="10795" max="10795" width="2.5703125" customWidth="1"/>
    <col min="10796" max="10796" width="12.140625" bestFit="1" customWidth="1"/>
    <col min="10797" max="10797" width="10.5703125" customWidth="1"/>
    <col min="10798" max="10798" width="2.5703125" customWidth="1"/>
    <col min="10799" max="10800" width="10.5703125" customWidth="1"/>
    <col min="10801" max="10801" width="2.7109375" customWidth="1"/>
    <col min="10802" max="10803" width="9.28515625" bestFit="1" customWidth="1"/>
    <col min="10804" max="10804" width="2.7109375" customWidth="1"/>
    <col min="10805" max="10806" width="10.42578125" bestFit="1" customWidth="1"/>
    <col min="10807" max="10807" width="2.5703125" customWidth="1"/>
    <col min="10808" max="10809" width="10.42578125" customWidth="1"/>
    <col min="10810" max="10810" width="2.5703125" customWidth="1"/>
    <col min="10811" max="10812" width="10.42578125" customWidth="1"/>
    <col min="10813" max="10813" width="2.7109375" customWidth="1"/>
    <col min="10814" max="10814" width="11.5703125" bestFit="1" customWidth="1"/>
    <col min="10815" max="10815" width="10.42578125" bestFit="1" customWidth="1"/>
    <col min="10816" max="10816" width="6.42578125" bestFit="1" customWidth="1"/>
    <col min="10817" max="10817" width="5.85546875" bestFit="1" customWidth="1"/>
    <col min="10818" max="10818" width="10.42578125" bestFit="1" customWidth="1"/>
    <col min="10819" max="10819" width="8.7109375" bestFit="1" customWidth="1"/>
    <col min="10820" max="10820" width="2.7109375" customWidth="1"/>
    <col min="10821" max="10821" width="5.85546875" bestFit="1" customWidth="1"/>
    <col min="10822" max="10822" width="12.7109375" bestFit="1" customWidth="1"/>
    <col min="10823" max="10823" width="11.5703125" bestFit="1" customWidth="1"/>
    <col min="10824" max="10824" width="2.7109375" customWidth="1"/>
    <col min="10825" max="10825" width="12.7109375" bestFit="1" customWidth="1"/>
    <col min="10827" max="10827" width="21.7109375" bestFit="1" customWidth="1"/>
    <col min="10829" max="10829" width="10.7109375" customWidth="1"/>
    <col min="10830" max="10830" width="10" bestFit="1" customWidth="1"/>
    <col min="11040" max="11040" width="6.42578125" bestFit="1" customWidth="1"/>
    <col min="11041" max="11041" width="6" bestFit="1" customWidth="1"/>
    <col min="11042" max="11042" width="2.7109375" customWidth="1"/>
    <col min="11043" max="11044" width="10.42578125" customWidth="1"/>
    <col min="11045" max="11045" width="2.5703125" customWidth="1"/>
    <col min="11046" max="11047" width="10.5703125" customWidth="1"/>
    <col min="11048" max="11048" width="2.5703125" customWidth="1"/>
    <col min="11049" max="11050" width="10.5703125" customWidth="1"/>
    <col min="11051" max="11051" width="2.5703125" customWidth="1"/>
    <col min="11052" max="11052" width="12.140625" bestFit="1" customWidth="1"/>
    <col min="11053" max="11053" width="10.5703125" customWidth="1"/>
    <col min="11054" max="11054" width="2.5703125" customWidth="1"/>
    <col min="11055" max="11056" width="10.5703125" customWidth="1"/>
    <col min="11057" max="11057" width="2.7109375" customWidth="1"/>
    <col min="11058" max="11059" width="9.28515625" bestFit="1" customWidth="1"/>
    <col min="11060" max="11060" width="2.7109375" customWidth="1"/>
    <col min="11061" max="11062" width="10.42578125" bestFit="1" customWidth="1"/>
    <col min="11063" max="11063" width="2.5703125" customWidth="1"/>
    <col min="11064" max="11065" width="10.42578125" customWidth="1"/>
    <col min="11066" max="11066" width="2.5703125" customWidth="1"/>
    <col min="11067" max="11068" width="10.42578125" customWidth="1"/>
    <col min="11069" max="11069" width="2.7109375" customWidth="1"/>
    <col min="11070" max="11070" width="11.5703125" bestFit="1" customWidth="1"/>
    <col min="11071" max="11071" width="10.42578125" bestFit="1" customWidth="1"/>
    <col min="11072" max="11072" width="6.42578125" bestFit="1" customWidth="1"/>
    <col min="11073" max="11073" width="5.85546875" bestFit="1" customWidth="1"/>
    <col min="11074" max="11074" width="10.42578125" bestFit="1" customWidth="1"/>
    <col min="11075" max="11075" width="8.7109375" bestFit="1" customWidth="1"/>
    <col min="11076" max="11076" width="2.7109375" customWidth="1"/>
    <col min="11077" max="11077" width="5.85546875" bestFit="1" customWidth="1"/>
    <col min="11078" max="11078" width="12.7109375" bestFit="1" customWidth="1"/>
    <col min="11079" max="11079" width="11.5703125" bestFit="1" customWidth="1"/>
    <col min="11080" max="11080" width="2.7109375" customWidth="1"/>
    <col min="11081" max="11081" width="12.7109375" bestFit="1" customWidth="1"/>
    <col min="11083" max="11083" width="21.7109375" bestFit="1" customWidth="1"/>
    <col min="11085" max="11085" width="10.7109375" customWidth="1"/>
    <col min="11086" max="11086" width="10" bestFit="1" customWidth="1"/>
    <col min="11296" max="11296" width="6.42578125" bestFit="1" customWidth="1"/>
    <col min="11297" max="11297" width="6" bestFit="1" customWidth="1"/>
    <col min="11298" max="11298" width="2.7109375" customWidth="1"/>
    <col min="11299" max="11300" width="10.42578125" customWidth="1"/>
    <col min="11301" max="11301" width="2.5703125" customWidth="1"/>
    <col min="11302" max="11303" width="10.5703125" customWidth="1"/>
    <col min="11304" max="11304" width="2.5703125" customWidth="1"/>
    <col min="11305" max="11306" width="10.5703125" customWidth="1"/>
    <col min="11307" max="11307" width="2.5703125" customWidth="1"/>
    <col min="11308" max="11308" width="12.140625" bestFit="1" customWidth="1"/>
    <col min="11309" max="11309" width="10.5703125" customWidth="1"/>
    <col min="11310" max="11310" width="2.5703125" customWidth="1"/>
    <col min="11311" max="11312" width="10.5703125" customWidth="1"/>
    <col min="11313" max="11313" width="2.7109375" customWidth="1"/>
    <col min="11314" max="11315" width="9.28515625" bestFit="1" customWidth="1"/>
    <col min="11316" max="11316" width="2.7109375" customWidth="1"/>
    <col min="11317" max="11318" width="10.42578125" bestFit="1" customWidth="1"/>
    <col min="11319" max="11319" width="2.5703125" customWidth="1"/>
    <col min="11320" max="11321" width="10.42578125" customWidth="1"/>
    <col min="11322" max="11322" width="2.5703125" customWidth="1"/>
    <col min="11323" max="11324" width="10.42578125" customWidth="1"/>
    <col min="11325" max="11325" width="2.7109375" customWidth="1"/>
    <col min="11326" max="11326" width="11.5703125" bestFit="1" customWidth="1"/>
    <col min="11327" max="11327" width="10.42578125" bestFit="1" customWidth="1"/>
    <col min="11328" max="11328" width="6.42578125" bestFit="1" customWidth="1"/>
    <col min="11329" max="11329" width="5.85546875" bestFit="1" customWidth="1"/>
    <col min="11330" max="11330" width="10.42578125" bestFit="1" customWidth="1"/>
    <col min="11331" max="11331" width="8.7109375" bestFit="1" customWidth="1"/>
    <col min="11332" max="11332" width="2.7109375" customWidth="1"/>
    <col min="11333" max="11333" width="5.85546875" bestFit="1" customWidth="1"/>
    <col min="11334" max="11334" width="12.7109375" bestFit="1" customWidth="1"/>
    <col min="11335" max="11335" width="11.5703125" bestFit="1" customWidth="1"/>
    <col min="11336" max="11336" width="2.7109375" customWidth="1"/>
    <col min="11337" max="11337" width="12.7109375" bestFit="1" customWidth="1"/>
    <col min="11339" max="11339" width="21.7109375" bestFit="1" customWidth="1"/>
    <col min="11341" max="11341" width="10.7109375" customWidth="1"/>
    <col min="11342" max="11342" width="10" bestFit="1" customWidth="1"/>
    <col min="11552" max="11552" width="6.42578125" bestFit="1" customWidth="1"/>
    <col min="11553" max="11553" width="6" bestFit="1" customWidth="1"/>
    <col min="11554" max="11554" width="2.7109375" customWidth="1"/>
    <col min="11555" max="11556" width="10.42578125" customWidth="1"/>
    <col min="11557" max="11557" width="2.5703125" customWidth="1"/>
    <col min="11558" max="11559" width="10.5703125" customWidth="1"/>
    <col min="11560" max="11560" width="2.5703125" customWidth="1"/>
    <col min="11561" max="11562" width="10.5703125" customWidth="1"/>
    <col min="11563" max="11563" width="2.5703125" customWidth="1"/>
    <col min="11564" max="11564" width="12.140625" bestFit="1" customWidth="1"/>
    <col min="11565" max="11565" width="10.5703125" customWidth="1"/>
    <col min="11566" max="11566" width="2.5703125" customWidth="1"/>
    <col min="11567" max="11568" width="10.5703125" customWidth="1"/>
    <col min="11569" max="11569" width="2.7109375" customWidth="1"/>
    <col min="11570" max="11571" width="9.28515625" bestFit="1" customWidth="1"/>
    <col min="11572" max="11572" width="2.7109375" customWidth="1"/>
    <col min="11573" max="11574" width="10.42578125" bestFit="1" customWidth="1"/>
    <col min="11575" max="11575" width="2.5703125" customWidth="1"/>
    <col min="11576" max="11577" width="10.42578125" customWidth="1"/>
    <col min="11578" max="11578" width="2.5703125" customWidth="1"/>
    <col min="11579" max="11580" width="10.42578125" customWidth="1"/>
    <col min="11581" max="11581" width="2.7109375" customWidth="1"/>
    <col min="11582" max="11582" width="11.5703125" bestFit="1" customWidth="1"/>
    <col min="11583" max="11583" width="10.42578125" bestFit="1" customWidth="1"/>
    <col min="11584" max="11584" width="6.42578125" bestFit="1" customWidth="1"/>
    <col min="11585" max="11585" width="5.85546875" bestFit="1" customWidth="1"/>
    <col min="11586" max="11586" width="10.42578125" bestFit="1" customWidth="1"/>
    <col min="11587" max="11587" width="8.7109375" bestFit="1" customWidth="1"/>
    <col min="11588" max="11588" width="2.7109375" customWidth="1"/>
    <col min="11589" max="11589" width="5.85546875" bestFit="1" customWidth="1"/>
    <col min="11590" max="11590" width="12.7109375" bestFit="1" customWidth="1"/>
    <col min="11591" max="11591" width="11.5703125" bestFit="1" customWidth="1"/>
    <col min="11592" max="11592" width="2.7109375" customWidth="1"/>
    <col min="11593" max="11593" width="12.7109375" bestFit="1" customWidth="1"/>
    <col min="11595" max="11595" width="21.7109375" bestFit="1" customWidth="1"/>
    <col min="11597" max="11597" width="10.7109375" customWidth="1"/>
    <col min="11598" max="11598" width="10" bestFit="1" customWidth="1"/>
    <col min="11808" max="11808" width="6.42578125" bestFit="1" customWidth="1"/>
    <col min="11809" max="11809" width="6" bestFit="1" customWidth="1"/>
    <col min="11810" max="11810" width="2.7109375" customWidth="1"/>
    <col min="11811" max="11812" width="10.42578125" customWidth="1"/>
    <col min="11813" max="11813" width="2.5703125" customWidth="1"/>
    <col min="11814" max="11815" width="10.5703125" customWidth="1"/>
    <col min="11816" max="11816" width="2.5703125" customWidth="1"/>
    <col min="11817" max="11818" width="10.5703125" customWidth="1"/>
    <col min="11819" max="11819" width="2.5703125" customWidth="1"/>
    <col min="11820" max="11820" width="12.140625" bestFit="1" customWidth="1"/>
    <col min="11821" max="11821" width="10.5703125" customWidth="1"/>
    <col min="11822" max="11822" width="2.5703125" customWidth="1"/>
    <col min="11823" max="11824" width="10.5703125" customWidth="1"/>
    <col min="11825" max="11825" width="2.7109375" customWidth="1"/>
    <col min="11826" max="11827" width="9.28515625" bestFit="1" customWidth="1"/>
    <col min="11828" max="11828" width="2.7109375" customWidth="1"/>
    <col min="11829" max="11830" width="10.42578125" bestFit="1" customWidth="1"/>
    <col min="11831" max="11831" width="2.5703125" customWidth="1"/>
    <col min="11832" max="11833" width="10.42578125" customWidth="1"/>
    <col min="11834" max="11834" width="2.5703125" customWidth="1"/>
    <col min="11835" max="11836" width="10.42578125" customWidth="1"/>
    <col min="11837" max="11837" width="2.7109375" customWidth="1"/>
    <col min="11838" max="11838" width="11.5703125" bestFit="1" customWidth="1"/>
    <col min="11839" max="11839" width="10.42578125" bestFit="1" customWidth="1"/>
    <col min="11840" max="11840" width="6.42578125" bestFit="1" customWidth="1"/>
    <col min="11841" max="11841" width="5.85546875" bestFit="1" customWidth="1"/>
    <col min="11842" max="11842" width="10.42578125" bestFit="1" customWidth="1"/>
    <col min="11843" max="11843" width="8.7109375" bestFit="1" customWidth="1"/>
    <col min="11844" max="11844" width="2.7109375" customWidth="1"/>
    <col min="11845" max="11845" width="5.85546875" bestFit="1" customWidth="1"/>
    <col min="11846" max="11846" width="12.7109375" bestFit="1" customWidth="1"/>
    <col min="11847" max="11847" width="11.5703125" bestFit="1" customWidth="1"/>
    <col min="11848" max="11848" width="2.7109375" customWidth="1"/>
    <col min="11849" max="11849" width="12.7109375" bestFit="1" customWidth="1"/>
    <col min="11851" max="11851" width="21.7109375" bestFit="1" customWidth="1"/>
    <col min="11853" max="11853" width="10.7109375" customWidth="1"/>
    <col min="11854" max="11854" width="10" bestFit="1" customWidth="1"/>
    <col min="12064" max="12064" width="6.42578125" bestFit="1" customWidth="1"/>
    <col min="12065" max="12065" width="6" bestFit="1" customWidth="1"/>
    <col min="12066" max="12066" width="2.7109375" customWidth="1"/>
    <col min="12067" max="12068" width="10.42578125" customWidth="1"/>
    <col min="12069" max="12069" width="2.5703125" customWidth="1"/>
    <col min="12070" max="12071" width="10.5703125" customWidth="1"/>
    <col min="12072" max="12072" width="2.5703125" customWidth="1"/>
    <col min="12073" max="12074" width="10.5703125" customWidth="1"/>
    <col min="12075" max="12075" width="2.5703125" customWidth="1"/>
    <col min="12076" max="12076" width="12.140625" bestFit="1" customWidth="1"/>
    <col min="12077" max="12077" width="10.5703125" customWidth="1"/>
    <col min="12078" max="12078" width="2.5703125" customWidth="1"/>
    <col min="12079" max="12080" width="10.5703125" customWidth="1"/>
    <col min="12081" max="12081" width="2.7109375" customWidth="1"/>
    <col min="12082" max="12083" width="9.28515625" bestFit="1" customWidth="1"/>
    <col min="12084" max="12084" width="2.7109375" customWidth="1"/>
    <col min="12085" max="12086" width="10.42578125" bestFit="1" customWidth="1"/>
    <col min="12087" max="12087" width="2.5703125" customWidth="1"/>
    <col min="12088" max="12089" width="10.42578125" customWidth="1"/>
    <col min="12090" max="12090" width="2.5703125" customWidth="1"/>
    <col min="12091" max="12092" width="10.42578125" customWidth="1"/>
    <col min="12093" max="12093" width="2.7109375" customWidth="1"/>
    <col min="12094" max="12094" width="11.5703125" bestFit="1" customWidth="1"/>
    <col min="12095" max="12095" width="10.42578125" bestFit="1" customWidth="1"/>
    <col min="12096" max="12096" width="6.42578125" bestFit="1" customWidth="1"/>
    <col min="12097" max="12097" width="5.85546875" bestFit="1" customWidth="1"/>
    <col min="12098" max="12098" width="10.42578125" bestFit="1" customWidth="1"/>
    <col min="12099" max="12099" width="8.7109375" bestFit="1" customWidth="1"/>
    <col min="12100" max="12100" width="2.7109375" customWidth="1"/>
    <col min="12101" max="12101" width="5.85546875" bestFit="1" customWidth="1"/>
    <col min="12102" max="12102" width="12.7109375" bestFit="1" customWidth="1"/>
    <col min="12103" max="12103" width="11.5703125" bestFit="1" customWidth="1"/>
    <col min="12104" max="12104" width="2.7109375" customWidth="1"/>
    <col min="12105" max="12105" width="12.7109375" bestFit="1" customWidth="1"/>
    <col min="12107" max="12107" width="21.7109375" bestFit="1" customWidth="1"/>
    <col min="12109" max="12109" width="10.7109375" customWidth="1"/>
    <col min="12110" max="12110" width="10" bestFit="1" customWidth="1"/>
    <col min="12320" max="12320" width="6.42578125" bestFit="1" customWidth="1"/>
    <col min="12321" max="12321" width="6" bestFit="1" customWidth="1"/>
    <col min="12322" max="12322" width="2.7109375" customWidth="1"/>
    <col min="12323" max="12324" width="10.42578125" customWidth="1"/>
    <col min="12325" max="12325" width="2.5703125" customWidth="1"/>
    <col min="12326" max="12327" width="10.5703125" customWidth="1"/>
    <col min="12328" max="12328" width="2.5703125" customWidth="1"/>
    <col min="12329" max="12330" width="10.5703125" customWidth="1"/>
    <col min="12331" max="12331" width="2.5703125" customWidth="1"/>
    <col min="12332" max="12332" width="12.140625" bestFit="1" customWidth="1"/>
    <col min="12333" max="12333" width="10.5703125" customWidth="1"/>
    <col min="12334" max="12334" width="2.5703125" customWidth="1"/>
    <col min="12335" max="12336" width="10.5703125" customWidth="1"/>
    <col min="12337" max="12337" width="2.7109375" customWidth="1"/>
    <col min="12338" max="12339" width="9.28515625" bestFit="1" customWidth="1"/>
    <col min="12340" max="12340" width="2.7109375" customWidth="1"/>
    <col min="12341" max="12342" width="10.42578125" bestFit="1" customWidth="1"/>
    <col min="12343" max="12343" width="2.5703125" customWidth="1"/>
    <col min="12344" max="12345" width="10.42578125" customWidth="1"/>
    <col min="12346" max="12346" width="2.5703125" customWidth="1"/>
    <col min="12347" max="12348" width="10.42578125" customWidth="1"/>
    <col min="12349" max="12349" width="2.7109375" customWidth="1"/>
    <col min="12350" max="12350" width="11.5703125" bestFit="1" customWidth="1"/>
    <col min="12351" max="12351" width="10.42578125" bestFit="1" customWidth="1"/>
    <col min="12352" max="12352" width="6.42578125" bestFit="1" customWidth="1"/>
    <col min="12353" max="12353" width="5.85546875" bestFit="1" customWidth="1"/>
    <col min="12354" max="12354" width="10.42578125" bestFit="1" customWidth="1"/>
    <col min="12355" max="12355" width="8.7109375" bestFit="1" customWidth="1"/>
    <col min="12356" max="12356" width="2.7109375" customWidth="1"/>
    <col min="12357" max="12357" width="5.85546875" bestFit="1" customWidth="1"/>
    <col min="12358" max="12358" width="12.7109375" bestFit="1" customWidth="1"/>
    <col min="12359" max="12359" width="11.5703125" bestFit="1" customWidth="1"/>
    <col min="12360" max="12360" width="2.7109375" customWidth="1"/>
    <col min="12361" max="12361" width="12.7109375" bestFit="1" customWidth="1"/>
    <col min="12363" max="12363" width="21.7109375" bestFit="1" customWidth="1"/>
    <col min="12365" max="12365" width="10.7109375" customWidth="1"/>
    <col min="12366" max="12366" width="10" bestFit="1" customWidth="1"/>
    <col min="12576" max="12576" width="6.42578125" bestFit="1" customWidth="1"/>
    <col min="12577" max="12577" width="6" bestFit="1" customWidth="1"/>
    <col min="12578" max="12578" width="2.7109375" customWidth="1"/>
    <col min="12579" max="12580" width="10.42578125" customWidth="1"/>
    <col min="12581" max="12581" width="2.5703125" customWidth="1"/>
    <col min="12582" max="12583" width="10.5703125" customWidth="1"/>
    <col min="12584" max="12584" width="2.5703125" customWidth="1"/>
    <col min="12585" max="12586" width="10.5703125" customWidth="1"/>
    <col min="12587" max="12587" width="2.5703125" customWidth="1"/>
    <col min="12588" max="12588" width="12.140625" bestFit="1" customWidth="1"/>
    <col min="12589" max="12589" width="10.5703125" customWidth="1"/>
    <col min="12590" max="12590" width="2.5703125" customWidth="1"/>
    <col min="12591" max="12592" width="10.5703125" customWidth="1"/>
    <col min="12593" max="12593" width="2.7109375" customWidth="1"/>
    <col min="12594" max="12595" width="9.28515625" bestFit="1" customWidth="1"/>
    <col min="12596" max="12596" width="2.7109375" customWidth="1"/>
    <col min="12597" max="12598" width="10.42578125" bestFit="1" customWidth="1"/>
    <col min="12599" max="12599" width="2.5703125" customWidth="1"/>
    <col min="12600" max="12601" width="10.42578125" customWidth="1"/>
    <col min="12602" max="12602" width="2.5703125" customWidth="1"/>
    <col min="12603" max="12604" width="10.42578125" customWidth="1"/>
    <col min="12605" max="12605" width="2.7109375" customWidth="1"/>
    <col min="12606" max="12606" width="11.5703125" bestFit="1" customWidth="1"/>
    <col min="12607" max="12607" width="10.42578125" bestFit="1" customWidth="1"/>
    <col min="12608" max="12608" width="6.42578125" bestFit="1" customWidth="1"/>
    <col min="12609" max="12609" width="5.85546875" bestFit="1" customWidth="1"/>
    <col min="12610" max="12610" width="10.42578125" bestFit="1" customWidth="1"/>
    <col min="12611" max="12611" width="8.7109375" bestFit="1" customWidth="1"/>
    <col min="12612" max="12612" width="2.7109375" customWidth="1"/>
    <col min="12613" max="12613" width="5.85546875" bestFit="1" customWidth="1"/>
    <col min="12614" max="12614" width="12.7109375" bestFit="1" customWidth="1"/>
    <col min="12615" max="12615" width="11.5703125" bestFit="1" customWidth="1"/>
    <col min="12616" max="12616" width="2.7109375" customWidth="1"/>
    <col min="12617" max="12617" width="12.7109375" bestFit="1" customWidth="1"/>
    <col min="12619" max="12619" width="21.7109375" bestFit="1" customWidth="1"/>
    <col min="12621" max="12621" width="10.7109375" customWidth="1"/>
    <col min="12622" max="12622" width="10" bestFit="1" customWidth="1"/>
    <col min="12832" max="12832" width="6.42578125" bestFit="1" customWidth="1"/>
    <col min="12833" max="12833" width="6" bestFit="1" customWidth="1"/>
    <col min="12834" max="12834" width="2.7109375" customWidth="1"/>
    <col min="12835" max="12836" width="10.42578125" customWidth="1"/>
    <col min="12837" max="12837" width="2.5703125" customWidth="1"/>
    <col min="12838" max="12839" width="10.5703125" customWidth="1"/>
    <col min="12840" max="12840" width="2.5703125" customWidth="1"/>
    <col min="12841" max="12842" width="10.5703125" customWidth="1"/>
    <col min="12843" max="12843" width="2.5703125" customWidth="1"/>
    <col min="12844" max="12844" width="12.140625" bestFit="1" customWidth="1"/>
    <col min="12845" max="12845" width="10.5703125" customWidth="1"/>
    <col min="12846" max="12846" width="2.5703125" customWidth="1"/>
    <col min="12847" max="12848" width="10.5703125" customWidth="1"/>
    <col min="12849" max="12849" width="2.7109375" customWidth="1"/>
    <col min="12850" max="12851" width="9.28515625" bestFit="1" customWidth="1"/>
    <col min="12852" max="12852" width="2.7109375" customWidth="1"/>
    <col min="12853" max="12854" width="10.42578125" bestFit="1" customWidth="1"/>
    <col min="12855" max="12855" width="2.5703125" customWidth="1"/>
    <col min="12856" max="12857" width="10.42578125" customWidth="1"/>
    <col min="12858" max="12858" width="2.5703125" customWidth="1"/>
    <col min="12859" max="12860" width="10.42578125" customWidth="1"/>
    <col min="12861" max="12861" width="2.7109375" customWidth="1"/>
    <col min="12862" max="12862" width="11.5703125" bestFit="1" customWidth="1"/>
    <col min="12863" max="12863" width="10.42578125" bestFit="1" customWidth="1"/>
    <col min="12864" max="12864" width="6.42578125" bestFit="1" customWidth="1"/>
    <col min="12865" max="12865" width="5.85546875" bestFit="1" customWidth="1"/>
    <col min="12866" max="12866" width="10.42578125" bestFit="1" customWidth="1"/>
    <col min="12867" max="12867" width="8.7109375" bestFit="1" customWidth="1"/>
    <col min="12868" max="12868" width="2.7109375" customWidth="1"/>
    <col min="12869" max="12869" width="5.85546875" bestFit="1" customWidth="1"/>
    <col min="12870" max="12870" width="12.7109375" bestFit="1" customWidth="1"/>
    <col min="12871" max="12871" width="11.5703125" bestFit="1" customWidth="1"/>
    <col min="12872" max="12872" width="2.7109375" customWidth="1"/>
    <col min="12873" max="12873" width="12.7109375" bestFit="1" customWidth="1"/>
    <col min="12875" max="12875" width="21.7109375" bestFit="1" customWidth="1"/>
    <col min="12877" max="12877" width="10.7109375" customWidth="1"/>
    <col min="12878" max="12878" width="10" bestFit="1" customWidth="1"/>
    <col min="13088" max="13088" width="6.42578125" bestFit="1" customWidth="1"/>
    <col min="13089" max="13089" width="6" bestFit="1" customWidth="1"/>
    <col min="13090" max="13090" width="2.7109375" customWidth="1"/>
    <col min="13091" max="13092" width="10.42578125" customWidth="1"/>
    <col min="13093" max="13093" width="2.5703125" customWidth="1"/>
    <col min="13094" max="13095" width="10.5703125" customWidth="1"/>
    <col min="13096" max="13096" width="2.5703125" customWidth="1"/>
    <col min="13097" max="13098" width="10.5703125" customWidth="1"/>
    <col min="13099" max="13099" width="2.5703125" customWidth="1"/>
    <col min="13100" max="13100" width="12.140625" bestFit="1" customWidth="1"/>
    <col min="13101" max="13101" width="10.5703125" customWidth="1"/>
    <col min="13102" max="13102" width="2.5703125" customWidth="1"/>
    <col min="13103" max="13104" width="10.5703125" customWidth="1"/>
    <col min="13105" max="13105" width="2.7109375" customWidth="1"/>
    <col min="13106" max="13107" width="9.28515625" bestFit="1" customWidth="1"/>
    <col min="13108" max="13108" width="2.7109375" customWidth="1"/>
    <col min="13109" max="13110" width="10.42578125" bestFit="1" customWidth="1"/>
    <col min="13111" max="13111" width="2.5703125" customWidth="1"/>
    <col min="13112" max="13113" width="10.42578125" customWidth="1"/>
    <col min="13114" max="13114" width="2.5703125" customWidth="1"/>
    <col min="13115" max="13116" width="10.42578125" customWidth="1"/>
    <col min="13117" max="13117" width="2.7109375" customWidth="1"/>
    <col min="13118" max="13118" width="11.5703125" bestFit="1" customWidth="1"/>
    <col min="13119" max="13119" width="10.42578125" bestFit="1" customWidth="1"/>
    <col min="13120" max="13120" width="6.42578125" bestFit="1" customWidth="1"/>
    <col min="13121" max="13121" width="5.85546875" bestFit="1" customWidth="1"/>
    <col min="13122" max="13122" width="10.42578125" bestFit="1" customWidth="1"/>
    <col min="13123" max="13123" width="8.7109375" bestFit="1" customWidth="1"/>
    <col min="13124" max="13124" width="2.7109375" customWidth="1"/>
    <col min="13125" max="13125" width="5.85546875" bestFit="1" customWidth="1"/>
    <col min="13126" max="13126" width="12.7109375" bestFit="1" customWidth="1"/>
    <col min="13127" max="13127" width="11.5703125" bestFit="1" customWidth="1"/>
    <col min="13128" max="13128" width="2.7109375" customWidth="1"/>
    <col min="13129" max="13129" width="12.7109375" bestFit="1" customWidth="1"/>
    <col min="13131" max="13131" width="21.7109375" bestFit="1" customWidth="1"/>
    <col min="13133" max="13133" width="10.7109375" customWidth="1"/>
    <col min="13134" max="13134" width="10" bestFit="1" customWidth="1"/>
    <col min="13344" max="13344" width="6.42578125" bestFit="1" customWidth="1"/>
    <col min="13345" max="13345" width="6" bestFit="1" customWidth="1"/>
    <col min="13346" max="13346" width="2.7109375" customWidth="1"/>
    <col min="13347" max="13348" width="10.42578125" customWidth="1"/>
    <col min="13349" max="13349" width="2.5703125" customWidth="1"/>
    <col min="13350" max="13351" width="10.5703125" customWidth="1"/>
    <col min="13352" max="13352" width="2.5703125" customWidth="1"/>
    <col min="13353" max="13354" width="10.5703125" customWidth="1"/>
    <col min="13355" max="13355" width="2.5703125" customWidth="1"/>
    <col min="13356" max="13356" width="12.140625" bestFit="1" customWidth="1"/>
    <col min="13357" max="13357" width="10.5703125" customWidth="1"/>
    <col min="13358" max="13358" width="2.5703125" customWidth="1"/>
    <col min="13359" max="13360" width="10.5703125" customWidth="1"/>
    <col min="13361" max="13361" width="2.7109375" customWidth="1"/>
    <col min="13362" max="13363" width="9.28515625" bestFit="1" customWidth="1"/>
    <col min="13364" max="13364" width="2.7109375" customWidth="1"/>
    <col min="13365" max="13366" width="10.42578125" bestFit="1" customWidth="1"/>
    <col min="13367" max="13367" width="2.5703125" customWidth="1"/>
    <col min="13368" max="13369" width="10.42578125" customWidth="1"/>
    <col min="13370" max="13370" width="2.5703125" customWidth="1"/>
    <col min="13371" max="13372" width="10.42578125" customWidth="1"/>
    <col min="13373" max="13373" width="2.7109375" customWidth="1"/>
    <col min="13374" max="13374" width="11.5703125" bestFit="1" customWidth="1"/>
    <col min="13375" max="13375" width="10.42578125" bestFit="1" customWidth="1"/>
    <col min="13376" max="13376" width="6.42578125" bestFit="1" customWidth="1"/>
    <col min="13377" max="13377" width="5.85546875" bestFit="1" customWidth="1"/>
    <col min="13378" max="13378" width="10.42578125" bestFit="1" customWidth="1"/>
    <col min="13379" max="13379" width="8.7109375" bestFit="1" customWidth="1"/>
    <col min="13380" max="13380" width="2.7109375" customWidth="1"/>
    <col min="13381" max="13381" width="5.85546875" bestFit="1" customWidth="1"/>
    <col min="13382" max="13382" width="12.7109375" bestFit="1" customWidth="1"/>
    <col min="13383" max="13383" width="11.5703125" bestFit="1" customWidth="1"/>
    <col min="13384" max="13384" width="2.7109375" customWidth="1"/>
    <col min="13385" max="13385" width="12.7109375" bestFit="1" customWidth="1"/>
    <col min="13387" max="13387" width="21.7109375" bestFit="1" customWidth="1"/>
    <col min="13389" max="13389" width="10.7109375" customWidth="1"/>
    <col min="13390" max="13390" width="10" bestFit="1" customWidth="1"/>
    <col min="13600" max="13600" width="6.42578125" bestFit="1" customWidth="1"/>
    <col min="13601" max="13601" width="6" bestFit="1" customWidth="1"/>
    <col min="13602" max="13602" width="2.7109375" customWidth="1"/>
    <col min="13603" max="13604" width="10.42578125" customWidth="1"/>
    <col min="13605" max="13605" width="2.5703125" customWidth="1"/>
    <col min="13606" max="13607" width="10.5703125" customWidth="1"/>
    <col min="13608" max="13608" width="2.5703125" customWidth="1"/>
    <col min="13609" max="13610" width="10.5703125" customWidth="1"/>
    <col min="13611" max="13611" width="2.5703125" customWidth="1"/>
    <col min="13612" max="13612" width="12.140625" bestFit="1" customWidth="1"/>
    <col min="13613" max="13613" width="10.5703125" customWidth="1"/>
    <col min="13614" max="13614" width="2.5703125" customWidth="1"/>
    <col min="13615" max="13616" width="10.5703125" customWidth="1"/>
    <col min="13617" max="13617" width="2.7109375" customWidth="1"/>
    <col min="13618" max="13619" width="9.28515625" bestFit="1" customWidth="1"/>
    <col min="13620" max="13620" width="2.7109375" customWidth="1"/>
    <col min="13621" max="13622" width="10.42578125" bestFit="1" customWidth="1"/>
    <col min="13623" max="13623" width="2.5703125" customWidth="1"/>
    <col min="13624" max="13625" width="10.42578125" customWidth="1"/>
    <col min="13626" max="13626" width="2.5703125" customWidth="1"/>
    <col min="13627" max="13628" width="10.42578125" customWidth="1"/>
    <col min="13629" max="13629" width="2.7109375" customWidth="1"/>
    <col min="13630" max="13630" width="11.5703125" bestFit="1" customWidth="1"/>
    <col min="13631" max="13631" width="10.42578125" bestFit="1" customWidth="1"/>
    <col min="13632" max="13632" width="6.42578125" bestFit="1" customWidth="1"/>
    <col min="13633" max="13633" width="5.85546875" bestFit="1" customWidth="1"/>
    <col min="13634" max="13634" width="10.42578125" bestFit="1" customWidth="1"/>
    <col min="13635" max="13635" width="8.7109375" bestFit="1" customWidth="1"/>
    <col min="13636" max="13636" width="2.7109375" customWidth="1"/>
    <col min="13637" max="13637" width="5.85546875" bestFit="1" customWidth="1"/>
    <col min="13638" max="13638" width="12.7109375" bestFit="1" customWidth="1"/>
    <col min="13639" max="13639" width="11.5703125" bestFit="1" customWidth="1"/>
    <col min="13640" max="13640" width="2.7109375" customWidth="1"/>
    <col min="13641" max="13641" width="12.7109375" bestFit="1" customWidth="1"/>
    <col min="13643" max="13643" width="21.7109375" bestFit="1" customWidth="1"/>
    <col min="13645" max="13645" width="10.7109375" customWidth="1"/>
    <col min="13646" max="13646" width="10" bestFit="1" customWidth="1"/>
    <col min="13856" max="13856" width="6.42578125" bestFit="1" customWidth="1"/>
    <col min="13857" max="13857" width="6" bestFit="1" customWidth="1"/>
    <col min="13858" max="13858" width="2.7109375" customWidth="1"/>
    <col min="13859" max="13860" width="10.42578125" customWidth="1"/>
    <col min="13861" max="13861" width="2.5703125" customWidth="1"/>
    <col min="13862" max="13863" width="10.5703125" customWidth="1"/>
    <col min="13864" max="13864" width="2.5703125" customWidth="1"/>
    <col min="13865" max="13866" width="10.5703125" customWidth="1"/>
    <col min="13867" max="13867" width="2.5703125" customWidth="1"/>
    <col min="13868" max="13868" width="12.140625" bestFit="1" customWidth="1"/>
    <col min="13869" max="13869" width="10.5703125" customWidth="1"/>
    <col min="13870" max="13870" width="2.5703125" customWidth="1"/>
    <col min="13871" max="13872" width="10.5703125" customWidth="1"/>
    <col min="13873" max="13873" width="2.7109375" customWidth="1"/>
    <col min="13874" max="13875" width="9.28515625" bestFit="1" customWidth="1"/>
    <col min="13876" max="13876" width="2.7109375" customWidth="1"/>
    <col min="13877" max="13878" width="10.42578125" bestFit="1" customWidth="1"/>
    <col min="13879" max="13879" width="2.5703125" customWidth="1"/>
    <col min="13880" max="13881" width="10.42578125" customWidth="1"/>
    <col min="13882" max="13882" width="2.5703125" customWidth="1"/>
    <col min="13883" max="13884" width="10.42578125" customWidth="1"/>
    <col min="13885" max="13885" width="2.7109375" customWidth="1"/>
    <col min="13886" max="13886" width="11.5703125" bestFit="1" customWidth="1"/>
    <col min="13887" max="13887" width="10.42578125" bestFit="1" customWidth="1"/>
    <col min="13888" max="13888" width="6.42578125" bestFit="1" customWidth="1"/>
    <col min="13889" max="13889" width="5.85546875" bestFit="1" customWidth="1"/>
    <col min="13890" max="13890" width="10.42578125" bestFit="1" customWidth="1"/>
    <col min="13891" max="13891" width="8.7109375" bestFit="1" customWidth="1"/>
    <col min="13892" max="13892" width="2.7109375" customWidth="1"/>
    <col min="13893" max="13893" width="5.85546875" bestFit="1" customWidth="1"/>
    <col min="13894" max="13894" width="12.7109375" bestFit="1" customWidth="1"/>
    <col min="13895" max="13895" width="11.5703125" bestFit="1" customWidth="1"/>
    <col min="13896" max="13896" width="2.7109375" customWidth="1"/>
    <col min="13897" max="13897" width="12.7109375" bestFit="1" customWidth="1"/>
    <col min="13899" max="13899" width="21.7109375" bestFit="1" customWidth="1"/>
    <col min="13901" max="13901" width="10.7109375" customWidth="1"/>
    <col min="13902" max="13902" width="10" bestFit="1" customWidth="1"/>
    <col min="14112" max="14112" width="6.42578125" bestFit="1" customWidth="1"/>
    <col min="14113" max="14113" width="6" bestFit="1" customWidth="1"/>
    <col min="14114" max="14114" width="2.7109375" customWidth="1"/>
    <col min="14115" max="14116" width="10.42578125" customWidth="1"/>
    <col min="14117" max="14117" width="2.5703125" customWidth="1"/>
    <col min="14118" max="14119" width="10.5703125" customWidth="1"/>
    <col min="14120" max="14120" width="2.5703125" customWidth="1"/>
    <col min="14121" max="14122" width="10.5703125" customWidth="1"/>
    <col min="14123" max="14123" width="2.5703125" customWidth="1"/>
    <col min="14124" max="14124" width="12.140625" bestFit="1" customWidth="1"/>
    <col min="14125" max="14125" width="10.5703125" customWidth="1"/>
    <col min="14126" max="14126" width="2.5703125" customWidth="1"/>
    <col min="14127" max="14128" width="10.5703125" customWidth="1"/>
    <col min="14129" max="14129" width="2.7109375" customWidth="1"/>
    <col min="14130" max="14131" width="9.28515625" bestFit="1" customWidth="1"/>
    <col min="14132" max="14132" width="2.7109375" customWidth="1"/>
    <col min="14133" max="14134" width="10.42578125" bestFit="1" customWidth="1"/>
    <col min="14135" max="14135" width="2.5703125" customWidth="1"/>
    <col min="14136" max="14137" width="10.42578125" customWidth="1"/>
    <col min="14138" max="14138" width="2.5703125" customWidth="1"/>
    <col min="14139" max="14140" width="10.42578125" customWidth="1"/>
    <col min="14141" max="14141" width="2.7109375" customWidth="1"/>
    <col min="14142" max="14142" width="11.5703125" bestFit="1" customWidth="1"/>
    <col min="14143" max="14143" width="10.42578125" bestFit="1" customWidth="1"/>
    <col min="14144" max="14144" width="6.42578125" bestFit="1" customWidth="1"/>
    <col min="14145" max="14145" width="5.85546875" bestFit="1" customWidth="1"/>
    <col min="14146" max="14146" width="10.42578125" bestFit="1" customWidth="1"/>
    <col min="14147" max="14147" width="8.7109375" bestFit="1" customWidth="1"/>
    <col min="14148" max="14148" width="2.7109375" customWidth="1"/>
    <col min="14149" max="14149" width="5.85546875" bestFit="1" customWidth="1"/>
    <col min="14150" max="14150" width="12.7109375" bestFit="1" customWidth="1"/>
    <col min="14151" max="14151" width="11.5703125" bestFit="1" customWidth="1"/>
    <col min="14152" max="14152" width="2.7109375" customWidth="1"/>
    <col min="14153" max="14153" width="12.7109375" bestFit="1" customWidth="1"/>
    <col min="14155" max="14155" width="21.7109375" bestFit="1" customWidth="1"/>
    <col min="14157" max="14157" width="10.7109375" customWidth="1"/>
    <col min="14158" max="14158" width="10" bestFit="1" customWidth="1"/>
    <col min="14368" max="14368" width="6.42578125" bestFit="1" customWidth="1"/>
    <col min="14369" max="14369" width="6" bestFit="1" customWidth="1"/>
    <col min="14370" max="14370" width="2.7109375" customWidth="1"/>
    <col min="14371" max="14372" width="10.42578125" customWidth="1"/>
    <col min="14373" max="14373" width="2.5703125" customWidth="1"/>
    <col min="14374" max="14375" width="10.5703125" customWidth="1"/>
    <col min="14376" max="14376" width="2.5703125" customWidth="1"/>
    <col min="14377" max="14378" width="10.5703125" customWidth="1"/>
    <col min="14379" max="14379" width="2.5703125" customWidth="1"/>
    <col min="14380" max="14380" width="12.140625" bestFit="1" customWidth="1"/>
    <col min="14381" max="14381" width="10.5703125" customWidth="1"/>
    <col min="14382" max="14382" width="2.5703125" customWidth="1"/>
    <col min="14383" max="14384" width="10.5703125" customWidth="1"/>
    <col min="14385" max="14385" width="2.7109375" customWidth="1"/>
    <col min="14386" max="14387" width="9.28515625" bestFit="1" customWidth="1"/>
    <col min="14388" max="14388" width="2.7109375" customWidth="1"/>
    <col min="14389" max="14390" width="10.42578125" bestFit="1" customWidth="1"/>
    <col min="14391" max="14391" width="2.5703125" customWidth="1"/>
    <col min="14392" max="14393" width="10.42578125" customWidth="1"/>
    <col min="14394" max="14394" width="2.5703125" customWidth="1"/>
    <col min="14395" max="14396" width="10.42578125" customWidth="1"/>
    <col min="14397" max="14397" width="2.7109375" customWidth="1"/>
    <col min="14398" max="14398" width="11.5703125" bestFit="1" customWidth="1"/>
    <col min="14399" max="14399" width="10.42578125" bestFit="1" customWidth="1"/>
    <col min="14400" max="14400" width="6.42578125" bestFit="1" customWidth="1"/>
    <col min="14401" max="14401" width="5.85546875" bestFit="1" customWidth="1"/>
    <col min="14402" max="14402" width="10.42578125" bestFit="1" customWidth="1"/>
    <col min="14403" max="14403" width="8.7109375" bestFit="1" customWidth="1"/>
    <col min="14404" max="14404" width="2.7109375" customWidth="1"/>
    <col min="14405" max="14405" width="5.85546875" bestFit="1" customWidth="1"/>
    <col min="14406" max="14406" width="12.7109375" bestFit="1" customWidth="1"/>
    <col min="14407" max="14407" width="11.5703125" bestFit="1" customWidth="1"/>
    <col min="14408" max="14408" width="2.7109375" customWidth="1"/>
    <col min="14409" max="14409" width="12.7109375" bestFit="1" customWidth="1"/>
    <col min="14411" max="14411" width="21.7109375" bestFit="1" customWidth="1"/>
    <col min="14413" max="14413" width="10.7109375" customWidth="1"/>
    <col min="14414" max="14414" width="10" bestFit="1" customWidth="1"/>
    <col min="14624" max="14624" width="6.42578125" bestFit="1" customWidth="1"/>
    <col min="14625" max="14625" width="6" bestFit="1" customWidth="1"/>
    <col min="14626" max="14626" width="2.7109375" customWidth="1"/>
    <col min="14627" max="14628" width="10.42578125" customWidth="1"/>
    <col min="14629" max="14629" width="2.5703125" customWidth="1"/>
    <col min="14630" max="14631" width="10.5703125" customWidth="1"/>
    <col min="14632" max="14632" width="2.5703125" customWidth="1"/>
    <col min="14633" max="14634" width="10.5703125" customWidth="1"/>
    <col min="14635" max="14635" width="2.5703125" customWidth="1"/>
    <col min="14636" max="14636" width="12.140625" bestFit="1" customWidth="1"/>
    <col min="14637" max="14637" width="10.5703125" customWidth="1"/>
    <col min="14638" max="14638" width="2.5703125" customWidth="1"/>
    <col min="14639" max="14640" width="10.5703125" customWidth="1"/>
    <col min="14641" max="14641" width="2.7109375" customWidth="1"/>
    <col min="14642" max="14643" width="9.28515625" bestFit="1" customWidth="1"/>
    <col min="14644" max="14644" width="2.7109375" customWidth="1"/>
    <col min="14645" max="14646" width="10.42578125" bestFit="1" customWidth="1"/>
    <col min="14647" max="14647" width="2.5703125" customWidth="1"/>
    <col min="14648" max="14649" width="10.42578125" customWidth="1"/>
    <col min="14650" max="14650" width="2.5703125" customWidth="1"/>
    <col min="14651" max="14652" width="10.42578125" customWidth="1"/>
    <col min="14653" max="14653" width="2.7109375" customWidth="1"/>
    <col min="14654" max="14654" width="11.5703125" bestFit="1" customWidth="1"/>
    <col min="14655" max="14655" width="10.42578125" bestFit="1" customWidth="1"/>
    <col min="14656" max="14656" width="6.42578125" bestFit="1" customWidth="1"/>
    <col min="14657" max="14657" width="5.85546875" bestFit="1" customWidth="1"/>
    <col min="14658" max="14658" width="10.42578125" bestFit="1" customWidth="1"/>
    <col min="14659" max="14659" width="8.7109375" bestFit="1" customWidth="1"/>
    <col min="14660" max="14660" width="2.7109375" customWidth="1"/>
    <col min="14661" max="14661" width="5.85546875" bestFit="1" customWidth="1"/>
    <col min="14662" max="14662" width="12.7109375" bestFit="1" customWidth="1"/>
    <col min="14663" max="14663" width="11.5703125" bestFit="1" customWidth="1"/>
    <col min="14664" max="14664" width="2.7109375" customWidth="1"/>
    <col min="14665" max="14665" width="12.7109375" bestFit="1" customWidth="1"/>
    <col min="14667" max="14667" width="21.7109375" bestFit="1" customWidth="1"/>
    <col min="14669" max="14669" width="10.7109375" customWidth="1"/>
    <col min="14670" max="14670" width="10" bestFit="1" customWidth="1"/>
    <col min="14880" max="14880" width="6.42578125" bestFit="1" customWidth="1"/>
    <col min="14881" max="14881" width="6" bestFit="1" customWidth="1"/>
    <col min="14882" max="14882" width="2.7109375" customWidth="1"/>
    <col min="14883" max="14884" width="10.42578125" customWidth="1"/>
    <col min="14885" max="14885" width="2.5703125" customWidth="1"/>
    <col min="14886" max="14887" width="10.5703125" customWidth="1"/>
    <col min="14888" max="14888" width="2.5703125" customWidth="1"/>
    <col min="14889" max="14890" width="10.5703125" customWidth="1"/>
    <col min="14891" max="14891" width="2.5703125" customWidth="1"/>
    <col min="14892" max="14892" width="12.140625" bestFit="1" customWidth="1"/>
    <col min="14893" max="14893" width="10.5703125" customWidth="1"/>
    <col min="14894" max="14894" width="2.5703125" customWidth="1"/>
    <col min="14895" max="14896" width="10.5703125" customWidth="1"/>
    <col min="14897" max="14897" width="2.7109375" customWidth="1"/>
    <col min="14898" max="14899" width="9.28515625" bestFit="1" customWidth="1"/>
    <col min="14900" max="14900" width="2.7109375" customWidth="1"/>
    <col min="14901" max="14902" width="10.42578125" bestFit="1" customWidth="1"/>
    <col min="14903" max="14903" width="2.5703125" customWidth="1"/>
    <col min="14904" max="14905" width="10.42578125" customWidth="1"/>
    <col min="14906" max="14906" width="2.5703125" customWidth="1"/>
    <col min="14907" max="14908" width="10.42578125" customWidth="1"/>
    <col min="14909" max="14909" width="2.7109375" customWidth="1"/>
    <col min="14910" max="14910" width="11.5703125" bestFit="1" customWidth="1"/>
    <col min="14911" max="14911" width="10.42578125" bestFit="1" customWidth="1"/>
    <col min="14912" max="14912" width="6.42578125" bestFit="1" customWidth="1"/>
    <col min="14913" max="14913" width="5.85546875" bestFit="1" customWidth="1"/>
    <col min="14914" max="14914" width="10.42578125" bestFit="1" customWidth="1"/>
    <col min="14915" max="14915" width="8.7109375" bestFit="1" customWidth="1"/>
    <col min="14916" max="14916" width="2.7109375" customWidth="1"/>
    <col min="14917" max="14917" width="5.85546875" bestFit="1" customWidth="1"/>
    <col min="14918" max="14918" width="12.7109375" bestFit="1" customWidth="1"/>
    <col min="14919" max="14919" width="11.5703125" bestFit="1" customWidth="1"/>
    <col min="14920" max="14920" width="2.7109375" customWidth="1"/>
    <col min="14921" max="14921" width="12.7109375" bestFit="1" customWidth="1"/>
    <col min="14923" max="14923" width="21.7109375" bestFit="1" customWidth="1"/>
    <col min="14925" max="14925" width="10.7109375" customWidth="1"/>
    <col min="14926" max="14926" width="10" bestFit="1" customWidth="1"/>
    <col min="15136" max="15136" width="6.42578125" bestFit="1" customWidth="1"/>
    <col min="15137" max="15137" width="6" bestFit="1" customWidth="1"/>
    <col min="15138" max="15138" width="2.7109375" customWidth="1"/>
    <col min="15139" max="15140" width="10.42578125" customWidth="1"/>
    <col min="15141" max="15141" width="2.5703125" customWidth="1"/>
    <col min="15142" max="15143" width="10.5703125" customWidth="1"/>
    <col min="15144" max="15144" width="2.5703125" customWidth="1"/>
    <col min="15145" max="15146" width="10.5703125" customWidth="1"/>
    <col min="15147" max="15147" width="2.5703125" customWidth="1"/>
    <col min="15148" max="15148" width="12.140625" bestFit="1" customWidth="1"/>
    <col min="15149" max="15149" width="10.5703125" customWidth="1"/>
    <col min="15150" max="15150" width="2.5703125" customWidth="1"/>
    <col min="15151" max="15152" width="10.5703125" customWidth="1"/>
    <col min="15153" max="15153" width="2.7109375" customWidth="1"/>
    <col min="15154" max="15155" width="9.28515625" bestFit="1" customWidth="1"/>
    <col min="15156" max="15156" width="2.7109375" customWidth="1"/>
    <col min="15157" max="15158" width="10.42578125" bestFit="1" customWidth="1"/>
    <col min="15159" max="15159" width="2.5703125" customWidth="1"/>
    <col min="15160" max="15161" width="10.42578125" customWidth="1"/>
    <col min="15162" max="15162" width="2.5703125" customWidth="1"/>
    <col min="15163" max="15164" width="10.42578125" customWidth="1"/>
    <col min="15165" max="15165" width="2.7109375" customWidth="1"/>
    <col min="15166" max="15166" width="11.5703125" bestFit="1" customWidth="1"/>
    <col min="15167" max="15167" width="10.42578125" bestFit="1" customWidth="1"/>
    <col min="15168" max="15168" width="6.42578125" bestFit="1" customWidth="1"/>
    <col min="15169" max="15169" width="5.85546875" bestFit="1" customWidth="1"/>
    <col min="15170" max="15170" width="10.42578125" bestFit="1" customWidth="1"/>
    <col min="15171" max="15171" width="8.7109375" bestFit="1" customWidth="1"/>
    <col min="15172" max="15172" width="2.7109375" customWidth="1"/>
    <col min="15173" max="15173" width="5.85546875" bestFit="1" customWidth="1"/>
    <col min="15174" max="15174" width="12.7109375" bestFit="1" customWidth="1"/>
    <col min="15175" max="15175" width="11.5703125" bestFit="1" customWidth="1"/>
    <col min="15176" max="15176" width="2.7109375" customWidth="1"/>
    <col min="15177" max="15177" width="12.7109375" bestFit="1" customWidth="1"/>
    <col min="15179" max="15179" width="21.7109375" bestFit="1" customWidth="1"/>
    <col min="15181" max="15181" width="10.7109375" customWidth="1"/>
    <col min="15182" max="15182" width="10" bestFit="1" customWidth="1"/>
    <col min="15392" max="15392" width="6.42578125" bestFit="1" customWidth="1"/>
    <col min="15393" max="15393" width="6" bestFit="1" customWidth="1"/>
    <col min="15394" max="15394" width="2.7109375" customWidth="1"/>
    <col min="15395" max="15396" width="10.42578125" customWidth="1"/>
    <col min="15397" max="15397" width="2.5703125" customWidth="1"/>
    <col min="15398" max="15399" width="10.5703125" customWidth="1"/>
    <col min="15400" max="15400" width="2.5703125" customWidth="1"/>
    <col min="15401" max="15402" width="10.5703125" customWidth="1"/>
    <col min="15403" max="15403" width="2.5703125" customWidth="1"/>
    <col min="15404" max="15404" width="12.140625" bestFit="1" customWidth="1"/>
    <col min="15405" max="15405" width="10.5703125" customWidth="1"/>
    <col min="15406" max="15406" width="2.5703125" customWidth="1"/>
    <col min="15407" max="15408" width="10.5703125" customWidth="1"/>
    <col min="15409" max="15409" width="2.7109375" customWidth="1"/>
    <col min="15410" max="15411" width="9.28515625" bestFit="1" customWidth="1"/>
    <col min="15412" max="15412" width="2.7109375" customWidth="1"/>
    <col min="15413" max="15414" width="10.42578125" bestFit="1" customWidth="1"/>
    <col min="15415" max="15415" width="2.5703125" customWidth="1"/>
    <col min="15416" max="15417" width="10.42578125" customWidth="1"/>
    <col min="15418" max="15418" width="2.5703125" customWidth="1"/>
    <col min="15419" max="15420" width="10.42578125" customWidth="1"/>
    <col min="15421" max="15421" width="2.7109375" customWidth="1"/>
    <col min="15422" max="15422" width="11.5703125" bestFit="1" customWidth="1"/>
    <col min="15423" max="15423" width="10.42578125" bestFit="1" customWidth="1"/>
    <col min="15424" max="15424" width="6.42578125" bestFit="1" customWidth="1"/>
    <col min="15425" max="15425" width="5.85546875" bestFit="1" customWidth="1"/>
    <col min="15426" max="15426" width="10.42578125" bestFit="1" customWidth="1"/>
    <col min="15427" max="15427" width="8.7109375" bestFit="1" customWidth="1"/>
    <col min="15428" max="15428" width="2.7109375" customWidth="1"/>
    <col min="15429" max="15429" width="5.85546875" bestFit="1" customWidth="1"/>
    <col min="15430" max="15430" width="12.7109375" bestFit="1" customWidth="1"/>
    <col min="15431" max="15431" width="11.5703125" bestFit="1" customWidth="1"/>
    <col min="15432" max="15432" width="2.7109375" customWidth="1"/>
    <col min="15433" max="15433" width="12.7109375" bestFit="1" customWidth="1"/>
    <col min="15435" max="15435" width="21.7109375" bestFit="1" customWidth="1"/>
    <col min="15437" max="15437" width="10.7109375" customWidth="1"/>
    <col min="15438" max="15438" width="10" bestFit="1" customWidth="1"/>
    <col min="15648" max="15648" width="6.42578125" bestFit="1" customWidth="1"/>
    <col min="15649" max="15649" width="6" bestFit="1" customWidth="1"/>
    <col min="15650" max="15650" width="2.7109375" customWidth="1"/>
    <col min="15651" max="15652" width="10.42578125" customWidth="1"/>
    <col min="15653" max="15653" width="2.5703125" customWidth="1"/>
    <col min="15654" max="15655" width="10.5703125" customWidth="1"/>
    <col min="15656" max="15656" width="2.5703125" customWidth="1"/>
    <col min="15657" max="15658" width="10.5703125" customWidth="1"/>
    <col min="15659" max="15659" width="2.5703125" customWidth="1"/>
    <col min="15660" max="15660" width="12.140625" bestFit="1" customWidth="1"/>
    <col min="15661" max="15661" width="10.5703125" customWidth="1"/>
    <col min="15662" max="15662" width="2.5703125" customWidth="1"/>
    <col min="15663" max="15664" width="10.5703125" customWidth="1"/>
    <col min="15665" max="15665" width="2.7109375" customWidth="1"/>
    <col min="15666" max="15667" width="9.28515625" bestFit="1" customWidth="1"/>
    <col min="15668" max="15668" width="2.7109375" customWidth="1"/>
    <col min="15669" max="15670" width="10.42578125" bestFit="1" customWidth="1"/>
    <col min="15671" max="15671" width="2.5703125" customWidth="1"/>
    <col min="15672" max="15673" width="10.42578125" customWidth="1"/>
    <col min="15674" max="15674" width="2.5703125" customWidth="1"/>
    <col min="15675" max="15676" width="10.42578125" customWidth="1"/>
    <col min="15677" max="15677" width="2.7109375" customWidth="1"/>
    <col min="15678" max="15678" width="11.5703125" bestFit="1" customWidth="1"/>
    <col min="15679" max="15679" width="10.42578125" bestFit="1" customWidth="1"/>
    <col min="15680" max="15680" width="6.42578125" bestFit="1" customWidth="1"/>
    <col min="15681" max="15681" width="5.85546875" bestFit="1" customWidth="1"/>
    <col min="15682" max="15682" width="10.42578125" bestFit="1" customWidth="1"/>
    <col min="15683" max="15683" width="8.7109375" bestFit="1" customWidth="1"/>
    <col min="15684" max="15684" width="2.7109375" customWidth="1"/>
    <col min="15685" max="15685" width="5.85546875" bestFit="1" customWidth="1"/>
    <col min="15686" max="15686" width="12.7109375" bestFit="1" customWidth="1"/>
    <col min="15687" max="15687" width="11.5703125" bestFit="1" customWidth="1"/>
    <col min="15688" max="15688" width="2.7109375" customWidth="1"/>
    <col min="15689" max="15689" width="12.7109375" bestFit="1" customWidth="1"/>
    <col min="15691" max="15691" width="21.7109375" bestFit="1" customWidth="1"/>
    <col min="15693" max="15693" width="10.7109375" customWidth="1"/>
    <col min="15694" max="15694" width="10" bestFit="1" customWidth="1"/>
    <col min="15904" max="15904" width="6.42578125" bestFit="1" customWidth="1"/>
    <col min="15905" max="15905" width="6" bestFit="1" customWidth="1"/>
    <col min="15906" max="15906" width="2.7109375" customWidth="1"/>
    <col min="15907" max="15908" width="10.42578125" customWidth="1"/>
    <col min="15909" max="15909" width="2.5703125" customWidth="1"/>
    <col min="15910" max="15911" width="10.5703125" customWidth="1"/>
    <col min="15912" max="15912" width="2.5703125" customWidth="1"/>
    <col min="15913" max="15914" width="10.5703125" customWidth="1"/>
    <col min="15915" max="15915" width="2.5703125" customWidth="1"/>
    <col min="15916" max="15916" width="12.140625" bestFit="1" customWidth="1"/>
    <col min="15917" max="15917" width="10.5703125" customWidth="1"/>
    <col min="15918" max="15918" width="2.5703125" customWidth="1"/>
    <col min="15919" max="15920" width="10.5703125" customWidth="1"/>
    <col min="15921" max="15921" width="2.7109375" customWidth="1"/>
    <col min="15922" max="15923" width="9.28515625" bestFit="1" customWidth="1"/>
    <col min="15924" max="15924" width="2.7109375" customWidth="1"/>
    <col min="15925" max="15926" width="10.42578125" bestFit="1" customWidth="1"/>
    <col min="15927" max="15927" width="2.5703125" customWidth="1"/>
    <col min="15928" max="15929" width="10.42578125" customWidth="1"/>
    <col min="15930" max="15930" width="2.5703125" customWidth="1"/>
    <col min="15931" max="15932" width="10.42578125" customWidth="1"/>
    <col min="15933" max="15933" width="2.7109375" customWidth="1"/>
    <col min="15934" max="15934" width="11.5703125" bestFit="1" customWidth="1"/>
    <col min="15935" max="15935" width="10.42578125" bestFit="1" customWidth="1"/>
    <col min="15936" max="15936" width="6.42578125" bestFit="1" customWidth="1"/>
    <col min="15937" max="15937" width="5.85546875" bestFit="1" customWidth="1"/>
    <col min="15938" max="15938" width="10.42578125" bestFit="1" customWidth="1"/>
    <col min="15939" max="15939" width="8.7109375" bestFit="1" customWidth="1"/>
    <col min="15940" max="15940" width="2.7109375" customWidth="1"/>
    <col min="15941" max="15941" width="5.85546875" bestFit="1" customWidth="1"/>
    <col min="15942" max="15942" width="12.7109375" bestFit="1" customWidth="1"/>
    <col min="15943" max="15943" width="11.5703125" bestFit="1" customWidth="1"/>
    <col min="15944" max="15944" width="2.7109375" customWidth="1"/>
    <col min="15945" max="15945" width="12.7109375" bestFit="1" customWidth="1"/>
    <col min="15947" max="15947" width="21.7109375" bestFit="1" customWidth="1"/>
    <col min="15949" max="15949" width="10.7109375" customWidth="1"/>
    <col min="15950" max="15950" width="10" bestFit="1" customWidth="1"/>
    <col min="16160" max="16160" width="6.42578125" bestFit="1" customWidth="1"/>
    <col min="16161" max="16161" width="6" bestFit="1" customWidth="1"/>
    <col min="16162" max="16162" width="2.7109375" customWidth="1"/>
    <col min="16163" max="16164" width="10.42578125" customWidth="1"/>
    <col min="16165" max="16165" width="2.5703125" customWidth="1"/>
    <col min="16166" max="16167" width="10.5703125" customWidth="1"/>
    <col min="16168" max="16168" width="2.5703125" customWidth="1"/>
    <col min="16169" max="16170" width="10.5703125" customWidth="1"/>
    <col min="16171" max="16171" width="2.5703125" customWidth="1"/>
    <col min="16172" max="16172" width="12.140625" bestFit="1" customWidth="1"/>
    <col min="16173" max="16173" width="10.5703125" customWidth="1"/>
    <col min="16174" max="16174" width="2.5703125" customWidth="1"/>
    <col min="16175" max="16176" width="10.5703125" customWidth="1"/>
    <col min="16177" max="16177" width="2.7109375" customWidth="1"/>
    <col min="16178" max="16179" width="9.28515625" bestFit="1" customWidth="1"/>
    <col min="16180" max="16180" width="2.7109375" customWidth="1"/>
    <col min="16181" max="16182" width="10.42578125" bestFit="1" customWidth="1"/>
    <col min="16183" max="16183" width="2.5703125" customWidth="1"/>
    <col min="16184" max="16185" width="10.42578125" customWidth="1"/>
    <col min="16186" max="16186" width="2.5703125" customWidth="1"/>
    <col min="16187" max="16188" width="10.42578125" customWidth="1"/>
    <col min="16189" max="16189" width="2.7109375" customWidth="1"/>
    <col min="16190" max="16190" width="11.5703125" bestFit="1" customWidth="1"/>
    <col min="16191" max="16191" width="10.42578125" bestFit="1" customWidth="1"/>
    <col min="16192" max="16192" width="6.42578125" bestFit="1" customWidth="1"/>
    <col min="16193" max="16193" width="5.85546875" bestFit="1" customWidth="1"/>
    <col min="16194" max="16194" width="10.42578125" bestFit="1" customWidth="1"/>
    <col min="16195" max="16195" width="8.7109375" bestFit="1" customWidth="1"/>
    <col min="16196" max="16196" width="2.7109375" customWidth="1"/>
    <col min="16197" max="16197" width="5.85546875" bestFit="1" customWidth="1"/>
    <col min="16198" max="16198" width="12.7109375" bestFit="1" customWidth="1"/>
    <col min="16199" max="16199" width="11.5703125" bestFit="1" customWidth="1"/>
    <col min="16200" max="16200" width="2.7109375" customWidth="1"/>
    <col min="16201" max="16201" width="12.7109375" bestFit="1" customWidth="1"/>
    <col min="16203" max="16203" width="21.7109375" bestFit="1" customWidth="1"/>
    <col min="16205" max="16205" width="10.7109375" customWidth="1"/>
    <col min="16206" max="16206" width="10" bestFit="1" customWidth="1"/>
  </cols>
  <sheetData>
    <row r="2" spans="1:78" ht="15.75" x14ac:dyDescent="0.25">
      <c r="D2" s="94" t="s">
        <v>54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5"/>
      <c r="U2" s="17"/>
      <c r="V2" s="17"/>
      <c r="W2" s="94" t="s">
        <v>55</v>
      </c>
      <c r="X2" s="97"/>
      <c r="Y2" s="17"/>
      <c r="Z2" s="17"/>
      <c r="AA2" s="17"/>
      <c r="AB2" s="18"/>
      <c r="AC2" s="94" t="s">
        <v>56</v>
      </c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5"/>
      <c r="AZ2" s="17"/>
      <c r="BA2" s="94" t="s">
        <v>57</v>
      </c>
      <c r="BB2" s="95"/>
      <c r="BC2" s="18"/>
      <c r="BD2" s="94" t="s">
        <v>58</v>
      </c>
      <c r="BE2" s="95"/>
      <c r="BH2" s="94" t="s">
        <v>59</v>
      </c>
      <c r="BI2" s="95"/>
      <c r="BJ2" s="17"/>
      <c r="BK2" s="17"/>
      <c r="BM2" s="89" t="s">
        <v>59</v>
      </c>
      <c r="BN2" s="90"/>
      <c r="BR2" s="94" t="s">
        <v>60</v>
      </c>
      <c r="BS2" s="95"/>
      <c r="BU2" s="19" t="s">
        <v>60</v>
      </c>
    </row>
    <row r="3" spans="1:78" ht="15.75" x14ac:dyDescent="0.25">
      <c r="D3" s="87" t="s">
        <v>61</v>
      </c>
      <c r="E3" s="93"/>
      <c r="F3" s="20"/>
      <c r="G3" s="93" t="s">
        <v>62</v>
      </c>
      <c r="H3" s="93"/>
      <c r="I3" s="20"/>
      <c r="J3" s="93" t="s">
        <v>63</v>
      </c>
      <c r="K3" s="93"/>
      <c r="L3" s="20"/>
      <c r="M3" s="93" t="s">
        <v>64</v>
      </c>
      <c r="N3" s="93"/>
      <c r="O3" s="20"/>
      <c r="P3" s="93" t="s">
        <v>65</v>
      </c>
      <c r="Q3" s="93"/>
      <c r="R3" s="20"/>
      <c r="S3" s="93" t="s">
        <v>66</v>
      </c>
      <c r="T3" s="88"/>
      <c r="U3" s="17"/>
      <c r="V3" s="17"/>
      <c r="W3" s="21"/>
      <c r="X3" s="22"/>
      <c r="Y3" s="17"/>
      <c r="Z3" s="17"/>
      <c r="AA3" s="17"/>
      <c r="AB3" s="18"/>
      <c r="AC3" s="87" t="s">
        <v>67</v>
      </c>
      <c r="AD3" s="93"/>
      <c r="AE3" s="20"/>
      <c r="AF3" s="93" t="s">
        <v>68</v>
      </c>
      <c r="AG3" s="93"/>
      <c r="AH3" s="20"/>
      <c r="AI3" s="93" t="s">
        <v>69</v>
      </c>
      <c r="AJ3" s="93"/>
      <c r="AK3" s="20"/>
      <c r="AL3" s="93" t="s">
        <v>70</v>
      </c>
      <c r="AM3" s="93"/>
      <c r="AN3" s="20"/>
      <c r="AO3" s="93" t="s">
        <v>71</v>
      </c>
      <c r="AP3" s="93"/>
      <c r="AQ3" s="20"/>
      <c r="AR3" s="93" t="s">
        <v>72</v>
      </c>
      <c r="AS3" s="93"/>
      <c r="AT3" s="20"/>
      <c r="AU3" s="93" t="s">
        <v>73</v>
      </c>
      <c r="AV3" s="93"/>
      <c r="AW3" s="20"/>
      <c r="AX3" s="93" t="s">
        <v>74</v>
      </c>
      <c r="AY3" s="88"/>
      <c r="AZ3" s="17"/>
      <c r="BA3" s="87"/>
      <c r="BB3" s="88"/>
      <c r="BC3" s="18"/>
      <c r="BD3" s="87"/>
      <c r="BE3" s="88"/>
      <c r="BH3" s="87" t="s">
        <v>75</v>
      </c>
      <c r="BI3" s="88"/>
      <c r="BJ3" s="17"/>
      <c r="BK3" s="17"/>
      <c r="BM3" s="91" t="s">
        <v>131</v>
      </c>
      <c r="BN3" s="92"/>
      <c r="BR3" s="87"/>
      <c r="BS3" s="88"/>
      <c r="BU3" s="23" t="s">
        <v>76</v>
      </c>
      <c r="BW3" s="24"/>
      <c r="BY3" s="24"/>
      <c r="BZ3" s="24"/>
    </row>
    <row r="4" spans="1:78" ht="15.75" x14ac:dyDescent="0.25">
      <c r="D4" s="25" t="s">
        <v>77</v>
      </c>
      <c r="E4" s="25" t="s">
        <v>78</v>
      </c>
      <c r="F4" s="25"/>
      <c r="G4" s="25" t="s">
        <v>77</v>
      </c>
      <c r="H4" s="25" t="s">
        <v>78</v>
      </c>
      <c r="I4" s="25"/>
      <c r="J4" s="25" t="s">
        <v>77</v>
      </c>
      <c r="K4" s="26" t="s">
        <v>78</v>
      </c>
      <c r="L4" s="25"/>
      <c r="M4" s="25" t="s">
        <v>77</v>
      </c>
      <c r="N4" s="25" t="s">
        <v>78</v>
      </c>
      <c r="O4" s="25"/>
      <c r="P4" s="25" t="s">
        <v>77</v>
      </c>
      <c r="Q4" s="25" t="s">
        <v>78</v>
      </c>
      <c r="R4" s="25"/>
      <c r="S4" s="25" t="s">
        <v>77</v>
      </c>
      <c r="T4" s="25" t="s">
        <v>78</v>
      </c>
      <c r="U4" s="27"/>
      <c r="V4" s="27"/>
      <c r="W4" s="25" t="s">
        <v>77</v>
      </c>
      <c r="X4" s="25" t="s">
        <v>78</v>
      </c>
      <c r="Y4" s="27"/>
      <c r="Z4" s="17"/>
      <c r="AA4" s="17"/>
      <c r="AB4" s="28"/>
      <c r="AC4" s="29" t="s">
        <v>77</v>
      </c>
      <c r="AD4" s="25" t="s">
        <v>78</v>
      </c>
      <c r="AE4" s="25"/>
      <c r="AF4" s="25" t="s">
        <v>77</v>
      </c>
      <c r="AG4" s="25" t="s">
        <v>78</v>
      </c>
      <c r="AH4" s="25"/>
      <c r="AI4" s="30" t="s">
        <v>77</v>
      </c>
      <c r="AJ4" s="30" t="s">
        <v>78</v>
      </c>
      <c r="AK4" s="30"/>
      <c r="AL4" s="30" t="s">
        <v>77</v>
      </c>
      <c r="AM4" s="30" t="s">
        <v>78</v>
      </c>
      <c r="AN4" s="25"/>
      <c r="AO4" s="25" t="s">
        <v>77</v>
      </c>
      <c r="AP4" s="25" t="s">
        <v>78</v>
      </c>
      <c r="AQ4" s="25"/>
      <c r="AR4" s="25" t="s">
        <v>77</v>
      </c>
      <c r="AS4" s="25" t="s">
        <v>78</v>
      </c>
      <c r="AT4" s="25"/>
      <c r="AU4" s="25" t="s">
        <v>77</v>
      </c>
      <c r="AV4" s="25" t="s">
        <v>78</v>
      </c>
      <c r="AW4" s="25"/>
      <c r="AX4" s="25" t="s">
        <v>77</v>
      </c>
      <c r="AY4" s="25" t="s">
        <v>78</v>
      </c>
      <c r="AZ4" s="31"/>
      <c r="BA4" s="25" t="s">
        <v>77</v>
      </c>
      <c r="BB4" s="25" t="s">
        <v>78</v>
      </c>
      <c r="BC4" s="28"/>
      <c r="BD4" s="25" t="s">
        <v>77</v>
      </c>
      <c r="BE4" s="25" t="s">
        <v>78</v>
      </c>
      <c r="BH4" s="25" t="s">
        <v>77</v>
      </c>
      <c r="BI4" s="25" t="s">
        <v>78</v>
      </c>
      <c r="BJ4" s="27"/>
      <c r="BK4" s="27"/>
      <c r="BM4" s="83" t="s">
        <v>77</v>
      </c>
      <c r="BN4" s="83" t="s">
        <v>78</v>
      </c>
      <c r="BR4" s="25" t="s">
        <v>77</v>
      </c>
      <c r="BS4" s="25" t="s">
        <v>78</v>
      </c>
      <c r="BU4" s="29" t="s">
        <v>79</v>
      </c>
    </row>
    <row r="5" spans="1:78" x14ac:dyDescent="0.25">
      <c r="A5" s="32">
        <v>44652</v>
      </c>
      <c r="B5">
        <v>2022</v>
      </c>
      <c r="D5" s="33">
        <v>25000</v>
      </c>
      <c r="E5" s="33">
        <v>10710.94</v>
      </c>
      <c r="F5" s="33"/>
      <c r="G5" s="33">
        <v>12500</v>
      </c>
      <c r="H5" s="33">
        <v>5193.75</v>
      </c>
      <c r="I5" s="34"/>
      <c r="J5" s="33">
        <v>18000</v>
      </c>
      <c r="K5" s="35">
        <v>13637.5</v>
      </c>
      <c r="L5" s="33"/>
      <c r="M5" s="33">
        <v>20500</v>
      </c>
      <c r="N5" s="33">
        <v>8965</v>
      </c>
      <c r="O5" s="33"/>
      <c r="P5" s="33">
        <f>M5*0.83</f>
        <v>17015</v>
      </c>
      <c r="Q5" s="33">
        <f>N5*0.83</f>
        <v>7440.95</v>
      </c>
      <c r="R5" s="33"/>
      <c r="S5" s="33">
        <f>M5*0.17</f>
        <v>3485.0000000000005</v>
      </c>
      <c r="T5" s="33">
        <f>+N5*0.17</f>
        <v>1524.0500000000002</v>
      </c>
      <c r="U5" s="36"/>
      <c r="V5" s="37">
        <v>2022</v>
      </c>
      <c r="W5" s="38">
        <f>D5+G5+J5+P5</f>
        <v>72515</v>
      </c>
      <c r="X5" s="39">
        <f>E5+H5+K5+Q5+E6+H6+K6+Q6</f>
        <v>73272.729800000001</v>
      </c>
      <c r="Y5" s="36"/>
      <c r="Z5" s="32">
        <v>44593</v>
      </c>
      <c r="AA5">
        <v>2022</v>
      </c>
      <c r="AC5" s="40">
        <v>160000</v>
      </c>
      <c r="AD5" s="33">
        <v>68896.25</v>
      </c>
      <c r="AE5" s="33"/>
      <c r="AF5" s="33">
        <f>AC5*0.67</f>
        <v>107200</v>
      </c>
      <c r="AG5" s="33">
        <f>AD5*0.67</f>
        <v>46160.487500000003</v>
      </c>
      <c r="AH5" s="33"/>
      <c r="AI5" s="33">
        <f>AC5*0.33</f>
        <v>52800</v>
      </c>
      <c r="AJ5" s="33">
        <f>AD5*0.33</f>
        <v>22735.762500000001</v>
      </c>
      <c r="AK5" s="33"/>
      <c r="AL5" s="33">
        <f>6*8750</f>
        <v>52500</v>
      </c>
      <c r="AM5" s="33">
        <f>6*1662.4</f>
        <v>9974.4000000000015</v>
      </c>
      <c r="AN5" s="36"/>
      <c r="AO5" s="33">
        <v>10000</v>
      </c>
      <c r="AP5" s="33">
        <v>7406.25</v>
      </c>
      <c r="AQ5" s="33"/>
      <c r="AR5" s="33">
        <f>AO5*0.8455</f>
        <v>8455</v>
      </c>
      <c r="AS5" s="33">
        <f>AP5*0.8455</f>
        <v>6261.984375</v>
      </c>
      <c r="AT5" s="33"/>
      <c r="AU5" s="33">
        <v>35000</v>
      </c>
      <c r="AV5" s="33">
        <v>18596.88</v>
      </c>
      <c r="AW5" s="33"/>
      <c r="AX5" s="33">
        <f>AU5*0.812</f>
        <v>28420.000000000004</v>
      </c>
      <c r="AY5" s="33">
        <f>AV5*0.812</f>
        <v>15100.666560000001</v>
      </c>
      <c r="AZ5" s="36"/>
      <c r="BA5" s="41">
        <f>AF5+AL5+AR5+AX5+AL6</f>
        <v>241575</v>
      </c>
      <c r="BB5" s="41">
        <f>AG5+AM5+AS5+AY5+AG6+AM6+AS6+AY6</f>
        <v>152496.28312000001</v>
      </c>
      <c r="BD5" s="33"/>
      <c r="BE5" s="33"/>
      <c r="BF5" s="32">
        <v>44713</v>
      </c>
      <c r="BG5">
        <v>2022</v>
      </c>
      <c r="BH5" s="33">
        <v>38469.15</v>
      </c>
      <c r="BI5" s="33">
        <v>1766.14</v>
      </c>
      <c r="BJ5" s="36"/>
      <c r="BK5" s="32">
        <v>44713</v>
      </c>
      <c r="BL5">
        <v>2022</v>
      </c>
      <c r="BM5" s="81">
        <v>0</v>
      </c>
      <c r="BN5" s="84">
        <v>0</v>
      </c>
      <c r="BR5" s="42"/>
      <c r="BS5" s="42"/>
      <c r="BU5" s="42"/>
    </row>
    <row r="6" spans="1:78" x14ac:dyDescent="0.25">
      <c r="A6" s="32">
        <v>44835</v>
      </c>
      <c r="D6" s="33"/>
      <c r="E6" s="33">
        <v>10476.56</v>
      </c>
      <c r="F6" s="33"/>
      <c r="G6" s="33"/>
      <c r="H6" s="33">
        <v>5076.5600000000004</v>
      </c>
      <c r="I6" s="34"/>
      <c r="J6" s="33"/>
      <c r="K6" s="35">
        <v>13412.5</v>
      </c>
      <c r="L6" s="33"/>
      <c r="M6" s="33"/>
      <c r="N6" s="33">
        <v>8824.06</v>
      </c>
      <c r="O6" s="33"/>
      <c r="P6" s="33"/>
      <c r="Q6" s="33">
        <f t="shared" ref="Q6:Q14" si="0">N6*0.83</f>
        <v>7323.9697999999989</v>
      </c>
      <c r="R6" s="33"/>
      <c r="S6" s="33"/>
      <c r="T6" s="33">
        <f t="shared" ref="T6:T14" si="1">+N6*0.17</f>
        <v>1500.0902000000001</v>
      </c>
      <c r="U6" s="36"/>
      <c r="V6" s="43"/>
      <c r="W6" s="38"/>
      <c r="X6" s="39"/>
      <c r="Y6" s="36"/>
      <c r="Z6" s="32">
        <v>44774</v>
      </c>
      <c r="AC6" s="40"/>
      <c r="AD6" s="33">
        <v>66336.25</v>
      </c>
      <c r="AE6" s="33"/>
      <c r="AF6" s="33"/>
      <c r="AG6" s="33">
        <f t="shared" ref="AG6:AG14" si="2">AD6*0.67</f>
        <v>44445.287500000006</v>
      </c>
      <c r="AH6" s="33"/>
      <c r="AI6" s="33">
        <f t="shared" ref="AI6:AJ14" si="3">AC6*0.33</f>
        <v>0</v>
      </c>
      <c r="AJ6" s="33">
        <f t="shared" si="3"/>
        <v>21890.962500000001</v>
      </c>
      <c r="AK6" s="33"/>
      <c r="AL6" s="33">
        <f>6*7500</f>
        <v>45000</v>
      </c>
      <c r="AM6" s="33">
        <f>6*1662.4</f>
        <v>9974.4000000000015</v>
      </c>
      <c r="AN6" s="36"/>
      <c r="AO6" s="33"/>
      <c r="AP6" s="33">
        <v>7193.75</v>
      </c>
      <c r="AQ6" s="33"/>
      <c r="AR6" s="33"/>
      <c r="AS6" s="33">
        <f t="shared" ref="AS6:AS14" si="4">AP6*0.8455</f>
        <v>6082.3156250000002</v>
      </c>
      <c r="AT6" s="33"/>
      <c r="AU6" s="33"/>
      <c r="AV6" s="33">
        <v>17853.13</v>
      </c>
      <c r="AW6" s="33"/>
      <c r="AX6" s="33"/>
      <c r="AY6" s="33">
        <f t="shared" ref="AY6:AY14" si="5">AV6*0.812</f>
        <v>14496.741560000002</v>
      </c>
      <c r="AZ6" s="36"/>
      <c r="BA6" s="41"/>
      <c r="BB6" s="41"/>
      <c r="BD6" s="33">
        <v>97997.56</v>
      </c>
      <c r="BE6" s="33">
        <v>23252.42</v>
      </c>
      <c r="BF6" s="32">
        <v>44896</v>
      </c>
      <c r="BH6" s="33">
        <v>38661.49</v>
      </c>
      <c r="BI6" s="33">
        <v>1573.8</v>
      </c>
      <c r="BJ6" s="36"/>
      <c r="BK6" s="32">
        <v>44896</v>
      </c>
      <c r="BM6" s="81">
        <v>0</v>
      </c>
      <c r="BN6" s="84">
        <v>0</v>
      </c>
      <c r="BQ6">
        <v>2022</v>
      </c>
      <c r="BR6" s="33">
        <f>W5+BA5+BD6+BH5+BH6+BM5+BM6</f>
        <v>489218.2</v>
      </c>
      <c r="BS6" s="33">
        <f>X5+BB5+BE6+BI5+BI6+BN5+BN6</f>
        <v>252361.37291999999</v>
      </c>
      <c r="BU6" s="33">
        <f>SUM(BR6:BS6)</f>
        <v>741579.57291999995</v>
      </c>
    </row>
    <row r="7" spans="1:78" x14ac:dyDescent="0.25">
      <c r="A7" s="32">
        <v>45017</v>
      </c>
      <c r="B7">
        <v>2023</v>
      </c>
      <c r="D7" s="33">
        <v>25500</v>
      </c>
      <c r="E7" s="33">
        <v>10476.56</v>
      </c>
      <c r="F7" s="33"/>
      <c r="G7" s="33">
        <v>13000</v>
      </c>
      <c r="H7" s="33">
        <v>5076.5600000000004</v>
      </c>
      <c r="I7" s="34"/>
      <c r="J7" s="33">
        <v>18500</v>
      </c>
      <c r="K7" s="35">
        <v>13412.5</v>
      </c>
      <c r="L7" s="33"/>
      <c r="M7" s="33">
        <v>21000</v>
      </c>
      <c r="N7" s="33">
        <v>8824.06</v>
      </c>
      <c r="O7" s="33"/>
      <c r="P7" s="33">
        <f t="shared" ref="P7:P13" si="6">M7*0.83</f>
        <v>17430</v>
      </c>
      <c r="Q7" s="33">
        <f t="shared" si="0"/>
        <v>7323.9697999999989</v>
      </c>
      <c r="R7" s="33"/>
      <c r="S7" s="33">
        <f t="shared" ref="S7:S13" si="7">M7*0.17</f>
        <v>3570.0000000000005</v>
      </c>
      <c r="T7" s="33">
        <f t="shared" si="1"/>
        <v>1500.0902000000001</v>
      </c>
      <c r="U7" s="36"/>
      <c r="V7" s="37">
        <v>2023</v>
      </c>
      <c r="W7" s="38">
        <f t="shared" ref="W7:W13" si="8">D7+G7+J7+P7</f>
        <v>74430</v>
      </c>
      <c r="X7" s="39">
        <f t="shared" ref="X7:X13" si="9">E7+H7+K7+Q7+E8+H8+K8+Q8</f>
        <v>71867.172500000001</v>
      </c>
      <c r="Y7" s="36"/>
      <c r="Z7" s="32">
        <v>44958</v>
      </c>
      <c r="AA7">
        <v>2023</v>
      </c>
      <c r="AC7" s="40">
        <v>165000</v>
      </c>
      <c r="AD7" s="33">
        <v>66336.25</v>
      </c>
      <c r="AE7" s="33"/>
      <c r="AF7" s="33">
        <f t="shared" ref="AF7:AF13" si="10">AC7*0.67</f>
        <v>110550</v>
      </c>
      <c r="AG7" s="33">
        <f t="shared" si="2"/>
        <v>44445.287500000006</v>
      </c>
      <c r="AH7" s="33"/>
      <c r="AI7" s="33">
        <f t="shared" si="3"/>
        <v>54450</v>
      </c>
      <c r="AJ7" s="33">
        <f t="shared" si="3"/>
        <v>21890.962500000001</v>
      </c>
      <c r="AK7" s="33"/>
      <c r="AL7" s="33">
        <f>6*7500</f>
        <v>45000</v>
      </c>
      <c r="AM7" s="33">
        <f>6*1417.4</f>
        <v>8504.4000000000015</v>
      </c>
      <c r="AN7" s="36"/>
      <c r="AO7" s="33">
        <v>10000</v>
      </c>
      <c r="AP7" s="33">
        <v>7193.75</v>
      </c>
      <c r="AQ7" s="33"/>
      <c r="AR7" s="33">
        <f t="shared" ref="AR7:AR13" si="11">AO7*0.8455</f>
        <v>8455</v>
      </c>
      <c r="AS7" s="33">
        <f t="shared" si="4"/>
        <v>6082.3156250000002</v>
      </c>
      <c r="AT7" s="33"/>
      <c r="AU7" s="33">
        <v>35000</v>
      </c>
      <c r="AV7" s="33">
        <v>17853.13</v>
      </c>
      <c r="AW7" s="33"/>
      <c r="AX7" s="33">
        <f t="shared" ref="AX7:AX13" si="12">AU7*0.812</f>
        <v>28420.000000000004</v>
      </c>
      <c r="AY7" s="33">
        <f t="shared" si="5"/>
        <v>14496.741560000002</v>
      </c>
      <c r="AZ7" s="36"/>
      <c r="BA7" s="41">
        <f t="shared" ref="BA7:BA13" si="13">AF7+AL7+AR7+AX7+AL8</f>
        <v>239925.02000000002</v>
      </c>
      <c r="BB7" s="41">
        <f t="shared" ref="BB7:BB13" si="14">AG7+AM7+AS7+AY7+AG8+AM8+AS8+AY8</f>
        <v>144449.82062000001</v>
      </c>
      <c r="BD7" s="33"/>
      <c r="BE7" s="33"/>
      <c r="BF7" s="32">
        <v>45078</v>
      </c>
      <c r="BG7">
        <v>2023</v>
      </c>
      <c r="BH7" s="33">
        <v>38854.800000000003</v>
      </c>
      <c r="BI7" s="33">
        <v>1380.49</v>
      </c>
      <c r="BJ7" s="36"/>
      <c r="BK7" s="32">
        <v>45078</v>
      </c>
      <c r="BL7">
        <v>2023</v>
      </c>
      <c r="BM7" s="81">
        <v>2168.08</v>
      </c>
      <c r="BN7" s="42">
        <v>168.75</v>
      </c>
      <c r="BR7" s="33"/>
      <c r="BS7" s="33"/>
      <c r="BU7" s="42"/>
    </row>
    <row r="8" spans="1:78" x14ac:dyDescent="0.25">
      <c r="A8" s="32">
        <v>45200</v>
      </c>
      <c r="D8" s="33"/>
      <c r="E8" s="33">
        <v>10237.5</v>
      </c>
      <c r="F8" s="33"/>
      <c r="G8" s="33"/>
      <c r="H8" s="33">
        <v>4954.6899999999996</v>
      </c>
      <c r="I8" s="34"/>
      <c r="J8" s="33"/>
      <c r="K8" s="35">
        <v>13181.25</v>
      </c>
      <c r="L8" s="33"/>
      <c r="M8" s="33"/>
      <c r="N8" s="33">
        <v>8679.69</v>
      </c>
      <c r="O8" s="33"/>
      <c r="P8" s="33"/>
      <c r="Q8" s="33">
        <f t="shared" si="0"/>
        <v>7204.1427000000003</v>
      </c>
      <c r="R8" s="33"/>
      <c r="S8" s="33"/>
      <c r="T8" s="33">
        <f t="shared" si="1"/>
        <v>1475.5473000000002</v>
      </c>
      <c r="U8" s="36"/>
      <c r="V8" s="43"/>
      <c r="W8" s="38"/>
      <c r="X8" s="39"/>
      <c r="Y8" s="36"/>
      <c r="Z8" s="32">
        <v>45139</v>
      </c>
      <c r="AC8" s="40"/>
      <c r="AD8" s="33">
        <v>63613.75</v>
      </c>
      <c r="AE8" s="33"/>
      <c r="AF8" s="33"/>
      <c r="AG8" s="33">
        <f t="shared" si="2"/>
        <v>42621.212500000001</v>
      </c>
      <c r="AH8" s="33"/>
      <c r="AI8" s="33">
        <f t="shared" si="3"/>
        <v>0</v>
      </c>
      <c r="AJ8" s="33">
        <f t="shared" si="3"/>
        <v>20992.537500000002</v>
      </c>
      <c r="AK8" s="33"/>
      <c r="AL8" s="33">
        <f>6*7916.67</f>
        <v>47500.020000000004</v>
      </c>
      <c r="AM8" s="33">
        <f>6*1417.4</f>
        <v>8504.4000000000015</v>
      </c>
      <c r="AN8" s="36"/>
      <c r="AO8" s="33"/>
      <c r="AP8" s="33">
        <v>6981.25</v>
      </c>
      <c r="AQ8" s="33"/>
      <c r="AR8" s="33"/>
      <c r="AS8" s="33">
        <f t="shared" si="4"/>
        <v>5902.6468750000004</v>
      </c>
      <c r="AT8" s="33"/>
      <c r="AU8" s="33"/>
      <c r="AV8" s="33">
        <v>17109.38</v>
      </c>
      <c r="AW8" s="33"/>
      <c r="AX8" s="33"/>
      <c r="AY8" s="33">
        <f t="shared" si="5"/>
        <v>13892.816560000001</v>
      </c>
      <c r="AZ8" s="36"/>
      <c r="BA8" s="41"/>
      <c r="BB8" s="41"/>
      <c r="BD8" s="33">
        <v>97997.56</v>
      </c>
      <c r="BE8" s="33">
        <v>20303.55</v>
      </c>
      <c r="BF8" s="32">
        <v>45261</v>
      </c>
      <c r="BH8" s="42">
        <v>39049.08</v>
      </c>
      <c r="BI8" s="33">
        <v>1186.21</v>
      </c>
      <c r="BJ8" s="36"/>
      <c r="BK8" s="32">
        <v>45261</v>
      </c>
      <c r="BM8" s="82">
        <v>2170.79</v>
      </c>
      <c r="BN8" s="42">
        <v>166.04</v>
      </c>
      <c r="BQ8">
        <v>2023</v>
      </c>
      <c r="BR8" s="33">
        <f t="shared" ref="BR8:BR14" si="15">W7+BA7+BD8+BH7+BH8+BM7+BM8</f>
        <v>494595.33</v>
      </c>
      <c r="BS8" s="33">
        <f t="shared" ref="BS8:BS14" si="16">X7+BB7+BE8+BI7+BI8+BN7+BN8</f>
        <v>239522.03311999998</v>
      </c>
      <c r="BU8" s="33">
        <f>SUM(BR8:BS8)</f>
        <v>734117.36311999999</v>
      </c>
    </row>
    <row r="9" spans="1:78" x14ac:dyDescent="0.25">
      <c r="A9" s="32">
        <v>45383</v>
      </c>
      <c r="B9">
        <v>2024</v>
      </c>
      <c r="D9" s="33">
        <v>26000</v>
      </c>
      <c r="E9" s="33">
        <v>10237.5</v>
      </c>
      <c r="F9" s="33"/>
      <c r="G9" s="33">
        <v>13000</v>
      </c>
      <c r="H9" s="33">
        <v>4954.6899999999996</v>
      </c>
      <c r="I9" s="34"/>
      <c r="J9" s="33">
        <v>19000</v>
      </c>
      <c r="K9" s="35">
        <v>13181.25</v>
      </c>
      <c r="L9" s="33"/>
      <c r="M9" s="33">
        <v>21500</v>
      </c>
      <c r="N9" s="33">
        <v>8679.69</v>
      </c>
      <c r="O9" s="33"/>
      <c r="P9" s="33">
        <f t="shared" si="6"/>
        <v>17845</v>
      </c>
      <c r="Q9" s="33">
        <f t="shared" si="0"/>
        <v>7204.1427000000003</v>
      </c>
      <c r="R9" s="33"/>
      <c r="S9" s="33">
        <f t="shared" si="7"/>
        <v>3655.0000000000005</v>
      </c>
      <c r="T9" s="33">
        <f t="shared" si="1"/>
        <v>1475.5473000000002</v>
      </c>
      <c r="U9" s="36"/>
      <c r="V9" s="37">
        <v>2024</v>
      </c>
      <c r="W9" s="38">
        <f t="shared" si="8"/>
        <v>75845</v>
      </c>
      <c r="X9" s="39">
        <f t="shared" si="9"/>
        <v>70429.353099999993</v>
      </c>
      <c r="Y9" s="36"/>
      <c r="Z9" s="32">
        <v>45323</v>
      </c>
      <c r="AA9">
        <v>2024</v>
      </c>
      <c r="AC9" s="40">
        <v>165000</v>
      </c>
      <c r="AD9" s="33">
        <v>63613.75</v>
      </c>
      <c r="AE9" s="33"/>
      <c r="AF9" s="33">
        <f t="shared" si="10"/>
        <v>110550</v>
      </c>
      <c r="AG9" s="33">
        <f t="shared" si="2"/>
        <v>42621.212500000001</v>
      </c>
      <c r="AH9" s="33"/>
      <c r="AI9" s="33">
        <f t="shared" si="3"/>
        <v>54450</v>
      </c>
      <c r="AJ9" s="33">
        <f t="shared" si="3"/>
        <v>20992.537500000002</v>
      </c>
      <c r="AK9" s="33"/>
      <c r="AL9" s="33">
        <f>6*7916.67</f>
        <v>47500.020000000004</v>
      </c>
      <c r="AM9" s="33">
        <f>6*1207.4</f>
        <v>7244.4000000000005</v>
      </c>
      <c r="AN9" s="36"/>
      <c r="AO9" s="33">
        <v>10000</v>
      </c>
      <c r="AP9" s="33">
        <v>6981.25</v>
      </c>
      <c r="AQ9" s="33"/>
      <c r="AR9" s="33">
        <f t="shared" si="11"/>
        <v>8455</v>
      </c>
      <c r="AS9" s="33">
        <f t="shared" si="4"/>
        <v>5902.6468750000004</v>
      </c>
      <c r="AT9" s="33"/>
      <c r="AU9" s="33">
        <v>35000</v>
      </c>
      <c r="AV9" s="33">
        <v>17109.38</v>
      </c>
      <c r="AW9" s="33"/>
      <c r="AX9" s="33">
        <f t="shared" si="12"/>
        <v>28420.000000000004</v>
      </c>
      <c r="AY9" s="33">
        <f t="shared" si="5"/>
        <v>13892.816560000001</v>
      </c>
      <c r="AZ9" s="36"/>
      <c r="BA9" s="41">
        <f t="shared" si="13"/>
        <v>244925</v>
      </c>
      <c r="BB9" s="41">
        <f t="shared" si="14"/>
        <v>136659.20812</v>
      </c>
      <c r="BD9" s="33"/>
      <c r="BE9" s="33"/>
      <c r="BF9" s="32">
        <v>45444</v>
      </c>
      <c r="BG9">
        <v>2024</v>
      </c>
      <c r="BH9" s="42">
        <v>39244.32</v>
      </c>
      <c r="BI9" s="42">
        <v>990.97</v>
      </c>
      <c r="BJ9" s="48"/>
      <c r="BK9" s="32">
        <v>45444</v>
      </c>
      <c r="BL9">
        <v>2024</v>
      </c>
      <c r="BM9" s="82">
        <v>2173.5</v>
      </c>
      <c r="BN9" s="42">
        <v>163.33000000000001</v>
      </c>
      <c r="BR9" s="33"/>
      <c r="BS9" s="33"/>
      <c r="BU9" s="42"/>
    </row>
    <row r="10" spans="1:78" x14ac:dyDescent="0.25">
      <c r="A10" s="32">
        <v>45566</v>
      </c>
      <c r="D10" s="33"/>
      <c r="E10" s="33">
        <v>9993.75</v>
      </c>
      <c r="F10" s="33"/>
      <c r="G10" s="33"/>
      <c r="H10" s="33">
        <v>4832.8100000000004</v>
      </c>
      <c r="I10" s="34"/>
      <c r="J10" s="33"/>
      <c r="K10" s="35">
        <v>12943.75</v>
      </c>
      <c r="L10" s="33"/>
      <c r="M10" s="33"/>
      <c r="N10" s="33">
        <v>8531.8799999999992</v>
      </c>
      <c r="O10" s="33"/>
      <c r="P10" s="33"/>
      <c r="Q10" s="33">
        <f t="shared" si="0"/>
        <v>7081.460399999999</v>
      </c>
      <c r="R10" s="33"/>
      <c r="S10" s="33"/>
      <c r="T10" s="33">
        <f t="shared" si="1"/>
        <v>1450.4195999999999</v>
      </c>
      <c r="U10" s="36"/>
      <c r="V10" s="43"/>
      <c r="W10" s="38"/>
      <c r="X10" s="39"/>
      <c r="Y10" s="36"/>
      <c r="Z10" s="32">
        <v>45505</v>
      </c>
      <c r="AC10" s="40"/>
      <c r="AD10" s="33">
        <v>60808.75</v>
      </c>
      <c r="AE10" s="33"/>
      <c r="AF10" s="33"/>
      <c r="AG10" s="33">
        <f t="shared" si="2"/>
        <v>40741.862500000003</v>
      </c>
      <c r="AH10" s="33"/>
      <c r="AI10" s="33">
        <f t="shared" si="3"/>
        <v>0</v>
      </c>
      <c r="AJ10" s="33">
        <f t="shared" si="3"/>
        <v>20066.887500000001</v>
      </c>
      <c r="AK10" s="33"/>
      <c r="AL10" s="33">
        <f>6*8333.33</f>
        <v>49999.979999999996</v>
      </c>
      <c r="AM10" s="33">
        <f>6*1207.4</f>
        <v>7244.4000000000005</v>
      </c>
      <c r="AN10" s="36"/>
      <c r="AO10" s="33"/>
      <c r="AP10" s="33">
        <v>6768.75</v>
      </c>
      <c r="AQ10" s="33"/>
      <c r="AR10" s="33"/>
      <c r="AS10" s="33">
        <f t="shared" si="4"/>
        <v>5722.9781250000005</v>
      </c>
      <c r="AT10" s="33"/>
      <c r="AU10" s="33"/>
      <c r="AV10" s="33">
        <v>16365.63</v>
      </c>
      <c r="AW10" s="33"/>
      <c r="AX10" s="33"/>
      <c r="AY10" s="33">
        <f t="shared" si="5"/>
        <v>13288.89156</v>
      </c>
      <c r="AZ10" s="36"/>
      <c r="BA10" s="41"/>
      <c r="BB10" s="41"/>
      <c r="BD10" s="33">
        <v>97997.56</v>
      </c>
      <c r="BE10" s="33">
        <v>17238.330000000002</v>
      </c>
      <c r="BF10" s="32">
        <v>45627</v>
      </c>
      <c r="BH10" s="42">
        <v>39440.54</v>
      </c>
      <c r="BI10" s="42">
        <v>794.75</v>
      </c>
      <c r="BJ10" s="48"/>
      <c r="BK10" s="32">
        <v>45627</v>
      </c>
      <c r="BM10" s="82">
        <v>2176.2199999999998</v>
      </c>
      <c r="BN10" s="42">
        <v>160.61000000000001</v>
      </c>
      <c r="BQ10">
        <v>2024</v>
      </c>
      <c r="BR10" s="33">
        <f t="shared" si="15"/>
        <v>501802.13999999996</v>
      </c>
      <c r="BS10" s="33">
        <f t="shared" si="16"/>
        <v>226436.55121999996</v>
      </c>
      <c r="BU10" s="33">
        <f>SUM(BR10:BS10)</f>
        <v>728238.69121999992</v>
      </c>
    </row>
    <row r="11" spans="1:78" x14ac:dyDescent="0.25">
      <c r="A11" s="32">
        <v>45748</v>
      </c>
      <c r="B11">
        <v>2025</v>
      </c>
      <c r="D11" s="33">
        <v>27000</v>
      </c>
      <c r="E11" s="33">
        <v>9993.75</v>
      </c>
      <c r="F11" s="33"/>
      <c r="G11" s="33">
        <v>13500</v>
      </c>
      <c r="H11" s="33">
        <v>4832.8100000000004</v>
      </c>
      <c r="I11" s="34"/>
      <c r="J11" s="33">
        <v>20000</v>
      </c>
      <c r="K11" s="35">
        <v>12943.75</v>
      </c>
      <c r="L11" s="33"/>
      <c r="M11" s="33">
        <v>22000</v>
      </c>
      <c r="N11" s="33">
        <v>8531.8799999999992</v>
      </c>
      <c r="O11" s="33"/>
      <c r="P11" s="33">
        <f t="shared" si="6"/>
        <v>18260</v>
      </c>
      <c r="Q11" s="33">
        <f t="shared" si="0"/>
        <v>7081.460399999999</v>
      </c>
      <c r="R11" s="33"/>
      <c r="S11" s="33">
        <f t="shared" si="7"/>
        <v>3740.0000000000005</v>
      </c>
      <c r="T11" s="33">
        <f t="shared" si="1"/>
        <v>1450.4195999999999</v>
      </c>
      <c r="U11" s="36"/>
      <c r="V11" s="37">
        <v>2025</v>
      </c>
      <c r="W11" s="38">
        <f t="shared" si="8"/>
        <v>78760</v>
      </c>
      <c r="X11" s="39">
        <f t="shared" si="9"/>
        <v>68948.323300000004</v>
      </c>
      <c r="Y11" s="36"/>
      <c r="Z11" s="32">
        <v>45689</v>
      </c>
      <c r="AA11">
        <v>2025</v>
      </c>
      <c r="AC11" s="40">
        <v>175000</v>
      </c>
      <c r="AD11" s="33">
        <v>60808.75</v>
      </c>
      <c r="AE11" s="33"/>
      <c r="AF11" s="33">
        <f t="shared" si="10"/>
        <v>117250</v>
      </c>
      <c r="AG11" s="33">
        <f t="shared" si="2"/>
        <v>40741.862500000003</v>
      </c>
      <c r="AH11" s="33"/>
      <c r="AI11" s="33">
        <f t="shared" si="3"/>
        <v>57750</v>
      </c>
      <c r="AJ11" s="33">
        <f t="shared" si="3"/>
        <v>20066.887500000001</v>
      </c>
      <c r="AK11" s="33"/>
      <c r="AL11" s="33">
        <f>6*8333.33</f>
        <v>49999.979999999996</v>
      </c>
      <c r="AM11" s="33">
        <f>6*975.83</f>
        <v>5854.9800000000005</v>
      </c>
      <c r="AN11" s="36"/>
      <c r="AO11" s="33">
        <v>10000</v>
      </c>
      <c r="AP11" s="33">
        <v>6768.75</v>
      </c>
      <c r="AQ11" s="33"/>
      <c r="AR11" s="33">
        <f t="shared" si="11"/>
        <v>8455</v>
      </c>
      <c r="AS11" s="33">
        <f t="shared" si="4"/>
        <v>5722.9781250000005</v>
      </c>
      <c r="AT11" s="33"/>
      <c r="AU11" s="33">
        <v>35000</v>
      </c>
      <c r="AV11" s="33">
        <v>16365.63</v>
      </c>
      <c r="AW11" s="33"/>
      <c r="AX11" s="33">
        <f t="shared" si="12"/>
        <v>28420.000000000004</v>
      </c>
      <c r="AY11" s="33">
        <f t="shared" si="5"/>
        <v>13288.89156</v>
      </c>
      <c r="AZ11" s="36"/>
      <c r="BA11" s="41">
        <f t="shared" si="13"/>
        <v>254124.95999999996</v>
      </c>
      <c r="BB11" s="41">
        <f t="shared" si="14"/>
        <v>128323.33062000001</v>
      </c>
      <c r="BD11" s="33"/>
      <c r="BE11" s="33"/>
      <c r="BF11" s="32">
        <v>45809</v>
      </c>
      <c r="BG11">
        <v>2025</v>
      </c>
      <c r="BH11" s="42">
        <v>39637.75</v>
      </c>
      <c r="BI11" s="42">
        <v>597.54</v>
      </c>
      <c r="BJ11" s="48"/>
      <c r="BK11" s="32">
        <v>45809</v>
      </c>
      <c r="BL11">
        <v>2025</v>
      </c>
      <c r="BM11" s="82">
        <v>2178.94</v>
      </c>
      <c r="BN11" s="42">
        <v>157.88999999999999</v>
      </c>
      <c r="BR11" s="33"/>
      <c r="BS11" s="33"/>
      <c r="BU11" s="42"/>
    </row>
    <row r="12" spans="1:78" x14ac:dyDescent="0.25">
      <c r="A12" s="32">
        <v>45931</v>
      </c>
      <c r="D12" s="33"/>
      <c r="E12" s="33">
        <v>9740.6299999999992</v>
      </c>
      <c r="F12" s="33"/>
      <c r="G12" s="33"/>
      <c r="H12" s="33">
        <v>4706.25</v>
      </c>
      <c r="I12" s="34"/>
      <c r="J12" s="33"/>
      <c r="K12" s="35">
        <v>12693.75</v>
      </c>
      <c r="L12" s="33"/>
      <c r="M12" s="33"/>
      <c r="N12" s="33">
        <v>8380.6299999999992</v>
      </c>
      <c r="O12" s="33"/>
      <c r="P12" s="33"/>
      <c r="Q12" s="33">
        <f t="shared" si="0"/>
        <v>6955.9228999999987</v>
      </c>
      <c r="R12" s="33"/>
      <c r="S12" s="33"/>
      <c r="T12" s="33">
        <f t="shared" si="1"/>
        <v>1424.7070999999999</v>
      </c>
      <c r="U12" s="36"/>
      <c r="V12" s="43"/>
      <c r="W12" s="38"/>
      <c r="X12" s="39"/>
      <c r="Y12" s="36"/>
      <c r="Z12" s="32">
        <v>45870</v>
      </c>
      <c r="AC12" s="40"/>
      <c r="AD12" s="33">
        <v>57658.75</v>
      </c>
      <c r="AE12" s="33"/>
      <c r="AF12" s="33"/>
      <c r="AG12" s="33">
        <f t="shared" si="2"/>
        <v>38631.362500000003</v>
      </c>
      <c r="AH12" s="33"/>
      <c r="AI12" s="33">
        <f t="shared" si="3"/>
        <v>0</v>
      </c>
      <c r="AJ12" s="33">
        <f t="shared" si="3"/>
        <v>19027.387500000001</v>
      </c>
      <c r="AK12" s="33"/>
      <c r="AL12" s="33">
        <f>6*8333.33</f>
        <v>49999.979999999996</v>
      </c>
      <c r="AM12" s="33">
        <f>6*975.83</f>
        <v>5854.9800000000005</v>
      </c>
      <c r="AN12" s="36"/>
      <c r="AO12" s="33"/>
      <c r="AP12" s="33">
        <v>6556.25</v>
      </c>
      <c r="AQ12" s="33"/>
      <c r="AR12" s="33"/>
      <c r="AS12" s="33">
        <f t="shared" si="4"/>
        <v>5543.3093749999998</v>
      </c>
      <c r="AT12" s="33"/>
      <c r="AU12" s="33"/>
      <c r="AV12" s="33">
        <v>15621.88</v>
      </c>
      <c r="AW12" s="33"/>
      <c r="AX12" s="33"/>
      <c r="AY12" s="33">
        <f t="shared" si="5"/>
        <v>12684.966560000001</v>
      </c>
      <c r="AZ12" s="36"/>
      <c r="BA12" s="41"/>
      <c r="BB12" s="41"/>
      <c r="BD12" s="33">
        <v>97997.56</v>
      </c>
      <c r="BE12" s="33">
        <v>14052.18</v>
      </c>
      <c r="BF12" s="32">
        <v>45992</v>
      </c>
      <c r="BH12" s="42">
        <v>39835.93</v>
      </c>
      <c r="BI12" s="42">
        <v>399.36</v>
      </c>
      <c r="BJ12" s="48"/>
      <c r="BK12" s="32">
        <v>45992</v>
      </c>
      <c r="BM12" s="82">
        <v>2181.66</v>
      </c>
      <c r="BN12" s="42">
        <v>155.16999999999999</v>
      </c>
      <c r="BQ12">
        <v>2025</v>
      </c>
      <c r="BR12" s="33">
        <f t="shared" si="15"/>
        <v>514716.79999999993</v>
      </c>
      <c r="BS12" s="33">
        <f t="shared" si="16"/>
        <v>212633.79392000003</v>
      </c>
      <c r="BU12" s="33">
        <f>SUM(BR12:BS12)</f>
        <v>727350.5939199999</v>
      </c>
    </row>
    <row r="13" spans="1:78" x14ac:dyDescent="0.25">
      <c r="A13" s="32">
        <v>46113</v>
      </c>
      <c r="B13">
        <v>2026</v>
      </c>
      <c r="D13" s="33">
        <v>27500</v>
      </c>
      <c r="E13" s="33">
        <v>9740.6299999999992</v>
      </c>
      <c r="F13" s="33"/>
      <c r="G13" s="33">
        <v>13500</v>
      </c>
      <c r="H13" s="33">
        <v>4706.25</v>
      </c>
      <c r="I13" s="34"/>
      <c r="J13" s="33">
        <v>20500</v>
      </c>
      <c r="K13" s="35">
        <v>12693.75</v>
      </c>
      <c r="L13" s="33"/>
      <c r="M13" s="33">
        <v>22500</v>
      </c>
      <c r="N13" s="33">
        <v>8380.6299999999992</v>
      </c>
      <c r="O13" s="33"/>
      <c r="P13" s="33">
        <f t="shared" si="6"/>
        <v>18675</v>
      </c>
      <c r="Q13" s="33">
        <f t="shared" si="0"/>
        <v>6955.9228999999987</v>
      </c>
      <c r="R13" s="33"/>
      <c r="S13" s="33">
        <f t="shared" si="7"/>
        <v>3825.0000000000005</v>
      </c>
      <c r="T13" s="33">
        <f t="shared" si="1"/>
        <v>1424.7070999999999</v>
      </c>
      <c r="U13" s="36"/>
      <c r="V13" s="37">
        <v>2026</v>
      </c>
      <c r="W13" s="38">
        <f t="shared" si="8"/>
        <v>80175</v>
      </c>
      <c r="X13" s="39">
        <f t="shared" si="9"/>
        <v>67424.083099999989</v>
      </c>
      <c r="Y13" s="36"/>
      <c r="Z13" s="32">
        <v>46054</v>
      </c>
      <c r="AA13">
        <v>2026</v>
      </c>
      <c r="AC13" s="40">
        <v>180000</v>
      </c>
      <c r="AD13" s="33">
        <v>57658.75</v>
      </c>
      <c r="AE13" s="33"/>
      <c r="AF13" s="33">
        <f t="shared" si="10"/>
        <v>120600</v>
      </c>
      <c r="AG13" s="33">
        <f t="shared" si="2"/>
        <v>38631.362500000003</v>
      </c>
      <c r="AH13" s="33"/>
      <c r="AI13" s="33">
        <f t="shared" si="3"/>
        <v>59400</v>
      </c>
      <c r="AJ13" s="33">
        <f t="shared" si="3"/>
        <v>19027.387500000001</v>
      </c>
      <c r="AK13" s="33"/>
      <c r="AL13" s="33">
        <f>6*8333.33</f>
        <v>49999.979999999996</v>
      </c>
      <c r="AM13" s="33">
        <f>6*721.67</f>
        <v>4330.0199999999995</v>
      </c>
      <c r="AN13" s="36"/>
      <c r="AO13" s="33">
        <v>10000</v>
      </c>
      <c r="AP13" s="33">
        <v>6556.25</v>
      </c>
      <c r="AQ13" s="33"/>
      <c r="AR13" s="33">
        <f t="shared" si="11"/>
        <v>8455</v>
      </c>
      <c r="AS13" s="33">
        <f t="shared" si="4"/>
        <v>5543.3093749999998</v>
      </c>
      <c r="AT13" s="33"/>
      <c r="AU13" s="33">
        <v>40000</v>
      </c>
      <c r="AV13" s="33">
        <v>15621.88</v>
      </c>
      <c r="AW13" s="33"/>
      <c r="AX13" s="33">
        <f t="shared" si="12"/>
        <v>32480.000000000004</v>
      </c>
      <c r="AY13" s="33">
        <f t="shared" si="5"/>
        <v>12684.966560000001</v>
      </c>
      <c r="AZ13" s="36"/>
      <c r="BA13" s="41">
        <f t="shared" si="13"/>
        <v>234034.97999999998</v>
      </c>
      <c r="BB13" s="41">
        <f t="shared" si="14"/>
        <v>119338.64812</v>
      </c>
      <c r="BD13" s="33"/>
      <c r="BE13" s="33"/>
      <c r="BF13" s="32">
        <v>46174</v>
      </c>
      <c r="BG13">
        <v>2026</v>
      </c>
      <c r="BH13" s="42">
        <v>40035.129999999997</v>
      </c>
      <c r="BI13" s="42">
        <v>200.16</v>
      </c>
      <c r="BJ13" s="48"/>
      <c r="BK13" s="32">
        <v>46174</v>
      </c>
      <c r="BL13">
        <v>2026</v>
      </c>
      <c r="BM13" s="82">
        <v>2184.39</v>
      </c>
      <c r="BN13" s="42">
        <v>152.44</v>
      </c>
      <c r="BR13" s="33"/>
      <c r="BS13" s="33"/>
      <c r="BU13" s="42"/>
    </row>
    <row r="14" spans="1:78" x14ac:dyDescent="0.25">
      <c r="A14" s="32">
        <v>46296</v>
      </c>
      <c r="D14" s="33"/>
      <c r="E14" s="33">
        <v>9482.81</v>
      </c>
      <c r="F14" s="33"/>
      <c r="G14" s="33"/>
      <c r="H14" s="33">
        <v>4579.6899999999996</v>
      </c>
      <c r="I14" s="34"/>
      <c r="J14" s="33"/>
      <c r="K14" s="35">
        <v>12437.5</v>
      </c>
      <c r="L14" s="33"/>
      <c r="M14" s="33"/>
      <c r="N14" s="33">
        <v>8225.94</v>
      </c>
      <c r="O14" s="33"/>
      <c r="P14" s="33"/>
      <c r="Q14" s="33">
        <f t="shared" si="0"/>
        <v>6827.5302000000001</v>
      </c>
      <c r="R14" s="33"/>
      <c r="S14" s="33"/>
      <c r="T14" s="33">
        <f t="shared" si="1"/>
        <v>1398.4098000000001</v>
      </c>
      <c r="U14" s="36"/>
      <c r="V14" s="36"/>
      <c r="W14" s="44"/>
      <c r="X14" s="31"/>
      <c r="Y14" s="36"/>
      <c r="Z14" s="32">
        <v>46235</v>
      </c>
      <c r="AC14" s="40"/>
      <c r="AD14" s="33">
        <v>54418.75</v>
      </c>
      <c r="AE14" s="33"/>
      <c r="AF14" s="33"/>
      <c r="AG14" s="33">
        <f t="shared" si="2"/>
        <v>36460.5625</v>
      </c>
      <c r="AH14" s="33"/>
      <c r="AI14" s="33"/>
      <c r="AJ14" s="33">
        <f t="shared" si="3"/>
        <v>17958.1875</v>
      </c>
      <c r="AK14" s="33"/>
      <c r="AL14" s="33">
        <f>6*3750</f>
        <v>22500</v>
      </c>
      <c r="AM14" s="33">
        <f>6*721.67</f>
        <v>4330.0199999999995</v>
      </c>
      <c r="AN14" s="36"/>
      <c r="AO14" s="33"/>
      <c r="AP14" s="33">
        <v>6343.75</v>
      </c>
      <c r="AQ14" s="33"/>
      <c r="AR14" s="33"/>
      <c r="AS14" s="33">
        <f t="shared" si="4"/>
        <v>5363.640625</v>
      </c>
      <c r="AT14" s="33"/>
      <c r="AU14" s="33"/>
      <c r="AV14" s="33">
        <v>14771.88</v>
      </c>
      <c r="AW14" s="33"/>
      <c r="AX14" s="33"/>
      <c r="AY14" s="33">
        <f t="shared" si="5"/>
        <v>11994.76656</v>
      </c>
      <c r="AZ14" s="36"/>
      <c r="BA14" s="33"/>
      <c r="BB14" s="33"/>
      <c r="BD14" s="33">
        <v>97997.56</v>
      </c>
      <c r="BE14" s="33">
        <v>10740.33</v>
      </c>
      <c r="BF14" s="32"/>
      <c r="BH14" s="42"/>
      <c r="BI14" s="42"/>
      <c r="BJ14" s="48"/>
      <c r="BK14" s="79">
        <v>44896</v>
      </c>
      <c r="BM14" s="82">
        <v>2187.12</v>
      </c>
      <c r="BN14" s="42">
        <v>149.71</v>
      </c>
      <c r="BQ14">
        <v>2026</v>
      </c>
      <c r="BR14" s="33">
        <f t="shared" si="15"/>
        <v>456614.18</v>
      </c>
      <c r="BS14" s="33">
        <f t="shared" si="16"/>
        <v>198005.37121999997</v>
      </c>
      <c r="BU14" s="33">
        <f>SUM(BR14:BS14)</f>
        <v>654619.55122000002</v>
      </c>
    </row>
    <row r="15" spans="1:78" x14ac:dyDescent="0.25">
      <c r="A15" s="32"/>
      <c r="D15" s="33"/>
      <c r="E15" s="33"/>
      <c r="F15" s="33"/>
      <c r="G15" s="33"/>
      <c r="H15" s="33"/>
      <c r="I15" s="34"/>
      <c r="J15" s="33"/>
      <c r="K15" s="35"/>
      <c r="L15" s="33"/>
      <c r="M15" s="33"/>
      <c r="N15" s="33"/>
      <c r="O15" s="33"/>
      <c r="P15" s="33"/>
      <c r="Q15" s="33"/>
      <c r="R15" s="33"/>
      <c r="S15" s="33"/>
      <c r="T15" s="33"/>
      <c r="U15" s="36"/>
      <c r="V15" s="36"/>
      <c r="W15" s="44"/>
      <c r="X15" s="31"/>
      <c r="Y15" s="36"/>
      <c r="Z15" s="36"/>
      <c r="AA15" s="36"/>
      <c r="AC15" s="40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6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6"/>
      <c r="BA15" s="33"/>
      <c r="BB15" s="33"/>
      <c r="BD15" s="33"/>
      <c r="BE15" s="33"/>
      <c r="BF15" s="32"/>
      <c r="BH15" s="42"/>
      <c r="BI15" s="42"/>
      <c r="BJ15" s="48"/>
      <c r="BK15" s="48"/>
      <c r="BM15" s="42"/>
      <c r="BN15" s="42"/>
      <c r="BR15" s="42"/>
      <c r="BS15" s="42"/>
      <c r="BU15" s="42"/>
      <c r="BV15" t="s">
        <v>80</v>
      </c>
      <c r="BW15" s="45">
        <f>SUM(BU5:BU14)</f>
        <v>3585905.7724000001</v>
      </c>
    </row>
    <row r="16" spans="1:78" x14ac:dyDescent="0.25">
      <c r="A16" s="32"/>
      <c r="D16" s="33"/>
      <c r="E16" s="33"/>
      <c r="F16" s="33"/>
      <c r="G16" s="33"/>
      <c r="H16" s="33"/>
      <c r="I16" s="34"/>
      <c r="J16" s="33"/>
      <c r="K16" s="35"/>
      <c r="L16" s="33"/>
      <c r="M16" s="33"/>
      <c r="N16" s="33"/>
      <c r="O16" s="33"/>
      <c r="P16" s="33"/>
      <c r="Q16" s="33"/>
      <c r="R16" s="33"/>
      <c r="S16" s="33"/>
      <c r="T16" s="33"/>
      <c r="U16" s="36"/>
      <c r="V16" s="36"/>
      <c r="W16" s="44"/>
      <c r="X16" s="31"/>
      <c r="Y16" s="36"/>
      <c r="Z16" s="36"/>
      <c r="AA16" s="36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6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6"/>
      <c r="BA16" s="33"/>
      <c r="BB16" s="33"/>
      <c r="BD16" s="33"/>
      <c r="BE16" s="33"/>
      <c r="BF16" s="32"/>
      <c r="BH16" s="42"/>
      <c r="BI16" s="42"/>
      <c r="BJ16" s="48"/>
      <c r="BK16" s="48"/>
      <c r="BM16" s="42"/>
      <c r="BN16" s="42"/>
      <c r="BR16" s="33"/>
      <c r="BS16" s="33"/>
      <c r="BU16" s="33"/>
      <c r="BV16" t="s">
        <v>81</v>
      </c>
      <c r="BW16" s="46">
        <f>BW15/5</f>
        <v>717181.15448000003</v>
      </c>
    </row>
    <row r="17" spans="1:75" x14ac:dyDescent="0.25">
      <c r="A17" s="32"/>
      <c r="D17" s="33"/>
      <c r="E17" s="33"/>
      <c r="F17" s="33"/>
      <c r="G17" s="33"/>
      <c r="H17" s="33"/>
      <c r="I17" s="34"/>
      <c r="J17" s="33"/>
      <c r="K17" s="35"/>
      <c r="L17" s="33"/>
      <c r="M17" s="33"/>
      <c r="N17" s="33"/>
      <c r="O17" s="33"/>
      <c r="P17" s="33"/>
      <c r="Q17" s="33"/>
      <c r="R17" s="33"/>
      <c r="S17" s="33"/>
      <c r="T17" s="33"/>
      <c r="U17" s="36"/>
      <c r="V17" s="36"/>
      <c r="W17" s="44"/>
      <c r="X17" s="31"/>
      <c r="Y17" s="36"/>
      <c r="Z17" s="36"/>
      <c r="AA17" s="36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6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6"/>
      <c r="BA17" s="33"/>
      <c r="BB17" s="33"/>
      <c r="BD17" s="33"/>
      <c r="BE17" s="33"/>
      <c r="BF17" s="32"/>
      <c r="BH17" s="42"/>
      <c r="BI17" s="42"/>
      <c r="BJ17" s="48"/>
      <c r="BK17" s="48"/>
      <c r="BM17" s="42"/>
      <c r="BN17" s="42"/>
      <c r="BR17" s="42"/>
      <c r="BS17" s="42"/>
      <c r="BU17" s="42"/>
      <c r="BV17" t="s">
        <v>82</v>
      </c>
      <c r="BW17" s="46">
        <f>BW16*0.2</f>
        <v>143436.23089600002</v>
      </c>
    </row>
    <row r="18" spans="1:75" x14ac:dyDescent="0.25">
      <c r="A18" s="32"/>
      <c r="D18" s="33"/>
      <c r="E18" s="33"/>
      <c r="F18" s="33"/>
      <c r="G18" s="33"/>
      <c r="H18" s="33"/>
      <c r="I18" s="34"/>
      <c r="J18" s="33"/>
      <c r="K18" s="35"/>
      <c r="L18" s="33"/>
      <c r="M18" s="33"/>
      <c r="N18" s="33"/>
      <c r="O18" s="33"/>
      <c r="P18" s="33"/>
      <c r="Q18" s="33"/>
      <c r="R18" s="33"/>
      <c r="S18" s="33"/>
      <c r="T18" s="33"/>
      <c r="U18" s="36"/>
      <c r="V18" s="36"/>
      <c r="W18" s="44"/>
      <c r="X18" s="31"/>
      <c r="Y18" s="36"/>
      <c r="Z18" s="36"/>
      <c r="AA18" s="36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6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6"/>
      <c r="BA18" s="33"/>
      <c r="BB18" s="33"/>
      <c r="BD18" s="33"/>
      <c r="BE18" s="33"/>
      <c r="BF18" s="32"/>
      <c r="BH18" s="42"/>
      <c r="BI18" s="42"/>
      <c r="BJ18" s="48"/>
      <c r="BK18" s="48"/>
      <c r="BM18" s="42"/>
      <c r="BN18" s="42"/>
      <c r="BR18" s="33"/>
      <c r="BS18" s="33"/>
      <c r="BU18" s="33"/>
    </row>
    <row r="19" spans="1:75" x14ac:dyDescent="0.25">
      <c r="A19" s="32"/>
      <c r="D19" s="33"/>
      <c r="E19" s="33"/>
      <c r="F19" s="33"/>
      <c r="G19" s="33"/>
      <c r="H19" s="33"/>
      <c r="I19" s="34"/>
      <c r="J19" s="33"/>
      <c r="K19" s="35"/>
      <c r="L19" s="33"/>
      <c r="M19" s="33"/>
      <c r="N19" s="33"/>
      <c r="O19" s="33"/>
      <c r="P19" s="33"/>
      <c r="Q19" s="33"/>
      <c r="R19" s="33"/>
      <c r="S19" s="33"/>
      <c r="T19" s="33"/>
      <c r="U19" s="36"/>
      <c r="V19" s="36"/>
      <c r="W19" s="44"/>
      <c r="X19" s="31"/>
      <c r="Y19" s="36"/>
      <c r="Z19" s="36"/>
      <c r="AA19" s="36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6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6"/>
      <c r="BA19" s="33"/>
      <c r="BB19" s="33"/>
      <c r="BD19" s="33"/>
      <c r="BE19" s="33"/>
      <c r="BF19" s="32"/>
      <c r="BH19" s="42"/>
      <c r="BI19" s="42"/>
      <c r="BJ19" s="48"/>
      <c r="BK19" s="48"/>
      <c r="BM19" s="42"/>
      <c r="BN19" s="42"/>
      <c r="BR19" s="42"/>
      <c r="BS19" s="42"/>
      <c r="BU19" s="42"/>
      <c r="BV19" t="s">
        <v>132</v>
      </c>
      <c r="BW19" s="46">
        <f>BW16+BW17</f>
        <v>860617.38537600008</v>
      </c>
    </row>
    <row r="20" spans="1:75" x14ac:dyDescent="0.25">
      <c r="A20" s="32"/>
      <c r="D20" s="33"/>
      <c r="E20" s="33"/>
      <c r="F20" s="33"/>
      <c r="G20" s="33"/>
      <c r="H20" s="33"/>
      <c r="I20" s="34"/>
      <c r="J20" s="33"/>
      <c r="K20" s="35"/>
      <c r="L20" s="33"/>
      <c r="M20" s="33"/>
      <c r="N20" s="33"/>
      <c r="O20" s="33"/>
      <c r="P20" s="33"/>
      <c r="Q20" s="33"/>
      <c r="R20" s="33"/>
      <c r="S20" s="33"/>
      <c r="T20" s="33"/>
      <c r="U20" s="36"/>
      <c r="V20" s="36"/>
      <c r="W20" s="44"/>
      <c r="X20" s="31"/>
      <c r="Y20" s="36"/>
      <c r="Z20" s="36"/>
      <c r="AA20" s="36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6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6"/>
      <c r="BA20" s="33"/>
      <c r="BB20" s="33"/>
      <c r="BD20" s="33"/>
      <c r="BE20" s="33"/>
      <c r="BF20" s="32"/>
      <c r="BH20" s="42"/>
      <c r="BI20" s="42"/>
      <c r="BJ20" s="48"/>
      <c r="BK20" s="48"/>
      <c r="BM20" s="42"/>
      <c r="BN20" s="42"/>
      <c r="BR20" s="33"/>
      <c r="BS20" s="33"/>
      <c r="BU20" s="33"/>
    </row>
    <row r="21" spans="1:75" x14ac:dyDescent="0.25">
      <c r="A21" s="32"/>
      <c r="D21" s="33"/>
      <c r="E21" s="33"/>
      <c r="F21" s="33"/>
      <c r="G21" s="33"/>
      <c r="H21" s="33"/>
      <c r="I21" s="34"/>
      <c r="J21" s="33"/>
      <c r="K21" s="35"/>
      <c r="L21" s="33"/>
      <c r="M21" s="33"/>
      <c r="N21" s="33"/>
      <c r="O21" s="33"/>
      <c r="P21" s="33"/>
      <c r="Q21" s="33"/>
      <c r="R21" s="33"/>
      <c r="S21" s="33"/>
      <c r="T21" s="33"/>
      <c r="U21" s="36"/>
      <c r="V21" s="36"/>
      <c r="W21" s="44"/>
      <c r="X21" s="31"/>
      <c r="Y21" s="36"/>
      <c r="Z21" s="36"/>
      <c r="AA21" s="36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6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6"/>
      <c r="BA21" s="33"/>
      <c r="BB21" s="33"/>
      <c r="BD21" s="33"/>
      <c r="BE21" s="33"/>
      <c r="BF21" s="32"/>
      <c r="BH21" s="42"/>
      <c r="BI21" s="42"/>
      <c r="BJ21" s="48"/>
      <c r="BK21" s="48"/>
      <c r="BM21" s="42"/>
      <c r="BN21" s="42"/>
      <c r="BR21" s="42"/>
      <c r="BS21" s="42"/>
      <c r="BU21" s="42"/>
    </row>
    <row r="22" spans="1:75" x14ac:dyDescent="0.25">
      <c r="A22" s="32"/>
      <c r="D22" s="33"/>
      <c r="E22" s="33"/>
      <c r="F22" s="33"/>
      <c r="G22" s="33"/>
      <c r="H22" s="33"/>
      <c r="I22" s="34"/>
      <c r="J22" s="33"/>
      <c r="K22" s="35"/>
      <c r="L22" s="33"/>
      <c r="M22" s="33"/>
      <c r="N22" s="33"/>
      <c r="O22" s="33"/>
      <c r="P22" s="33"/>
      <c r="Q22" s="33"/>
      <c r="R22" s="33"/>
      <c r="S22" s="33"/>
      <c r="T22" s="33"/>
      <c r="U22" s="36"/>
      <c r="V22" s="36"/>
      <c r="W22" s="44"/>
      <c r="X22" s="31"/>
      <c r="Y22" s="36"/>
      <c r="Z22" s="36"/>
      <c r="AA22" s="36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6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6"/>
      <c r="BA22" s="33"/>
      <c r="BB22" s="33"/>
      <c r="BD22" s="33"/>
      <c r="BE22" s="33"/>
      <c r="BF22" s="32"/>
      <c r="BH22" s="42"/>
      <c r="BI22" s="42"/>
      <c r="BJ22" s="48"/>
      <c r="BK22" s="48"/>
      <c r="BM22" s="42"/>
      <c r="BN22" s="42"/>
      <c r="BR22" s="33"/>
      <c r="BS22" s="33"/>
      <c r="BU22" s="33"/>
    </row>
    <row r="23" spans="1:75" x14ac:dyDescent="0.25">
      <c r="A23" s="32"/>
      <c r="D23" s="33"/>
      <c r="E23" s="33"/>
      <c r="F23" s="33"/>
      <c r="G23" s="33"/>
      <c r="H23" s="33"/>
      <c r="I23" s="34"/>
      <c r="J23" s="33"/>
      <c r="K23" s="35"/>
      <c r="L23" s="33"/>
      <c r="M23" s="33"/>
      <c r="N23" s="33"/>
      <c r="O23" s="33"/>
      <c r="P23" s="33"/>
      <c r="Q23" s="33"/>
      <c r="R23" s="33"/>
      <c r="S23" s="33"/>
      <c r="T23" s="33"/>
      <c r="U23" s="36"/>
      <c r="V23" s="36"/>
      <c r="W23" s="44"/>
      <c r="X23" s="31"/>
      <c r="Y23" s="36"/>
      <c r="Z23" s="36"/>
      <c r="AA23" s="36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6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6"/>
      <c r="BA23" s="33"/>
      <c r="BB23" s="33"/>
      <c r="BD23" s="33"/>
      <c r="BE23" s="33"/>
      <c r="BF23" s="32"/>
      <c r="BH23" s="42"/>
      <c r="BI23" s="42"/>
      <c r="BJ23" s="48"/>
      <c r="BK23" s="48"/>
      <c r="BM23" s="42"/>
      <c r="BN23" s="42"/>
      <c r="BR23" s="42"/>
      <c r="BS23" s="42"/>
      <c r="BU23" s="42"/>
    </row>
    <row r="24" spans="1:75" x14ac:dyDescent="0.25">
      <c r="A24" s="32"/>
      <c r="D24" s="33"/>
      <c r="E24" s="33"/>
      <c r="F24" s="33"/>
      <c r="G24" s="33"/>
      <c r="H24" s="33"/>
      <c r="I24" s="34"/>
      <c r="J24" s="33"/>
      <c r="K24" s="35"/>
      <c r="L24" s="33"/>
      <c r="M24" s="33"/>
      <c r="N24" s="33"/>
      <c r="O24" s="33"/>
      <c r="P24" s="33"/>
      <c r="Q24" s="33"/>
      <c r="R24" s="33"/>
      <c r="S24" s="33"/>
      <c r="T24" s="33"/>
      <c r="U24" s="36"/>
      <c r="V24" s="36"/>
      <c r="W24" s="44"/>
      <c r="X24" s="31"/>
      <c r="Y24" s="36"/>
      <c r="Z24" s="36"/>
      <c r="AA24" s="36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6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6"/>
      <c r="BA24" s="33"/>
      <c r="BB24" s="33"/>
      <c r="BD24" s="33"/>
      <c r="BE24" s="33"/>
      <c r="BH24" s="42"/>
      <c r="BI24" s="42"/>
      <c r="BJ24" s="48"/>
      <c r="BK24" s="48"/>
      <c r="BM24" s="42"/>
      <c r="BN24" s="42"/>
      <c r="BR24" s="33"/>
      <c r="BS24" s="33"/>
      <c r="BU24" s="33"/>
    </row>
    <row r="25" spans="1:75" x14ac:dyDescent="0.25">
      <c r="A25" s="32"/>
      <c r="D25" s="33"/>
      <c r="E25" s="33"/>
      <c r="F25" s="33"/>
      <c r="G25" s="33"/>
      <c r="H25" s="33"/>
      <c r="I25" s="34"/>
      <c r="J25" s="33"/>
      <c r="K25" s="35"/>
      <c r="L25" s="33"/>
      <c r="M25" s="33"/>
      <c r="N25" s="33"/>
      <c r="O25" s="33"/>
      <c r="P25" s="33"/>
      <c r="Q25" s="33"/>
      <c r="R25" s="33"/>
      <c r="S25" s="33"/>
      <c r="T25" s="33"/>
      <c r="U25" s="36"/>
      <c r="V25" s="36"/>
      <c r="W25" s="44"/>
      <c r="X25" s="31"/>
      <c r="Y25" s="36"/>
      <c r="Z25" s="36"/>
      <c r="AA25" s="36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6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6"/>
      <c r="BA25" s="33"/>
      <c r="BB25" s="33"/>
      <c r="BD25" s="33"/>
      <c r="BE25" s="33"/>
      <c r="BH25" s="42"/>
      <c r="BI25" s="42"/>
      <c r="BJ25" s="48"/>
      <c r="BK25" s="48"/>
      <c r="BM25" s="42"/>
      <c r="BN25" s="42"/>
      <c r="BR25" s="42"/>
      <c r="BS25" s="42"/>
      <c r="BU25" s="42"/>
    </row>
    <row r="26" spans="1:75" x14ac:dyDescent="0.25">
      <c r="A26" s="32"/>
      <c r="D26" s="33"/>
      <c r="E26" s="33"/>
      <c r="F26" s="33"/>
      <c r="G26" s="33"/>
      <c r="H26" s="33"/>
      <c r="I26" s="34"/>
      <c r="J26" s="33"/>
      <c r="K26" s="35"/>
      <c r="L26" s="33"/>
      <c r="M26" s="33"/>
      <c r="N26" s="33"/>
      <c r="O26" s="33"/>
      <c r="P26" s="33"/>
      <c r="Q26" s="33"/>
      <c r="R26" s="33"/>
      <c r="S26" s="33"/>
      <c r="T26" s="33"/>
      <c r="U26" s="36"/>
      <c r="V26" s="36"/>
      <c r="W26" s="44"/>
      <c r="X26" s="31"/>
      <c r="Y26" s="36"/>
      <c r="Z26" s="36"/>
      <c r="AA26" s="36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6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6"/>
      <c r="BA26" s="33"/>
      <c r="BB26" s="33"/>
      <c r="BD26" s="33"/>
      <c r="BE26" s="33"/>
      <c r="BH26" s="42"/>
      <c r="BI26" s="42"/>
      <c r="BJ26" s="48"/>
      <c r="BK26" s="48"/>
      <c r="BM26" s="42"/>
      <c r="BN26" s="42"/>
      <c r="BR26" s="33"/>
      <c r="BS26" s="33"/>
      <c r="BU26" s="33"/>
    </row>
    <row r="27" spans="1:75" x14ac:dyDescent="0.25">
      <c r="A27" s="32"/>
      <c r="D27" s="33"/>
      <c r="E27" s="33"/>
      <c r="F27" s="33"/>
      <c r="G27" s="33"/>
      <c r="H27" s="33"/>
      <c r="I27" s="34"/>
      <c r="J27" s="33"/>
      <c r="K27" s="35"/>
      <c r="L27" s="33"/>
      <c r="M27" s="33"/>
      <c r="N27" s="33"/>
      <c r="O27" s="33"/>
      <c r="P27" s="33"/>
      <c r="Q27" s="33"/>
      <c r="R27" s="33"/>
      <c r="S27" s="33"/>
      <c r="T27" s="33"/>
      <c r="U27" s="36"/>
      <c r="V27" s="36"/>
      <c r="W27" s="44"/>
      <c r="X27" s="31"/>
      <c r="Y27" s="36"/>
      <c r="Z27" s="36"/>
      <c r="AA27" s="36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6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6"/>
      <c r="BA27" s="33"/>
      <c r="BB27" s="33"/>
      <c r="BD27" s="33"/>
      <c r="BE27" s="33"/>
      <c r="BH27" s="42"/>
      <c r="BI27" s="42"/>
      <c r="BJ27" s="48"/>
      <c r="BK27" s="48"/>
      <c r="BM27" s="42"/>
      <c r="BN27" s="42"/>
      <c r="BR27" s="42"/>
      <c r="BS27" s="42"/>
      <c r="BU27" s="42"/>
    </row>
    <row r="28" spans="1:75" x14ac:dyDescent="0.25">
      <c r="A28" s="32"/>
      <c r="D28" s="33"/>
      <c r="E28" s="33"/>
      <c r="F28" s="33"/>
      <c r="G28" s="33"/>
      <c r="H28" s="33"/>
      <c r="I28" s="34"/>
      <c r="J28" s="33"/>
      <c r="K28" s="35"/>
      <c r="L28" s="33"/>
      <c r="M28" s="33"/>
      <c r="N28" s="33"/>
      <c r="O28" s="33"/>
      <c r="P28" s="33"/>
      <c r="Q28" s="33"/>
      <c r="R28" s="33"/>
      <c r="S28" s="33"/>
      <c r="T28" s="33"/>
      <c r="U28" s="36"/>
      <c r="V28" s="36"/>
      <c r="W28" s="44"/>
      <c r="X28" s="31"/>
      <c r="Y28" s="36"/>
      <c r="Z28" s="36"/>
      <c r="AA28" s="36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6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6"/>
      <c r="BA28" s="33"/>
      <c r="BB28" s="33"/>
      <c r="BD28" s="33"/>
      <c r="BE28" s="33"/>
      <c r="BH28" s="42"/>
      <c r="BI28" s="42"/>
      <c r="BJ28" s="48"/>
      <c r="BK28" s="48"/>
      <c r="BM28" s="42"/>
      <c r="BN28" s="42"/>
      <c r="BR28" s="33"/>
      <c r="BS28" s="33"/>
      <c r="BU28" s="33"/>
    </row>
    <row r="29" spans="1:75" x14ac:dyDescent="0.25">
      <c r="A29" s="32"/>
      <c r="D29" s="33"/>
      <c r="E29" s="33"/>
      <c r="F29" s="33"/>
      <c r="G29" s="33"/>
      <c r="H29" s="33"/>
      <c r="I29" s="34"/>
      <c r="J29" s="33"/>
      <c r="K29" s="35"/>
      <c r="L29" s="33"/>
      <c r="M29" s="33"/>
      <c r="N29" s="33"/>
      <c r="O29" s="33"/>
      <c r="P29" s="33"/>
      <c r="Q29" s="33"/>
      <c r="R29" s="33"/>
      <c r="S29" s="33"/>
      <c r="T29" s="33"/>
      <c r="U29" s="36"/>
      <c r="V29" s="36"/>
      <c r="W29" s="44"/>
      <c r="X29" s="31"/>
      <c r="Y29" s="36"/>
      <c r="Z29" s="36"/>
      <c r="AA29" s="36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6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6"/>
      <c r="BA29" s="33"/>
      <c r="BB29" s="33"/>
      <c r="BD29" s="33"/>
      <c r="BE29" s="33"/>
      <c r="BH29" s="42"/>
      <c r="BI29" s="42"/>
      <c r="BJ29" s="48"/>
      <c r="BK29" s="48"/>
      <c r="BM29" s="42"/>
      <c r="BN29" s="42"/>
      <c r="BR29" s="42"/>
      <c r="BS29" s="42"/>
      <c r="BU29" s="42"/>
    </row>
    <row r="30" spans="1:75" x14ac:dyDescent="0.25">
      <c r="A30" s="32"/>
      <c r="D30" s="33"/>
      <c r="E30" s="33"/>
      <c r="F30" s="33"/>
      <c r="G30" s="33"/>
      <c r="H30" s="33"/>
      <c r="I30" s="34"/>
      <c r="J30" s="33"/>
      <c r="K30" s="35"/>
      <c r="L30" s="33"/>
      <c r="M30" s="33"/>
      <c r="N30" s="33"/>
      <c r="O30" s="33"/>
      <c r="P30" s="33"/>
      <c r="Q30" s="33"/>
      <c r="R30" s="33"/>
      <c r="S30" s="33"/>
      <c r="T30" s="33"/>
      <c r="U30" s="36"/>
      <c r="V30" s="36"/>
      <c r="W30" s="44"/>
      <c r="X30" s="31"/>
      <c r="Y30" s="36"/>
      <c r="Z30" s="36"/>
      <c r="AA30" s="36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6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6"/>
      <c r="BA30" s="33"/>
      <c r="BB30" s="33"/>
      <c r="BD30" s="33"/>
      <c r="BE30" s="33"/>
      <c r="BH30" s="42"/>
      <c r="BI30" s="42"/>
      <c r="BJ30" s="48"/>
      <c r="BK30" s="48"/>
      <c r="BM30" s="42"/>
      <c r="BN30" s="42"/>
      <c r="BR30" s="33"/>
      <c r="BS30" s="33"/>
      <c r="BU30" s="33"/>
    </row>
    <row r="31" spans="1:75" x14ac:dyDescent="0.25">
      <c r="A31" s="32"/>
      <c r="D31" s="33"/>
      <c r="E31" s="33"/>
      <c r="F31" s="33"/>
      <c r="G31" s="33"/>
      <c r="H31" s="33"/>
      <c r="I31" s="34"/>
      <c r="J31" s="33"/>
      <c r="K31" s="35"/>
      <c r="L31" s="33"/>
      <c r="M31" s="33"/>
      <c r="N31" s="33"/>
      <c r="O31" s="33"/>
      <c r="P31" s="33"/>
      <c r="Q31" s="33"/>
      <c r="R31" s="33"/>
      <c r="S31" s="33"/>
      <c r="T31" s="33"/>
      <c r="U31" s="36"/>
      <c r="V31" s="36"/>
      <c r="W31" s="44"/>
      <c r="X31" s="31"/>
      <c r="Y31" s="36"/>
      <c r="Z31" s="36"/>
      <c r="AA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6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6"/>
      <c r="BA31" s="33"/>
      <c r="BB31" s="33"/>
      <c r="BD31" s="33"/>
      <c r="BE31" s="33"/>
      <c r="BH31" s="42"/>
      <c r="BI31" s="42"/>
      <c r="BJ31" s="48"/>
      <c r="BK31" s="48"/>
      <c r="BM31" s="42"/>
      <c r="BN31" s="42"/>
      <c r="BR31" s="42"/>
      <c r="BS31" s="42"/>
      <c r="BU31" s="42"/>
    </row>
    <row r="32" spans="1:75" x14ac:dyDescent="0.25">
      <c r="A32" s="32"/>
      <c r="D32" s="33"/>
      <c r="E32" s="33"/>
      <c r="F32" s="33"/>
      <c r="G32" s="33"/>
      <c r="H32" s="33"/>
      <c r="I32" s="34"/>
      <c r="J32" s="33"/>
      <c r="K32" s="35"/>
      <c r="L32" s="33"/>
      <c r="M32" s="33"/>
      <c r="N32" s="33"/>
      <c r="O32" s="33"/>
      <c r="P32" s="33"/>
      <c r="Q32" s="33"/>
      <c r="R32" s="33"/>
      <c r="S32" s="33"/>
      <c r="T32" s="33"/>
      <c r="U32" s="36"/>
      <c r="V32" s="36"/>
      <c r="W32" s="44"/>
      <c r="X32" s="31"/>
      <c r="Y32" s="36"/>
      <c r="Z32" s="36"/>
      <c r="AA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6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6"/>
      <c r="BA32" s="33"/>
      <c r="BB32" s="33"/>
      <c r="BD32" s="33"/>
      <c r="BE32" s="33"/>
      <c r="BH32" s="42"/>
      <c r="BI32" s="42"/>
      <c r="BJ32" s="48"/>
      <c r="BK32" s="48"/>
      <c r="BM32" s="42"/>
      <c r="BN32" s="42"/>
      <c r="BR32" s="33"/>
      <c r="BS32" s="33"/>
      <c r="BU32" s="33"/>
    </row>
    <row r="33" spans="1:73" x14ac:dyDescent="0.25">
      <c r="A33" s="32"/>
      <c r="D33" s="33"/>
      <c r="E33" s="33"/>
      <c r="F33" s="33"/>
      <c r="G33" s="33"/>
      <c r="H33" s="33"/>
      <c r="I33" s="34"/>
      <c r="J33" s="33"/>
      <c r="K33" s="35"/>
      <c r="L33" s="33"/>
      <c r="M33" s="33"/>
      <c r="N33" s="33"/>
      <c r="O33" s="33"/>
      <c r="P33" s="33"/>
      <c r="Q33" s="33"/>
      <c r="R33" s="33"/>
      <c r="S33" s="33"/>
      <c r="T33" s="33"/>
      <c r="U33" s="36"/>
      <c r="V33" s="36"/>
      <c r="W33" s="44"/>
      <c r="X33" s="31"/>
      <c r="Y33" s="36"/>
      <c r="Z33" s="36"/>
      <c r="AA33" s="36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6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6"/>
      <c r="BA33" s="33"/>
      <c r="BB33" s="33"/>
      <c r="BD33" s="33"/>
      <c r="BE33" s="33"/>
      <c r="BH33" s="42"/>
      <c r="BI33" s="42"/>
      <c r="BJ33" s="48"/>
      <c r="BK33" s="48"/>
      <c r="BM33" s="42"/>
      <c r="BN33" s="42"/>
      <c r="BR33" s="42"/>
      <c r="BS33" s="42"/>
      <c r="BU33" s="42"/>
    </row>
    <row r="34" spans="1:73" x14ac:dyDescent="0.25">
      <c r="A34" s="32"/>
      <c r="D34" s="33"/>
      <c r="E34" s="33"/>
      <c r="F34" s="33"/>
      <c r="G34" s="33"/>
      <c r="H34" s="33"/>
      <c r="I34" s="34"/>
      <c r="J34" s="33"/>
      <c r="K34" s="35"/>
      <c r="L34" s="33"/>
      <c r="M34" s="33"/>
      <c r="N34" s="33"/>
      <c r="O34" s="33"/>
      <c r="P34" s="33"/>
      <c r="Q34" s="33"/>
      <c r="R34" s="33"/>
      <c r="S34" s="33"/>
      <c r="T34" s="33"/>
      <c r="U34" s="36"/>
      <c r="V34" s="36"/>
      <c r="W34" s="44"/>
      <c r="X34" s="31"/>
      <c r="Y34" s="36"/>
      <c r="Z34" s="36"/>
      <c r="AA34" s="36"/>
      <c r="AC34" s="42"/>
      <c r="AD34" s="47"/>
      <c r="AE34" s="47"/>
      <c r="AF34" s="42"/>
      <c r="AG34" s="42"/>
      <c r="AH34" s="42"/>
      <c r="AI34" s="42"/>
      <c r="AJ34" s="42"/>
      <c r="AK34" s="42"/>
      <c r="AL34" s="42"/>
      <c r="AM34" s="42"/>
      <c r="AN34" s="48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42"/>
      <c r="AZ34" s="48"/>
      <c r="BA34" s="33"/>
      <c r="BB34" s="33"/>
      <c r="BD34" s="33"/>
      <c r="BE34" s="33"/>
      <c r="BH34" s="42"/>
      <c r="BI34" s="42"/>
      <c r="BJ34" s="48"/>
      <c r="BK34" s="48"/>
      <c r="BM34" s="42"/>
      <c r="BN34" s="42"/>
      <c r="BR34" s="33"/>
      <c r="BS34" s="33"/>
      <c r="BU34" s="33"/>
    </row>
    <row r="35" spans="1:73" x14ac:dyDescent="0.25">
      <c r="A35" s="32"/>
      <c r="D35" s="33"/>
      <c r="E35" s="33"/>
      <c r="F35" s="33"/>
      <c r="G35" s="33"/>
      <c r="H35" s="33"/>
      <c r="I35" s="34"/>
      <c r="J35" s="33"/>
      <c r="K35" s="35"/>
      <c r="L35" s="33"/>
      <c r="M35" s="33"/>
      <c r="N35" s="33"/>
      <c r="O35" s="33"/>
      <c r="P35" s="33"/>
      <c r="Q35" s="33"/>
      <c r="R35" s="33"/>
      <c r="S35" s="33"/>
      <c r="T35" s="33"/>
      <c r="U35" s="36"/>
      <c r="V35" s="36"/>
      <c r="W35" s="44"/>
      <c r="X35" s="31"/>
      <c r="Y35" s="36"/>
      <c r="Z35" s="36"/>
      <c r="AA35" s="36"/>
      <c r="AC35" s="42"/>
      <c r="AD35" s="47"/>
      <c r="AE35" s="47"/>
      <c r="AF35" s="42"/>
      <c r="AG35" s="42"/>
      <c r="AH35" s="42"/>
      <c r="AI35" s="42"/>
      <c r="AJ35" s="42"/>
      <c r="AK35" s="42"/>
      <c r="AL35" s="42"/>
      <c r="AM35" s="42"/>
      <c r="AN35" s="48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8"/>
      <c r="BA35" s="33"/>
      <c r="BB35" s="33"/>
      <c r="BD35" s="33"/>
      <c r="BE35" s="33"/>
      <c r="BH35" s="42"/>
      <c r="BI35" s="42"/>
      <c r="BJ35" s="48"/>
      <c r="BK35" s="48"/>
      <c r="BM35" s="42"/>
      <c r="BN35" s="42"/>
      <c r="BR35" s="42"/>
      <c r="BS35" s="42"/>
      <c r="BU35" s="42"/>
    </row>
    <row r="36" spans="1:73" x14ac:dyDescent="0.25">
      <c r="A36" s="32"/>
      <c r="D36" s="33"/>
      <c r="E36" s="33"/>
      <c r="F36" s="33"/>
      <c r="G36" s="33"/>
      <c r="H36" s="33"/>
      <c r="I36" s="34"/>
      <c r="J36" s="33"/>
      <c r="K36" s="35"/>
      <c r="L36" s="33"/>
      <c r="M36" s="33"/>
      <c r="N36" s="33"/>
      <c r="O36" s="33"/>
      <c r="P36" s="33"/>
      <c r="Q36" s="33"/>
      <c r="R36" s="33"/>
      <c r="S36" s="33"/>
      <c r="T36" s="33"/>
      <c r="U36" s="36"/>
      <c r="V36" s="36"/>
      <c r="W36" s="44"/>
      <c r="X36" s="31"/>
      <c r="Y36" s="36"/>
      <c r="Z36" s="36"/>
      <c r="AA36" s="36"/>
      <c r="AC36" s="42"/>
      <c r="AD36" s="47"/>
      <c r="AE36" s="47"/>
      <c r="AF36" s="42"/>
      <c r="AG36" s="42"/>
      <c r="AH36" s="42"/>
      <c r="AI36" s="42"/>
      <c r="AJ36" s="42"/>
      <c r="AK36" s="42"/>
      <c r="AL36" s="42"/>
      <c r="AM36" s="42"/>
      <c r="AN36" s="48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8"/>
      <c r="BA36" s="33"/>
      <c r="BB36" s="33"/>
      <c r="BD36" s="33"/>
      <c r="BE36" s="33"/>
      <c r="BH36" s="42"/>
      <c r="BI36" s="42"/>
      <c r="BJ36" s="48"/>
      <c r="BK36" s="48"/>
      <c r="BM36" s="42"/>
      <c r="BN36" s="42"/>
      <c r="BR36" s="33"/>
      <c r="BS36" s="33"/>
      <c r="BU36" s="33"/>
    </row>
    <row r="37" spans="1:73" x14ac:dyDescent="0.25">
      <c r="A37" s="32"/>
      <c r="D37" s="33"/>
      <c r="E37" s="33"/>
      <c r="F37" s="33"/>
      <c r="G37" s="33"/>
      <c r="H37" s="33"/>
      <c r="I37" s="34"/>
      <c r="J37" s="33"/>
      <c r="K37" s="35"/>
      <c r="L37" s="33"/>
      <c r="M37" s="33"/>
      <c r="N37" s="33"/>
      <c r="O37" s="33"/>
      <c r="P37" s="33"/>
      <c r="Q37" s="33"/>
      <c r="R37" s="33"/>
      <c r="S37" s="33"/>
      <c r="T37" s="33"/>
      <c r="U37" s="36"/>
      <c r="V37" s="36"/>
      <c r="W37" s="44"/>
      <c r="X37" s="31"/>
      <c r="Y37" s="36"/>
      <c r="Z37" s="36"/>
      <c r="AA37" s="36"/>
      <c r="AC37" s="42"/>
      <c r="AD37" s="47"/>
      <c r="AE37" s="47"/>
      <c r="AF37" s="42"/>
      <c r="AG37" s="42"/>
      <c r="AH37" s="42"/>
      <c r="AI37" s="42"/>
      <c r="AJ37" s="42"/>
      <c r="AK37" s="42"/>
      <c r="AL37" s="42"/>
      <c r="AM37" s="42"/>
      <c r="AN37" s="48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8"/>
      <c r="BA37" s="33"/>
      <c r="BB37" s="33"/>
      <c r="BD37" s="33"/>
      <c r="BE37" s="33"/>
      <c r="BH37" s="42"/>
      <c r="BI37" s="42"/>
      <c r="BJ37" s="48"/>
      <c r="BK37" s="48"/>
      <c r="BM37" s="42"/>
      <c r="BN37" s="42"/>
      <c r="BR37" s="42"/>
      <c r="BS37" s="42"/>
      <c r="BU37" s="42"/>
    </row>
    <row r="38" spans="1:73" x14ac:dyDescent="0.25">
      <c r="A38" s="32"/>
      <c r="D38" s="33"/>
      <c r="E38" s="33"/>
      <c r="F38" s="33"/>
      <c r="G38" s="33"/>
      <c r="H38" s="33"/>
      <c r="I38" s="34"/>
      <c r="J38" s="33"/>
      <c r="K38" s="35"/>
      <c r="L38" s="33"/>
      <c r="M38" s="33"/>
      <c r="N38" s="33"/>
      <c r="O38" s="33"/>
      <c r="P38" s="33"/>
      <c r="Q38" s="33"/>
      <c r="R38" s="33"/>
      <c r="S38" s="33"/>
      <c r="T38" s="33"/>
      <c r="U38" s="36"/>
      <c r="V38" s="36"/>
      <c r="W38" s="44"/>
      <c r="X38" s="31"/>
      <c r="Y38" s="36"/>
      <c r="Z38" s="36"/>
      <c r="AA38" s="36"/>
      <c r="AC38" s="42"/>
      <c r="AD38" s="47"/>
      <c r="AE38" s="47"/>
      <c r="AF38" s="42"/>
      <c r="AG38" s="42"/>
      <c r="AH38" s="42"/>
      <c r="AI38" s="42"/>
      <c r="AJ38" s="42"/>
      <c r="AK38" s="42"/>
      <c r="AL38" s="42"/>
      <c r="AM38" s="42"/>
      <c r="AN38" s="48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8"/>
      <c r="BA38" s="33"/>
      <c r="BB38" s="33"/>
      <c r="BD38" s="33"/>
      <c r="BE38" s="33"/>
      <c r="BH38" s="42"/>
      <c r="BI38" s="42"/>
      <c r="BJ38" s="48"/>
      <c r="BK38" s="48"/>
      <c r="BM38" s="42"/>
      <c r="BN38" s="42"/>
      <c r="BR38" s="33"/>
      <c r="BS38" s="33"/>
      <c r="BU38" s="33"/>
    </row>
    <row r="39" spans="1:73" x14ac:dyDescent="0.25">
      <c r="A39" s="32"/>
      <c r="D39" s="33"/>
      <c r="E39" s="33"/>
      <c r="F39" s="33"/>
      <c r="G39" s="33"/>
      <c r="H39" s="33"/>
      <c r="I39" s="34"/>
      <c r="J39" s="33"/>
      <c r="K39" s="35"/>
      <c r="L39" s="33"/>
      <c r="M39" s="33"/>
      <c r="N39" s="33"/>
      <c r="O39" s="33"/>
      <c r="P39" s="33"/>
      <c r="Q39" s="33"/>
      <c r="R39" s="33"/>
      <c r="S39" s="33"/>
      <c r="T39" s="33"/>
      <c r="U39" s="36"/>
      <c r="V39" s="36"/>
      <c r="W39" s="44"/>
      <c r="X39" s="31"/>
      <c r="Y39" s="36"/>
      <c r="Z39" s="36"/>
      <c r="AA39" s="36"/>
      <c r="AC39" s="42"/>
      <c r="AD39" s="47"/>
      <c r="AE39" s="47"/>
      <c r="AF39" s="42"/>
      <c r="AG39" s="42"/>
      <c r="AH39" s="42"/>
      <c r="AI39" s="42"/>
      <c r="AJ39" s="42"/>
      <c r="AK39" s="42"/>
      <c r="AL39" s="42"/>
      <c r="AM39" s="42"/>
      <c r="AN39" s="48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8"/>
      <c r="BA39" s="33"/>
      <c r="BB39" s="33"/>
      <c r="BD39" s="33"/>
      <c r="BE39" s="33"/>
      <c r="BH39" s="42"/>
      <c r="BI39" s="42"/>
      <c r="BJ39" s="48"/>
      <c r="BK39" s="48"/>
      <c r="BM39" s="42"/>
      <c r="BN39" s="42"/>
      <c r="BR39" s="42"/>
      <c r="BS39" s="42"/>
      <c r="BU39" s="42"/>
    </row>
    <row r="40" spans="1:73" x14ac:dyDescent="0.25">
      <c r="A40" s="32"/>
      <c r="D40" s="33"/>
      <c r="E40" s="33"/>
      <c r="F40" s="33"/>
      <c r="G40" s="33"/>
      <c r="H40" s="33"/>
      <c r="I40" s="34"/>
      <c r="J40" s="33"/>
      <c r="K40" s="35"/>
      <c r="L40" s="33"/>
      <c r="M40" s="33"/>
      <c r="N40" s="33"/>
      <c r="O40" s="33"/>
      <c r="P40" s="33"/>
      <c r="Q40" s="33"/>
      <c r="R40" s="33"/>
      <c r="S40" s="33"/>
      <c r="T40" s="33"/>
      <c r="U40" s="36"/>
      <c r="V40" s="36"/>
      <c r="W40" s="44"/>
      <c r="X40" s="31"/>
      <c r="Y40" s="36"/>
      <c r="Z40" s="36"/>
      <c r="AA40" s="36"/>
      <c r="AC40" s="42"/>
      <c r="AD40" s="47"/>
      <c r="AE40" s="47"/>
      <c r="AF40" s="42"/>
      <c r="AG40" s="42"/>
      <c r="AH40" s="42"/>
      <c r="AI40" s="42"/>
      <c r="AJ40" s="42"/>
      <c r="AK40" s="42"/>
      <c r="AL40" s="42"/>
      <c r="AM40" s="42"/>
      <c r="AN40" s="48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8"/>
      <c r="BA40" s="33"/>
      <c r="BB40" s="33"/>
      <c r="BD40" s="33"/>
      <c r="BE40" s="33"/>
      <c r="BH40" s="42"/>
      <c r="BI40" s="42"/>
      <c r="BJ40" s="48"/>
      <c r="BK40" s="48"/>
      <c r="BM40" s="42"/>
      <c r="BN40" s="42"/>
      <c r="BR40" s="33"/>
      <c r="BS40" s="33"/>
      <c r="BU40" s="33"/>
    </row>
    <row r="41" spans="1:73" x14ac:dyDescent="0.25">
      <c r="A41" s="32"/>
      <c r="D41" s="33"/>
      <c r="E41" s="33"/>
      <c r="F41" s="33"/>
      <c r="G41" s="33"/>
      <c r="H41" s="33"/>
      <c r="I41" s="34"/>
      <c r="J41" s="33"/>
      <c r="K41" s="35"/>
      <c r="L41" s="33"/>
      <c r="M41" s="33"/>
      <c r="N41" s="33"/>
      <c r="O41" s="33"/>
      <c r="P41" s="33"/>
      <c r="Q41" s="33"/>
      <c r="R41" s="33"/>
      <c r="S41" s="33"/>
      <c r="T41" s="33"/>
      <c r="U41" s="36"/>
      <c r="V41" s="36"/>
      <c r="W41" s="44"/>
      <c r="X41" s="31"/>
      <c r="Y41" s="36"/>
      <c r="Z41" s="36"/>
      <c r="AA41" s="36"/>
      <c r="AC41" s="42"/>
      <c r="AD41" s="47"/>
      <c r="AE41" s="47"/>
      <c r="AF41" s="42"/>
      <c r="AG41" s="42"/>
      <c r="AH41" s="42"/>
      <c r="AI41" s="42"/>
      <c r="AJ41" s="42"/>
      <c r="AK41" s="42"/>
      <c r="AL41" s="42"/>
      <c r="AM41" s="42"/>
      <c r="AN41" s="48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8"/>
      <c r="BA41" s="33"/>
      <c r="BB41" s="33"/>
      <c r="BD41" s="33"/>
      <c r="BE41" s="33"/>
      <c r="BH41" s="42"/>
      <c r="BI41" s="42"/>
      <c r="BJ41" s="48"/>
      <c r="BK41" s="48"/>
      <c r="BM41" s="42"/>
      <c r="BN41" s="42"/>
      <c r="BR41" s="42"/>
      <c r="BS41" s="42"/>
      <c r="BU41" s="42"/>
    </row>
    <row r="42" spans="1:73" x14ac:dyDescent="0.25">
      <c r="A42" s="32"/>
      <c r="D42" s="33"/>
      <c r="E42" s="33"/>
      <c r="F42" s="33"/>
      <c r="G42" s="33"/>
      <c r="H42" s="33"/>
      <c r="I42" s="34"/>
      <c r="J42" s="33"/>
      <c r="K42" s="35"/>
      <c r="L42" s="33"/>
      <c r="M42" s="33"/>
      <c r="N42" s="33"/>
      <c r="O42" s="33"/>
      <c r="P42" s="33"/>
      <c r="Q42" s="33"/>
      <c r="R42" s="33"/>
      <c r="S42" s="33"/>
      <c r="T42" s="33"/>
      <c r="U42" s="36"/>
      <c r="V42" s="36"/>
      <c r="W42" s="44"/>
      <c r="X42" s="31"/>
      <c r="Y42" s="36"/>
      <c r="Z42" s="36"/>
      <c r="AA42" s="36"/>
      <c r="AC42" s="42"/>
      <c r="AD42" s="47"/>
      <c r="AE42" s="47"/>
      <c r="AF42" s="42"/>
      <c r="AG42" s="42"/>
      <c r="AH42" s="42"/>
      <c r="AI42" s="42"/>
      <c r="AJ42" s="42"/>
      <c r="AK42" s="42"/>
      <c r="AL42" s="42"/>
      <c r="AM42" s="42"/>
      <c r="AN42" s="48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8"/>
      <c r="BA42" s="33"/>
      <c r="BB42" s="33"/>
      <c r="BD42" s="33"/>
      <c r="BE42" s="33"/>
      <c r="BH42" s="42"/>
      <c r="BI42" s="42"/>
      <c r="BJ42" s="48"/>
      <c r="BK42" s="48"/>
      <c r="BM42" s="42"/>
      <c r="BN42" s="42"/>
      <c r="BR42" s="33"/>
      <c r="BS42" s="33"/>
      <c r="BU42" s="33"/>
    </row>
    <row r="43" spans="1:73" x14ac:dyDescent="0.25">
      <c r="A43" s="32"/>
      <c r="D43" s="33"/>
      <c r="E43" s="33"/>
      <c r="F43" s="33"/>
      <c r="G43" s="33"/>
      <c r="H43" s="33"/>
      <c r="I43" s="34"/>
      <c r="J43" s="33"/>
      <c r="K43" s="35"/>
      <c r="L43" s="33"/>
      <c r="M43" s="33"/>
      <c r="N43" s="33"/>
      <c r="O43" s="33"/>
      <c r="P43" s="33"/>
      <c r="Q43" s="33"/>
      <c r="R43" s="33"/>
      <c r="S43" s="33"/>
      <c r="T43" s="33"/>
      <c r="U43" s="36"/>
      <c r="V43" s="36"/>
      <c r="W43" s="44"/>
      <c r="X43" s="31"/>
      <c r="Y43" s="36"/>
      <c r="Z43" s="36"/>
      <c r="AA43" s="36"/>
      <c r="AC43" s="42"/>
      <c r="AD43" s="47"/>
      <c r="AE43" s="47"/>
      <c r="AF43" s="42"/>
      <c r="AG43" s="42"/>
      <c r="AH43" s="42"/>
      <c r="AI43" s="42"/>
      <c r="AJ43" s="42"/>
      <c r="AK43" s="42"/>
      <c r="AL43" s="42"/>
      <c r="AM43" s="42"/>
      <c r="AN43" s="48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8"/>
      <c r="BA43" s="33"/>
      <c r="BB43" s="33"/>
      <c r="BD43" s="33"/>
      <c r="BE43" s="33"/>
      <c r="BH43" s="42"/>
      <c r="BI43" s="42"/>
      <c r="BJ43" s="48"/>
      <c r="BK43" s="48"/>
      <c r="BM43" s="42"/>
      <c r="BN43" s="42"/>
      <c r="BR43" s="42"/>
      <c r="BS43" s="42"/>
      <c r="BU43" s="42"/>
    </row>
    <row r="44" spans="1:73" x14ac:dyDescent="0.25">
      <c r="A44" s="32"/>
      <c r="D44" s="33"/>
      <c r="E44" s="33"/>
      <c r="F44" s="33"/>
      <c r="G44" s="33"/>
      <c r="H44" s="33"/>
      <c r="I44" s="34"/>
      <c r="J44" s="33"/>
      <c r="K44" s="35"/>
      <c r="L44" s="33"/>
      <c r="M44" s="33"/>
      <c r="N44" s="33"/>
      <c r="O44" s="33"/>
      <c r="P44" s="33"/>
      <c r="Q44" s="33"/>
      <c r="R44" s="33"/>
      <c r="S44" s="33"/>
      <c r="T44" s="33"/>
      <c r="U44" s="36"/>
      <c r="V44" s="36"/>
      <c r="W44" s="44"/>
      <c r="X44" s="31"/>
      <c r="Y44" s="36"/>
      <c r="Z44" s="36"/>
      <c r="AA44" s="36"/>
      <c r="AC44" s="42"/>
      <c r="AD44" s="47"/>
      <c r="AE44" s="47"/>
      <c r="AF44" s="42"/>
      <c r="AG44" s="42"/>
      <c r="AH44" s="42"/>
      <c r="AI44" s="42"/>
      <c r="AJ44" s="42"/>
      <c r="AK44" s="42"/>
      <c r="AL44" s="42"/>
      <c r="AM44" s="42"/>
      <c r="AN44" s="48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8"/>
      <c r="BA44" s="33"/>
      <c r="BB44" s="33"/>
      <c r="BD44" s="33"/>
      <c r="BE44" s="33"/>
      <c r="BH44" s="42"/>
      <c r="BI44" s="42"/>
      <c r="BJ44" s="48"/>
      <c r="BK44" s="48"/>
      <c r="BM44" s="42"/>
      <c r="BN44" s="42"/>
      <c r="BR44" s="33"/>
      <c r="BS44" s="33"/>
      <c r="BU44" s="33"/>
    </row>
    <row r="45" spans="1:73" x14ac:dyDescent="0.25">
      <c r="A45" s="32"/>
      <c r="D45" s="33"/>
      <c r="E45" s="33"/>
      <c r="F45" s="33"/>
      <c r="G45" s="33"/>
      <c r="H45" s="33"/>
      <c r="I45" s="34"/>
      <c r="J45" s="33"/>
      <c r="K45" s="35"/>
      <c r="L45" s="33"/>
      <c r="M45" s="33"/>
      <c r="N45" s="33"/>
      <c r="O45" s="33"/>
      <c r="P45" s="33"/>
      <c r="Q45" s="33"/>
      <c r="R45" s="33"/>
      <c r="S45" s="33"/>
      <c r="T45" s="33"/>
      <c r="U45" s="36"/>
      <c r="V45" s="36"/>
      <c r="W45" s="44"/>
      <c r="X45" s="31"/>
      <c r="Y45" s="36"/>
      <c r="Z45" s="36"/>
      <c r="AA45" s="36"/>
      <c r="AC45" s="42"/>
      <c r="AD45" s="47"/>
      <c r="AE45" s="47"/>
      <c r="AF45" s="42"/>
      <c r="AG45" s="42"/>
      <c r="AH45" s="42"/>
      <c r="AI45" s="42"/>
      <c r="AJ45" s="42"/>
      <c r="AK45" s="42"/>
      <c r="AL45" s="42"/>
      <c r="AM45" s="42"/>
      <c r="AN45" s="48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8"/>
      <c r="BA45" s="33"/>
      <c r="BB45" s="33"/>
      <c r="BD45" s="33"/>
      <c r="BE45" s="33"/>
      <c r="BH45" s="42"/>
      <c r="BI45" s="42"/>
      <c r="BJ45" s="48"/>
      <c r="BK45" s="48"/>
      <c r="BM45" s="42"/>
      <c r="BN45" s="42"/>
      <c r="BR45" s="42"/>
      <c r="BS45" s="42"/>
      <c r="BU45" s="42"/>
    </row>
    <row r="46" spans="1:73" x14ac:dyDescent="0.25">
      <c r="A46" s="32"/>
      <c r="D46" s="33"/>
      <c r="E46" s="33"/>
      <c r="F46" s="33"/>
      <c r="G46" s="33"/>
      <c r="H46" s="33"/>
      <c r="I46" s="34"/>
      <c r="J46" s="33"/>
      <c r="K46" s="35"/>
      <c r="L46" s="33"/>
      <c r="M46" s="33"/>
      <c r="N46" s="33"/>
      <c r="O46" s="33"/>
      <c r="P46" s="33"/>
      <c r="Q46" s="33"/>
      <c r="R46" s="33"/>
      <c r="S46" s="33"/>
      <c r="T46" s="33"/>
      <c r="U46" s="36"/>
      <c r="V46" s="36"/>
      <c r="W46" s="44"/>
      <c r="X46" s="31"/>
      <c r="Y46" s="36"/>
      <c r="Z46" s="36"/>
      <c r="AA46" s="36"/>
      <c r="AC46" s="42"/>
      <c r="AD46" s="47"/>
      <c r="AE46" s="47"/>
      <c r="AF46" s="42"/>
      <c r="AG46" s="42"/>
      <c r="AH46" s="42"/>
      <c r="AI46" s="42"/>
      <c r="AJ46" s="42"/>
      <c r="AK46" s="42"/>
      <c r="AL46" s="42"/>
      <c r="AM46" s="42"/>
      <c r="AN46" s="48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8"/>
      <c r="BA46" s="33"/>
      <c r="BB46" s="33"/>
      <c r="BD46" s="33"/>
      <c r="BE46" s="33"/>
      <c r="BH46" s="42"/>
      <c r="BI46" s="42"/>
      <c r="BJ46" s="48"/>
      <c r="BK46" s="48"/>
      <c r="BM46" s="42"/>
      <c r="BN46" s="42"/>
      <c r="BR46" s="33"/>
      <c r="BS46" s="33"/>
      <c r="BU46" s="33"/>
    </row>
    <row r="47" spans="1:73" x14ac:dyDescent="0.25">
      <c r="A47" s="32"/>
      <c r="D47" s="33"/>
      <c r="E47" s="33"/>
      <c r="F47" s="33"/>
      <c r="G47" s="33"/>
      <c r="H47" s="33"/>
      <c r="I47" s="34"/>
      <c r="J47" s="33"/>
      <c r="K47" s="35"/>
      <c r="L47" s="33"/>
      <c r="M47" s="33"/>
      <c r="N47" s="33"/>
      <c r="O47" s="33"/>
      <c r="P47" s="33"/>
      <c r="Q47" s="33"/>
      <c r="R47" s="33"/>
      <c r="S47" s="33"/>
      <c r="T47" s="33"/>
      <c r="U47" s="36"/>
      <c r="V47" s="36"/>
      <c r="W47" s="44"/>
      <c r="X47" s="31"/>
      <c r="Y47" s="36"/>
      <c r="Z47" s="36"/>
      <c r="AA47" s="36"/>
      <c r="AC47" s="42"/>
      <c r="AD47" s="47"/>
      <c r="AE47" s="47"/>
      <c r="AF47" s="42"/>
      <c r="AG47" s="42"/>
      <c r="AH47" s="42"/>
      <c r="AI47" s="42"/>
      <c r="AJ47" s="42"/>
      <c r="AK47" s="42"/>
      <c r="AL47" s="42"/>
      <c r="AM47" s="42"/>
      <c r="AN47" s="48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8"/>
      <c r="BA47" s="33"/>
      <c r="BB47" s="33"/>
      <c r="BD47" s="33"/>
      <c r="BE47" s="33"/>
      <c r="BH47" s="42"/>
      <c r="BI47" s="42"/>
      <c r="BJ47" s="48"/>
      <c r="BK47" s="48"/>
      <c r="BM47" s="42"/>
      <c r="BN47" s="42"/>
      <c r="BR47" s="33"/>
      <c r="BS47" s="42"/>
      <c r="BU47" s="42"/>
    </row>
    <row r="48" spans="1:73" x14ac:dyDescent="0.25">
      <c r="A48" s="32"/>
      <c r="D48" s="33"/>
      <c r="E48" s="33"/>
      <c r="F48" s="33"/>
      <c r="G48" s="33"/>
      <c r="H48" s="33"/>
      <c r="I48" s="34"/>
      <c r="J48" s="33"/>
      <c r="K48" s="35"/>
      <c r="L48" s="33"/>
      <c r="M48" s="33"/>
      <c r="N48" s="33"/>
      <c r="O48" s="33"/>
      <c r="P48" s="33"/>
      <c r="Q48" s="33"/>
      <c r="R48" s="33"/>
      <c r="S48" s="33"/>
      <c r="T48" s="33"/>
      <c r="U48" s="36"/>
      <c r="V48" s="36"/>
      <c r="W48" s="44"/>
      <c r="X48" s="31"/>
      <c r="Y48" s="36"/>
      <c r="Z48" s="36"/>
      <c r="AA48" s="36"/>
      <c r="AC48" s="42"/>
      <c r="AD48" s="47"/>
      <c r="AE48" s="47"/>
      <c r="AF48" s="42"/>
      <c r="AG48" s="42"/>
      <c r="AH48" s="42"/>
      <c r="AI48" s="42"/>
      <c r="AJ48" s="42"/>
      <c r="AK48" s="42"/>
      <c r="AL48" s="42"/>
      <c r="AM48" s="42"/>
      <c r="AN48" s="48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8"/>
      <c r="BA48" s="33"/>
      <c r="BB48" s="33"/>
      <c r="BD48" s="33"/>
      <c r="BE48" s="33"/>
      <c r="BH48" s="42"/>
      <c r="BI48" s="42"/>
      <c r="BJ48" s="48"/>
      <c r="BK48" s="48"/>
      <c r="BM48" s="42"/>
      <c r="BN48" s="42"/>
      <c r="BR48" s="33"/>
      <c r="BS48" s="33"/>
      <c r="BU48" s="33"/>
    </row>
    <row r="49" spans="1:73" x14ac:dyDescent="0.25">
      <c r="A49" s="32"/>
      <c r="D49" s="33"/>
      <c r="E49" s="33"/>
      <c r="F49" s="33"/>
      <c r="G49" s="33"/>
      <c r="H49" s="33"/>
      <c r="I49" s="34"/>
      <c r="J49" s="33"/>
      <c r="K49" s="35"/>
      <c r="L49" s="33"/>
      <c r="M49" s="33"/>
      <c r="N49" s="33"/>
      <c r="O49" s="33"/>
      <c r="P49" s="33"/>
      <c r="Q49" s="33"/>
      <c r="R49" s="33"/>
      <c r="S49" s="33"/>
      <c r="T49" s="33"/>
      <c r="U49" s="36"/>
      <c r="V49" s="36"/>
      <c r="W49" s="44"/>
      <c r="X49" s="31"/>
      <c r="Y49" s="36"/>
      <c r="Z49" s="36"/>
      <c r="AA49" s="36"/>
      <c r="AC49" s="42"/>
      <c r="AD49" s="47"/>
      <c r="AE49" s="47"/>
      <c r="AF49" s="42"/>
      <c r="AG49" s="42"/>
      <c r="AH49" s="42"/>
      <c r="AI49" s="42"/>
      <c r="AJ49" s="42"/>
      <c r="AK49" s="42"/>
      <c r="AL49" s="42"/>
      <c r="AM49" s="42"/>
      <c r="AN49" s="48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8"/>
      <c r="BA49" s="33"/>
      <c r="BB49" s="33"/>
      <c r="BD49" s="33"/>
      <c r="BE49" s="33"/>
      <c r="BH49" s="42"/>
      <c r="BI49" s="42"/>
      <c r="BJ49" s="48"/>
      <c r="BK49" s="48"/>
      <c r="BM49" s="42"/>
      <c r="BN49" s="42"/>
      <c r="BR49" s="33"/>
      <c r="BS49" s="42"/>
      <c r="BU49" s="42"/>
    </row>
    <row r="50" spans="1:73" x14ac:dyDescent="0.25">
      <c r="A50" s="32"/>
      <c r="D50" s="33"/>
      <c r="E50" s="33"/>
      <c r="F50" s="33"/>
      <c r="G50" s="33"/>
      <c r="H50" s="33"/>
      <c r="I50" s="34"/>
      <c r="J50" s="33"/>
      <c r="K50" s="35"/>
      <c r="L50" s="33"/>
      <c r="M50" s="33"/>
      <c r="N50" s="33"/>
      <c r="O50" s="33"/>
      <c r="P50" s="33"/>
      <c r="Q50" s="33"/>
      <c r="R50" s="33"/>
      <c r="S50" s="33"/>
      <c r="T50" s="33"/>
      <c r="U50" s="36"/>
      <c r="V50" s="36"/>
      <c r="W50" s="44"/>
      <c r="X50" s="31"/>
      <c r="Y50" s="36"/>
      <c r="Z50" s="36"/>
      <c r="AA50" s="36"/>
      <c r="AC50" s="42"/>
      <c r="AD50" s="47"/>
      <c r="AE50" s="47"/>
      <c r="AF50" s="42"/>
      <c r="AG50" s="42"/>
      <c r="AH50" s="42"/>
      <c r="AI50" s="42"/>
      <c r="AJ50" s="42"/>
      <c r="AK50" s="42"/>
      <c r="AL50" s="42"/>
      <c r="AM50" s="42"/>
      <c r="AN50" s="48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8"/>
      <c r="BA50" s="33"/>
      <c r="BB50" s="33"/>
      <c r="BD50" s="33"/>
      <c r="BE50" s="33"/>
      <c r="BH50" s="42"/>
      <c r="BI50" s="42"/>
      <c r="BJ50" s="48"/>
      <c r="BK50" s="48"/>
      <c r="BM50" s="42"/>
      <c r="BN50" s="42"/>
      <c r="BR50" s="33"/>
      <c r="BS50" s="33"/>
      <c r="BU50" s="33"/>
    </row>
    <row r="51" spans="1:73" x14ac:dyDescent="0.25">
      <c r="A51" s="32"/>
      <c r="D51" s="33"/>
      <c r="E51" s="33"/>
      <c r="F51" s="33"/>
      <c r="G51" s="33"/>
      <c r="H51" s="33"/>
      <c r="I51" s="34"/>
      <c r="J51" s="33"/>
      <c r="K51" s="35"/>
      <c r="L51" s="33"/>
      <c r="M51" s="33"/>
      <c r="N51" s="33"/>
      <c r="O51" s="33"/>
      <c r="P51" s="33"/>
      <c r="Q51" s="33"/>
      <c r="R51" s="33"/>
      <c r="S51" s="33"/>
      <c r="T51" s="33"/>
      <c r="U51" s="36"/>
      <c r="V51" s="36"/>
      <c r="W51" s="44"/>
      <c r="X51" s="31"/>
      <c r="Y51" s="36"/>
      <c r="Z51" s="36"/>
      <c r="AA51" s="36"/>
      <c r="AC51" s="42"/>
      <c r="AD51" s="47"/>
      <c r="AE51" s="47"/>
      <c r="AF51" s="42"/>
      <c r="AG51" s="42"/>
      <c r="AH51" s="42"/>
      <c r="AI51" s="42"/>
      <c r="AJ51" s="42"/>
      <c r="AK51" s="42"/>
      <c r="AL51" s="42"/>
      <c r="AM51" s="42"/>
      <c r="AN51" s="48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8"/>
      <c r="BA51" s="33"/>
      <c r="BB51" s="33"/>
      <c r="BD51" s="33"/>
      <c r="BE51" s="33"/>
      <c r="BH51" s="42"/>
      <c r="BI51" s="42"/>
      <c r="BJ51" s="48"/>
      <c r="BK51" s="48"/>
      <c r="BM51" s="42"/>
      <c r="BN51" s="42"/>
      <c r="BR51" s="33"/>
      <c r="BS51" s="33"/>
      <c r="BU51" s="33"/>
    </row>
    <row r="52" spans="1:73" x14ac:dyDescent="0.25">
      <c r="A52" s="32"/>
      <c r="D52" s="33"/>
      <c r="E52" s="33"/>
      <c r="F52" s="33"/>
      <c r="G52" s="33"/>
      <c r="H52" s="33"/>
      <c r="I52" s="34"/>
      <c r="J52" s="33"/>
      <c r="K52" s="35"/>
      <c r="L52" s="33"/>
      <c r="M52" s="33"/>
      <c r="N52" s="33"/>
      <c r="O52" s="33"/>
      <c r="P52" s="33"/>
      <c r="Q52" s="33"/>
      <c r="R52" s="33"/>
      <c r="S52" s="33"/>
      <c r="T52" s="33"/>
      <c r="U52" s="36"/>
      <c r="V52" s="36"/>
      <c r="W52" s="44"/>
      <c r="X52" s="31"/>
      <c r="Y52" s="36"/>
      <c r="Z52" s="36"/>
      <c r="AA52" s="36"/>
      <c r="AC52" s="42"/>
      <c r="AD52" s="47"/>
      <c r="AE52" s="47"/>
      <c r="AF52" s="42"/>
      <c r="AG52" s="42"/>
      <c r="AH52" s="42"/>
      <c r="AI52" s="42"/>
      <c r="AJ52" s="42"/>
      <c r="AK52" s="42"/>
      <c r="AL52" s="42"/>
      <c r="AM52" s="42"/>
      <c r="AN52" s="48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8"/>
      <c r="BA52" s="33"/>
      <c r="BB52" s="33"/>
      <c r="BD52" s="33"/>
      <c r="BE52" s="33"/>
      <c r="BH52" s="42"/>
      <c r="BI52" s="42"/>
      <c r="BJ52" s="48"/>
      <c r="BK52" s="48"/>
      <c r="BM52" s="42"/>
      <c r="BN52" s="42"/>
      <c r="BR52" s="33"/>
      <c r="BS52" s="33"/>
      <c r="BU52" s="33"/>
    </row>
    <row r="53" spans="1:73" x14ac:dyDescent="0.25">
      <c r="A53" s="32"/>
      <c r="D53" s="33"/>
      <c r="E53" s="33"/>
      <c r="F53" s="33"/>
      <c r="G53" s="33"/>
      <c r="H53" s="33"/>
      <c r="I53" s="34"/>
      <c r="J53" s="33"/>
      <c r="K53" s="35"/>
      <c r="L53" s="33"/>
      <c r="M53" s="33"/>
      <c r="N53" s="33"/>
      <c r="O53" s="33"/>
      <c r="P53" s="33"/>
      <c r="Q53" s="33"/>
      <c r="R53" s="33"/>
      <c r="S53" s="33"/>
      <c r="T53" s="33"/>
      <c r="U53" s="36"/>
      <c r="V53" s="36"/>
      <c r="W53" s="44"/>
      <c r="X53" s="31"/>
      <c r="Y53" s="36"/>
      <c r="Z53" s="36"/>
      <c r="AA53" s="36"/>
      <c r="AC53" s="42"/>
      <c r="AD53" s="47"/>
      <c r="AE53" s="47"/>
      <c r="AF53" s="42"/>
      <c r="AG53" s="42"/>
      <c r="AH53" s="42"/>
      <c r="AI53" s="42"/>
      <c r="AJ53" s="42"/>
      <c r="AK53" s="42"/>
      <c r="AL53" s="42"/>
      <c r="AM53" s="42"/>
      <c r="AN53" s="48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8"/>
      <c r="BA53" s="33"/>
      <c r="BB53" s="33"/>
      <c r="BD53" s="33"/>
      <c r="BE53" s="33"/>
      <c r="BH53" s="42"/>
      <c r="BI53" s="42"/>
      <c r="BJ53" s="48"/>
      <c r="BK53" s="48"/>
      <c r="BM53" s="42"/>
      <c r="BN53" s="42"/>
      <c r="BR53" s="33"/>
      <c r="BS53" s="33"/>
      <c r="BU53" s="33"/>
    </row>
    <row r="54" spans="1:73" x14ac:dyDescent="0.25">
      <c r="A54" s="32"/>
      <c r="D54" s="33"/>
      <c r="E54" s="33"/>
      <c r="F54" s="33"/>
      <c r="G54" s="33"/>
      <c r="H54" s="33"/>
      <c r="I54" s="34"/>
      <c r="J54" s="33"/>
      <c r="K54" s="35"/>
      <c r="L54" s="33"/>
      <c r="M54" s="33"/>
      <c r="N54" s="33"/>
      <c r="O54" s="33"/>
      <c r="P54" s="33"/>
      <c r="Q54" s="33"/>
      <c r="R54" s="33"/>
      <c r="S54" s="33"/>
      <c r="T54" s="33"/>
      <c r="U54" s="36"/>
      <c r="V54" s="36"/>
      <c r="W54" s="44"/>
      <c r="X54" s="31"/>
      <c r="Y54" s="36"/>
      <c r="Z54" s="36"/>
      <c r="AA54" s="36"/>
      <c r="AC54" s="42"/>
      <c r="AD54" s="47"/>
      <c r="AE54" s="47"/>
      <c r="AF54" s="42"/>
      <c r="AG54" s="42"/>
      <c r="AH54" s="42"/>
      <c r="AI54" s="42"/>
      <c r="AJ54" s="42"/>
      <c r="AK54" s="42"/>
      <c r="AL54" s="42"/>
      <c r="AM54" s="42"/>
      <c r="AN54" s="48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8"/>
      <c r="BA54" s="33"/>
      <c r="BB54" s="33"/>
      <c r="BD54" s="33"/>
      <c r="BE54" s="33"/>
      <c r="BH54" s="42"/>
      <c r="BI54" s="42"/>
      <c r="BJ54" s="48"/>
      <c r="BK54" s="48"/>
      <c r="BM54" s="42"/>
      <c r="BN54" s="42"/>
      <c r="BR54" s="33"/>
      <c r="BS54" s="33"/>
      <c r="BU54" s="33"/>
    </row>
    <row r="55" spans="1:73" x14ac:dyDescent="0.25">
      <c r="A55" s="32"/>
      <c r="D55" s="33"/>
      <c r="E55" s="33"/>
      <c r="F55" s="33"/>
      <c r="G55" s="33"/>
      <c r="H55" s="33"/>
      <c r="I55" s="34"/>
      <c r="J55" s="33"/>
      <c r="K55" s="35"/>
      <c r="L55" s="33"/>
      <c r="M55" s="33"/>
      <c r="N55" s="33"/>
      <c r="O55" s="33"/>
      <c r="P55" s="33"/>
      <c r="Q55" s="33"/>
      <c r="R55" s="33"/>
      <c r="S55" s="33"/>
      <c r="T55" s="33"/>
      <c r="U55" s="36"/>
      <c r="V55" s="36"/>
      <c r="W55" s="44"/>
      <c r="X55" s="31"/>
      <c r="Y55" s="36"/>
      <c r="Z55" s="36"/>
      <c r="AA55" s="36"/>
      <c r="AC55" s="42"/>
      <c r="AD55" s="47"/>
      <c r="AE55" s="47"/>
      <c r="AF55" s="42"/>
      <c r="AG55" s="42"/>
      <c r="AH55" s="42"/>
      <c r="AI55" s="42"/>
      <c r="AJ55" s="42"/>
      <c r="AK55" s="42"/>
      <c r="AL55" s="42"/>
      <c r="AM55" s="42"/>
      <c r="AN55" s="48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8"/>
      <c r="BA55" s="33"/>
      <c r="BB55" s="33"/>
      <c r="BD55" s="33"/>
      <c r="BE55" s="33"/>
      <c r="BH55" s="42"/>
      <c r="BI55" s="42"/>
      <c r="BJ55" s="48"/>
      <c r="BK55" s="48"/>
      <c r="BM55" s="42"/>
      <c r="BN55" s="42"/>
      <c r="BR55" s="33"/>
      <c r="BS55" s="33"/>
      <c r="BU55" s="33"/>
    </row>
    <row r="56" spans="1:73" x14ac:dyDescent="0.25">
      <c r="A56" s="32"/>
      <c r="D56" s="33"/>
      <c r="E56" s="33"/>
      <c r="F56" s="33"/>
      <c r="G56" s="33"/>
      <c r="H56" s="33"/>
      <c r="I56" s="34"/>
      <c r="J56" s="33"/>
      <c r="K56" s="35"/>
      <c r="L56" s="33"/>
      <c r="M56" s="33"/>
      <c r="N56" s="33"/>
      <c r="O56" s="33"/>
      <c r="P56" s="33"/>
      <c r="Q56" s="33"/>
      <c r="R56" s="33"/>
      <c r="S56" s="33"/>
      <c r="T56" s="33"/>
      <c r="U56" s="36"/>
      <c r="V56" s="36"/>
      <c r="W56" s="44"/>
      <c r="X56" s="31"/>
      <c r="Y56" s="36"/>
      <c r="Z56" s="36"/>
      <c r="AA56" s="36"/>
      <c r="AC56" s="42"/>
      <c r="AD56" s="47"/>
      <c r="AE56" s="47"/>
      <c r="AF56" s="42"/>
      <c r="AG56" s="42"/>
      <c r="AH56" s="42"/>
      <c r="AI56" s="42"/>
      <c r="AJ56" s="42"/>
      <c r="AK56" s="42"/>
      <c r="AL56" s="42"/>
      <c r="AM56" s="42"/>
      <c r="AN56" s="48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8"/>
      <c r="BA56" s="33"/>
      <c r="BB56" s="33"/>
      <c r="BD56" s="33"/>
      <c r="BE56" s="33"/>
      <c r="BH56" s="42"/>
      <c r="BI56" s="42"/>
      <c r="BJ56" s="48"/>
      <c r="BK56" s="48"/>
      <c r="BM56" s="42"/>
      <c r="BN56" s="42"/>
      <c r="BR56" s="33"/>
      <c r="BS56" s="33"/>
      <c r="BU56" s="33"/>
    </row>
    <row r="57" spans="1:73" x14ac:dyDescent="0.25">
      <c r="A57" s="32"/>
      <c r="D57" s="33"/>
      <c r="E57" s="33"/>
      <c r="F57" s="33"/>
      <c r="G57" s="33"/>
      <c r="H57" s="33"/>
      <c r="I57" s="34"/>
      <c r="J57" s="33"/>
      <c r="K57" s="35"/>
      <c r="L57" s="33"/>
      <c r="M57" s="33"/>
      <c r="N57" s="33"/>
      <c r="O57" s="33"/>
      <c r="P57" s="33"/>
      <c r="Q57" s="33"/>
      <c r="R57" s="33"/>
      <c r="S57" s="33"/>
      <c r="T57" s="33"/>
      <c r="U57" s="36"/>
      <c r="V57" s="36"/>
      <c r="W57" s="44"/>
      <c r="X57" s="31"/>
      <c r="Y57" s="36"/>
      <c r="Z57" s="36"/>
      <c r="AA57" s="36"/>
      <c r="AC57" s="42"/>
      <c r="AD57" s="47"/>
      <c r="AE57" s="47"/>
      <c r="AF57" s="42"/>
      <c r="AG57" s="42"/>
      <c r="AH57" s="42"/>
      <c r="AI57" s="42"/>
      <c r="AJ57" s="42"/>
      <c r="AK57" s="42"/>
      <c r="AL57" s="42"/>
      <c r="AM57" s="42"/>
      <c r="AN57" s="48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8"/>
      <c r="BA57" s="33"/>
      <c r="BB57" s="33"/>
      <c r="BD57" s="33"/>
      <c r="BE57" s="33"/>
      <c r="BH57" s="42"/>
      <c r="BI57" s="42"/>
      <c r="BJ57" s="48"/>
      <c r="BK57" s="48"/>
      <c r="BM57" s="42"/>
      <c r="BN57" s="42"/>
      <c r="BR57" s="33"/>
      <c r="BS57" s="33"/>
      <c r="BU57" s="33"/>
    </row>
    <row r="58" spans="1:73" x14ac:dyDescent="0.25">
      <c r="A58" s="32"/>
      <c r="D58" s="33"/>
      <c r="E58" s="33"/>
      <c r="F58" s="33"/>
      <c r="G58" s="33"/>
      <c r="H58" s="33"/>
      <c r="I58" s="34"/>
      <c r="J58" s="33"/>
      <c r="K58" s="35"/>
      <c r="L58" s="33"/>
      <c r="M58" s="33"/>
      <c r="N58" s="33"/>
      <c r="O58" s="33"/>
      <c r="P58" s="33"/>
      <c r="Q58" s="33"/>
      <c r="R58" s="33"/>
      <c r="S58" s="33"/>
      <c r="T58" s="33"/>
      <c r="U58" s="36"/>
      <c r="V58" s="36"/>
      <c r="W58" s="44"/>
      <c r="X58" s="31"/>
      <c r="Y58" s="36"/>
      <c r="Z58" s="36"/>
      <c r="AA58" s="36"/>
      <c r="AC58" s="42"/>
      <c r="AD58" s="47"/>
      <c r="AE58" s="47"/>
      <c r="AF58" s="42"/>
      <c r="AG58" s="42"/>
      <c r="AH58" s="42"/>
      <c r="AI58" s="42"/>
      <c r="AJ58" s="42"/>
      <c r="AK58" s="42"/>
      <c r="AL58" s="42"/>
      <c r="AM58" s="42"/>
      <c r="AN58" s="48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8"/>
      <c r="BA58" s="33"/>
      <c r="BB58" s="33"/>
      <c r="BD58" s="33"/>
      <c r="BE58" s="33"/>
      <c r="BH58" s="42"/>
      <c r="BI58" s="42"/>
      <c r="BJ58" s="48"/>
      <c r="BK58" s="48"/>
      <c r="BM58" s="42"/>
      <c r="BN58" s="42"/>
      <c r="BR58" s="33"/>
      <c r="BS58" s="33"/>
      <c r="BU58" s="33"/>
    </row>
    <row r="59" spans="1:73" x14ac:dyDescent="0.25">
      <c r="A59" s="32"/>
      <c r="D59" s="33"/>
      <c r="E59" s="33"/>
      <c r="F59" s="33"/>
      <c r="G59" s="33"/>
      <c r="H59" s="33"/>
      <c r="I59" s="34"/>
      <c r="J59" s="33"/>
      <c r="K59" s="35"/>
      <c r="L59" s="33"/>
      <c r="M59" s="33"/>
      <c r="N59" s="33"/>
      <c r="O59" s="33"/>
      <c r="P59" s="33"/>
      <c r="Q59" s="33"/>
      <c r="R59" s="33"/>
      <c r="S59" s="33"/>
      <c r="T59" s="33"/>
      <c r="U59" s="36"/>
      <c r="V59" s="36"/>
      <c r="W59" s="44"/>
      <c r="X59" s="31"/>
      <c r="Y59" s="36"/>
      <c r="Z59" s="36"/>
      <c r="AA59" s="36"/>
      <c r="AC59" s="42"/>
      <c r="AD59" s="47"/>
      <c r="AE59" s="47"/>
      <c r="AF59" s="42"/>
      <c r="AG59" s="42"/>
      <c r="AH59" s="42"/>
      <c r="AI59" s="42"/>
      <c r="AJ59" s="42"/>
      <c r="AK59" s="42"/>
      <c r="AL59" s="42"/>
      <c r="AM59" s="42"/>
      <c r="AN59" s="48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8"/>
      <c r="BA59" s="33"/>
      <c r="BB59" s="33"/>
      <c r="BD59" s="33"/>
      <c r="BE59" s="33"/>
      <c r="BH59" s="42"/>
      <c r="BI59" s="42"/>
      <c r="BJ59" s="48"/>
      <c r="BK59" s="48"/>
      <c r="BM59" s="42"/>
      <c r="BN59" s="42"/>
      <c r="BR59" s="33"/>
      <c r="BS59" s="33"/>
      <c r="BU59" s="33"/>
    </row>
    <row r="60" spans="1:73" x14ac:dyDescent="0.25">
      <c r="A60" s="32"/>
      <c r="D60" s="33"/>
      <c r="E60" s="33"/>
      <c r="F60" s="33"/>
      <c r="G60" s="33"/>
      <c r="H60" s="33"/>
      <c r="I60" s="34"/>
      <c r="J60" s="33"/>
      <c r="K60" s="35"/>
      <c r="L60" s="33"/>
      <c r="M60" s="33"/>
      <c r="N60" s="33"/>
      <c r="O60" s="33"/>
      <c r="P60" s="33"/>
      <c r="Q60" s="33"/>
      <c r="R60" s="33"/>
      <c r="S60" s="33"/>
      <c r="T60" s="33"/>
      <c r="U60" s="36"/>
      <c r="V60" s="36"/>
      <c r="W60" s="44"/>
      <c r="X60" s="31"/>
      <c r="Y60" s="36"/>
      <c r="Z60" s="36"/>
      <c r="AA60" s="36"/>
      <c r="AC60" s="42"/>
      <c r="AD60" s="47"/>
      <c r="AE60" s="47"/>
      <c r="AF60" s="42"/>
      <c r="AG60" s="42"/>
      <c r="AH60" s="42"/>
      <c r="AI60" s="42"/>
      <c r="AJ60" s="42"/>
      <c r="AK60" s="42"/>
      <c r="AL60" s="42"/>
      <c r="AM60" s="42"/>
      <c r="AN60" s="48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8"/>
      <c r="BA60" s="33"/>
      <c r="BB60" s="33"/>
      <c r="BD60" s="33"/>
      <c r="BE60" s="33"/>
      <c r="BH60" s="42"/>
      <c r="BI60" s="42"/>
      <c r="BJ60" s="48"/>
      <c r="BK60" s="48"/>
      <c r="BM60" s="42"/>
      <c r="BN60" s="42"/>
      <c r="BR60" s="33"/>
      <c r="BS60" s="33"/>
      <c r="BU60" s="33"/>
    </row>
    <row r="61" spans="1:73" x14ac:dyDescent="0.25">
      <c r="A61" s="32"/>
      <c r="D61" s="33"/>
      <c r="E61" s="33"/>
      <c r="F61" s="33"/>
      <c r="G61" s="33"/>
      <c r="H61" s="33"/>
      <c r="I61" s="34"/>
      <c r="J61" s="33"/>
      <c r="K61" s="35"/>
      <c r="L61" s="33"/>
      <c r="M61" s="33"/>
      <c r="N61" s="33"/>
      <c r="O61" s="33"/>
      <c r="P61" s="33"/>
      <c r="Q61" s="33"/>
      <c r="R61" s="33"/>
      <c r="S61" s="33"/>
      <c r="T61" s="33"/>
      <c r="U61" s="36"/>
      <c r="V61" s="36"/>
      <c r="W61" s="44"/>
      <c r="X61" s="31"/>
      <c r="Y61" s="36"/>
      <c r="Z61" s="36"/>
      <c r="AA61" s="36"/>
      <c r="AC61" s="42"/>
      <c r="AD61" s="47"/>
      <c r="AE61" s="47"/>
      <c r="AF61" s="42"/>
      <c r="AG61" s="42"/>
      <c r="AH61" s="42"/>
      <c r="AI61" s="42"/>
      <c r="AJ61" s="42"/>
      <c r="AK61" s="42"/>
      <c r="AL61" s="42"/>
      <c r="AM61" s="42"/>
      <c r="AN61" s="48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8"/>
      <c r="BA61" s="33"/>
      <c r="BB61" s="33"/>
      <c r="BD61" s="33"/>
      <c r="BE61" s="33"/>
      <c r="BH61" s="42"/>
      <c r="BI61" s="42"/>
      <c r="BJ61" s="48"/>
      <c r="BK61" s="48"/>
      <c r="BM61" s="42"/>
      <c r="BN61" s="42"/>
      <c r="BR61" s="33"/>
      <c r="BS61" s="33"/>
      <c r="BU61" s="33"/>
    </row>
    <row r="62" spans="1:73" x14ac:dyDescent="0.25">
      <c r="A62" s="32"/>
      <c r="D62" s="33"/>
      <c r="E62" s="33"/>
      <c r="F62" s="33"/>
      <c r="G62" s="33"/>
      <c r="H62" s="33"/>
      <c r="I62" s="34"/>
      <c r="J62" s="33"/>
      <c r="K62" s="35"/>
      <c r="L62" s="33"/>
      <c r="M62" s="33"/>
      <c r="N62" s="33"/>
      <c r="O62" s="33"/>
      <c r="P62" s="33"/>
      <c r="Q62" s="33"/>
      <c r="R62" s="33"/>
      <c r="S62" s="33"/>
      <c r="T62" s="33"/>
      <c r="U62" s="36"/>
      <c r="V62" s="36"/>
      <c r="W62" s="44"/>
      <c r="X62" s="31"/>
      <c r="Y62" s="36"/>
      <c r="Z62" s="36"/>
      <c r="AA62" s="36"/>
      <c r="AC62" s="42"/>
      <c r="AD62" s="47"/>
      <c r="AE62" s="47"/>
      <c r="AF62" s="42"/>
      <c r="AG62" s="42"/>
      <c r="AH62" s="42"/>
      <c r="AI62" s="42"/>
      <c r="AJ62" s="42"/>
      <c r="AK62" s="42"/>
      <c r="AL62" s="42"/>
      <c r="AM62" s="42"/>
      <c r="AN62" s="48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8"/>
      <c r="BA62" s="33"/>
      <c r="BB62" s="33"/>
      <c r="BD62" s="33"/>
      <c r="BE62" s="33"/>
      <c r="BH62" s="42"/>
      <c r="BI62" s="42"/>
      <c r="BJ62" s="48"/>
      <c r="BK62" s="48"/>
      <c r="BM62" s="42"/>
      <c r="BN62" s="42"/>
      <c r="BR62" s="33"/>
      <c r="BS62" s="33"/>
      <c r="BU62" s="33"/>
    </row>
    <row r="63" spans="1:73" x14ac:dyDescent="0.25">
      <c r="A63" s="32"/>
      <c r="D63" s="33"/>
      <c r="E63" s="33"/>
      <c r="F63" s="33"/>
      <c r="G63" s="33"/>
      <c r="H63" s="33"/>
      <c r="I63" s="34"/>
      <c r="J63" s="33"/>
      <c r="K63" s="35"/>
      <c r="L63" s="33"/>
      <c r="M63" s="33"/>
      <c r="N63" s="33"/>
      <c r="O63" s="33"/>
      <c r="P63" s="33"/>
      <c r="Q63" s="33"/>
      <c r="R63" s="33"/>
      <c r="S63" s="33"/>
      <c r="T63" s="33"/>
      <c r="U63" s="36"/>
      <c r="V63" s="36"/>
      <c r="W63" s="44"/>
      <c r="X63" s="31"/>
      <c r="Y63" s="36"/>
      <c r="Z63" s="36"/>
      <c r="AA63" s="36"/>
      <c r="AC63" s="42"/>
      <c r="AD63" s="47"/>
      <c r="AE63" s="47"/>
      <c r="AF63" s="42"/>
      <c r="AG63" s="42"/>
      <c r="AH63" s="42"/>
      <c r="AI63" s="42"/>
      <c r="AJ63" s="42"/>
      <c r="AK63" s="42"/>
      <c r="AL63" s="42"/>
      <c r="AM63" s="42"/>
      <c r="AN63" s="48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8"/>
      <c r="BA63" s="33"/>
      <c r="BB63" s="33"/>
      <c r="BD63" s="33"/>
      <c r="BE63" s="33"/>
      <c r="BH63" s="42"/>
      <c r="BI63" s="42"/>
      <c r="BJ63" s="48"/>
      <c r="BK63" s="48"/>
      <c r="BM63" s="42"/>
      <c r="BN63" s="42"/>
      <c r="BR63" s="33"/>
      <c r="BS63" s="33"/>
      <c r="BU63" s="33"/>
    </row>
    <row r="64" spans="1:73" x14ac:dyDescent="0.25">
      <c r="A64" s="32"/>
      <c r="D64" s="33"/>
      <c r="E64" s="33"/>
      <c r="F64" s="33"/>
      <c r="G64" s="33"/>
      <c r="H64" s="33"/>
      <c r="I64" s="34"/>
      <c r="J64" s="33"/>
      <c r="K64" s="35"/>
      <c r="L64" s="33"/>
      <c r="M64" s="33"/>
      <c r="N64" s="33"/>
      <c r="O64" s="33"/>
      <c r="P64" s="33"/>
      <c r="Q64" s="33"/>
      <c r="R64" s="33"/>
      <c r="S64" s="33"/>
      <c r="T64" s="33"/>
      <c r="U64" s="36"/>
      <c r="V64" s="36"/>
      <c r="W64" s="44"/>
      <c r="X64" s="31"/>
      <c r="Y64" s="36"/>
      <c r="Z64" s="36"/>
      <c r="AA64" s="36"/>
      <c r="AC64" s="42"/>
      <c r="AD64" s="47"/>
      <c r="AE64" s="47"/>
      <c r="AF64" s="42"/>
      <c r="AG64" s="42"/>
      <c r="AH64" s="42"/>
      <c r="AI64" s="42"/>
      <c r="AJ64" s="42"/>
      <c r="AK64" s="42"/>
      <c r="AL64" s="42"/>
      <c r="AM64" s="42"/>
      <c r="AN64" s="48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8"/>
      <c r="BA64" s="33"/>
      <c r="BB64" s="33"/>
      <c r="BD64" s="33"/>
      <c r="BE64" s="33"/>
      <c r="BH64" s="42"/>
      <c r="BI64" s="42"/>
      <c r="BJ64" s="48"/>
      <c r="BK64" s="48"/>
      <c r="BM64" s="42"/>
      <c r="BN64" s="42"/>
      <c r="BR64" s="33"/>
      <c r="BS64" s="33"/>
      <c r="BU64" s="33"/>
    </row>
    <row r="65" spans="1:73" x14ac:dyDescent="0.25">
      <c r="A65" s="32"/>
      <c r="D65" s="33"/>
      <c r="E65" s="33"/>
      <c r="F65" s="33"/>
      <c r="G65" s="33"/>
      <c r="H65" s="33"/>
      <c r="I65" s="34"/>
      <c r="J65" s="33"/>
      <c r="K65" s="35"/>
      <c r="L65" s="33"/>
      <c r="M65" s="33"/>
      <c r="N65" s="33"/>
      <c r="O65" s="33"/>
      <c r="P65" s="33"/>
      <c r="Q65" s="33"/>
      <c r="R65" s="33"/>
      <c r="S65" s="33"/>
      <c r="T65" s="33"/>
      <c r="U65" s="36"/>
      <c r="V65" s="36"/>
      <c r="W65" s="44"/>
      <c r="X65" s="31"/>
      <c r="Y65" s="36"/>
      <c r="Z65" s="36"/>
      <c r="AA65" s="36"/>
      <c r="AC65" s="42"/>
      <c r="AD65" s="47"/>
      <c r="AE65" s="47"/>
      <c r="AF65" s="42"/>
      <c r="AG65" s="42"/>
      <c r="AH65" s="42"/>
      <c r="AI65" s="42"/>
      <c r="AJ65" s="42"/>
      <c r="AK65" s="42"/>
      <c r="AL65" s="42"/>
      <c r="AM65" s="42"/>
      <c r="AN65" s="48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8"/>
      <c r="BA65" s="33"/>
      <c r="BB65" s="33"/>
      <c r="BD65" s="33"/>
      <c r="BE65" s="33"/>
      <c r="BH65" s="42"/>
      <c r="BI65" s="42"/>
      <c r="BJ65" s="48"/>
      <c r="BK65" s="48"/>
      <c r="BM65" s="42"/>
      <c r="BN65" s="42"/>
      <c r="BR65" s="33"/>
      <c r="BS65" s="33"/>
      <c r="BU65" s="33"/>
    </row>
    <row r="66" spans="1:73" x14ac:dyDescent="0.25">
      <c r="A66" s="32"/>
      <c r="D66" s="33"/>
      <c r="E66" s="33"/>
      <c r="F66" s="33"/>
      <c r="G66" s="33"/>
      <c r="H66" s="33"/>
      <c r="I66" s="34"/>
      <c r="J66" s="33"/>
      <c r="K66" s="35"/>
      <c r="L66" s="33"/>
      <c r="M66" s="33"/>
      <c r="N66" s="33"/>
      <c r="O66" s="33"/>
      <c r="P66" s="33"/>
      <c r="Q66" s="33"/>
      <c r="R66" s="33"/>
      <c r="S66" s="33"/>
      <c r="T66" s="33"/>
      <c r="U66" s="36"/>
      <c r="V66" s="36"/>
      <c r="W66" s="44"/>
      <c r="X66" s="31"/>
      <c r="Y66" s="36"/>
      <c r="Z66" s="36"/>
      <c r="AA66" s="36"/>
      <c r="AC66" s="42"/>
      <c r="AD66" s="47"/>
      <c r="AE66" s="47"/>
      <c r="AF66" s="42"/>
      <c r="AG66" s="42"/>
      <c r="AH66" s="42"/>
      <c r="AI66" s="42"/>
      <c r="AJ66" s="42"/>
      <c r="AK66" s="42"/>
      <c r="AL66" s="42"/>
      <c r="AM66" s="42"/>
      <c r="AN66" s="48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8"/>
      <c r="BA66" s="33"/>
      <c r="BB66" s="33"/>
      <c r="BD66" s="33"/>
      <c r="BE66" s="33"/>
      <c r="BH66" s="42"/>
      <c r="BI66" s="42"/>
      <c r="BJ66" s="48"/>
      <c r="BK66" s="48"/>
      <c r="BM66" s="42"/>
      <c r="BN66" s="42"/>
      <c r="BR66" s="33"/>
      <c r="BS66" s="33"/>
      <c r="BU66" s="33"/>
    </row>
    <row r="67" spans="1:73" x14ac:dyDescent="0.25">
      <c r="A67" s="32"/>
      <c r="D67" s="33"/>
      <c r="E67" s="33"/>
      <c r="F67" s="33"/>
      <c r="G67" s="33"/>
      <c r="H67" s="33"/>
      <c r="I67" s="34"/>
      <c r="J67" s="33"/>
      <c r="K67" s="35"/>
      <c r="L67" s="33"/>
      <c r="M67" s="33"/>
      <c r="N67" s="33"/>
      <c r="O67" s="33"/>
      <c r="P67" s="33"/>
      <c r="Q67" s="33"/>
      <c r="R67" s="33"/>
      <c r="S67" s="33"/>
      <c r="T67" s="33"/>
      <c r="U67" s="36"/>
      <c r="V67" s="36"/>
      <c r="W67" s="44"/>
      <c r="X67" s="31"/>
      <c r="Y67" s="36"/>
      <c r="Z67" s="36"/>
      <c r="AA67" s="36"/>
      <c r="AC67" s="42"/>
      <c r="AD67" s="47"/>
      <c r="AE67" s="47"/>
      <c r="AF67" s="42"/>
      <c r="AG67" s="42"/>
      <c r="AH67" s="42"/>
      <c r="AI67" s="42"/>
      <c r="AJ67" s="42"/>
      <c r="AK67" s="42"/>
      <c r="AL67" s="42"/>
      <c r="AM67" s="42"/>
      <c r="AN67" s="48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8"/>
      <c r="BA67" s="33"/>
      <c r="BB67" s="33"/>
      <c r="BD67" s="33"/>
      <c r="BE67" s="33"/>
      <c r="BH67" s="42"/>
      <c r="BI67" s="42"/>
      <c r="BJ67" s="48"/>
      <c r="BK67" s="48"/>
      <c r="BM67" s="42"/>
      <c r="BN67" s="42"/>
      <c r="BR67" s="33"/>
      <c r="BS67" s="33"/>
      <c r="BU67" s="33"/>
    </row>
    <row r="68" spans="1:73" x14ac:dyDescent="0.25">
      <c r="A68" s="32"/>
      <c r="D68" s="33"/>
      <c r="E68" s="33"/>
      <c r="F68" s="33"/>
      <c r="G68" s="33"/>
      <c r="H68" s="33"/>
      <c r="I68" s="34"/>
      <c r="J68" s="33"/>
      <c r="K68" s="35"/>
      <c r="L68" s="33"/>
      <c r="M68" s="33"/>
      <c r="N68" s="33"/>
      <c r="O68" s="33"/>
      <c r="P68" s="33"/>
      <c r="Q68" s="33"/>
      <c r="R68" s="33"/>
      <c r="S68" s="33"/>
      <c r="T68" s="33"/>
      <c r="U68" s="36"/>
      <c r="V68" s="36"/>
      <c r="W68" s="44"/>
      <c r="X68" s="31"/>
      <c r="Y68" s="36"/>
      <c r="Z68" s="36"/>
      <c r="AA68" s="36"/>
      <c r="AC68" s="42"/>
      <c r="AD68" s="47"/>
      <c r="AE68" s="47"/>
      <c r="AF68" s="42"/>
      <c r="AG68" s="42"/>
      <c r="AH68" s="42"/>
      <c r="AI68" s="42"/>
      <c r="AJ68" s="42"/>
      <c r="AK68" s="42"/>
      <c r="AL68" s="42"/>
      <c r="AM68" s="42"/>
      <c r="AN68" s="48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8"/>
      <c r="BA68" s="33"/>
      <c r="BB68" s="33"/>
      <c r="BD68" s="33"/>
      <c r="BE68" s="33"/>
      <c r="BH68" s="42"/>
      <c r="BI68" s="42"/>
      <c r="BJ68" s="48"/>
      <c r="BK68" s="48"/>
      <c r="BM68" s="42"/>
      <c r="BN68" s="42"/>
      <c r="BR68" s="33"/>
      <c r="BS68" s="33"/>
      <c r="BU68" s="33"/>
    </row>
    <row r="69" spans="1:73" x14ac:dyDescent="0.25">
      <c r="A69" s="32"/>
      <c r="D69" s="33"/>
      <c r="E69" s="33"/>
      <c r="F69" s="33"/>
      <c r="G69" s="33"/>
      <c r="H69" s="33"/>
      <c r="I69" s="34"/>
      <c r="J69" s="33"/>
      <c r="K69" s="35"/>
      <c r="L69" s="33"/>
      <c r="M69" s="33"/>
      <c r="N69" s="33"/>
      <c r="O69" s="33"/>
      <c r="P69" s="33"/>
      <c r="Q69" s="33"/>
      <c r="R69" s="33"/>
      <c r="S69" s="33"/>
      <c r="T69" s="33"/>
      <c r="U69" s="36"/>
      <c r="V69" s="36"/>
      <c r="W69" s="44"/>
      <c r="X69" s="31"/>
      <c r="Y69" s="36"/>
      <c r="Z69" s="36"/>
      <c r="AA69" s="36"/>
      <c r="AC69" s="42"/>
      <c r="AD69" s="47"/>
      <c r="AE69" s="47"/>
      <c r="AF69" s="42"/>
      <c r="AG69" s="42"/>
      <c r="AH69" s="42"/>
      <c r="AI69" s="42"/>
      <c r="AJ69" s="42"/>
      <c r="AK69" s="42"/>
      <c r="AL69" s="42"/>
      <c r="AM69" s="42"/>
      <c r="AN69" s="48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8"/>
      <c r="BA69" s="33"/>
      <c r="BB69" s="33"/>
      <c r="BD69" s="33"/>
      <c r="BE69" s="33"/>
      <c r="BH69" s="42"/>
      <c r="BI69" s="42"/>
      <c r="BJ69" s="48"/>
      <c r="BK69" s="48"/>
      <c r="BM69" s="42"/>
      <c r="BN69" s="42"/>
      <c r="BR69" s="33"/>
      <c r="BS69" s="33"/>
      <c r="BU69" s="33"/>
    </row>
    <row r="70" spans="1:73" x14ac:dyDescent="0.25">
      <c r="A70" s="32"/>
      <c r="D70" s="33"/>
      <c r="E70" s="33"/>
      <c r="F70" s="33"/>
      <c r="G70" s="33"/>
      <c r="H70" s="33"/>
      <c r="I70" s="34"/>
      <c r="J70" s="33"/>
      <c r="K70" s="35"/>
      <c r="L70" s="33"/>
      <c r="M70" s="33"/>
      <c r="N70" s="33"/>
      <c r="O70" s="33"/>
      <c r="P70" s="33"/>
      <c r="Q70" s="33"/>
      <c r="R70" s="33"/>
      <c r="S70" s="33"/>
      <c r="T70" s="33"/>
      <c r="U70" s="36"/>
      <c r="V70" s="36"/>
      <c r="W70" s="44"/>
      <c r="X70" s="31"/>
      <c r="Y70" s="36"/>
      <c r="Z70" s="36"/>
      <c r="AA70" s="36"/>
      <c r="AC70" s="42"/>
      <c r="AD70" s="47"/>
      <c r="AE70" s="47"/>
      <c r="AF70" s="42"/>
      <c r="AG70" s="42"/>
      <c r="AH70" s="42"/>
      <c r="AI70" s="42"/>
      <c r="AJ70" s="42"/>
      <c r="AK70" s="42"/>
      <c r="AL70" s="42"/>
      <c r="AM70" s="42"/>
      <c r="AN70" s="48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8"/>
      <c r="BA70" s="33"/>
      <c r="BB70" s="33"/>
      <c r="BD70" s="33"/>
      <c r="BE70" s="33"/>
      <c r="BH70" s="42"/>
      <c r="BI70" s="42"/>
      <c r="BJ70" s="48"/>
      <c r="BK70" s="48"/>
      <c r="BM70" s="42"/>
      <c r="BN70" s="42"/>
      <c r="BR70" s="33"/>
      <c r="BS70" s="33"/>
      <c r="BU70" s="33"/>
    </row>
    <row r="71" spans="1:73" x14ac:dyDescent="0.25">
      <c r="A71" s="32"/>
      <c r="D71" s="33"/>
      <c r="E71" s="33"/>
      <c r="F71" s="33"/>
      <c r="G71" s="33"/>
      <c r="H71" s="33"/>
      <c r="I71" s="34"/>
      <c r="J71" s="33"/>
      <c r="K71" s="35"/>
      <c r="L71" s="33"/>
      <c r="M71" s="33"/>
      <c r="N71" s="33"/>
      <c r="O71" s="33"/>
      <c r="P71" s="33"/>
      <c r="Q71" s="33"/>
      <c r="R71" s="33"/>
      <c r="S71" s="33"/>
      <c r="T71" s="33"/>
      <c r="U71" s="36"/>
      <c r="V71" s="36"/>
      <c r="W71" s="44"/>
      <c r="X71" s="31"/>
      <c r="Y71" s="36"/>
      <c r="Z71" s="36"/>
      <c r="AA71" s="36"/>
      <c r="AC71" s="42"/>
      <c r="AD71" s="47"/>
      <c r="AE71" s="47"/>
      <c r="AF71" s="42"/>
      <c r="AG71" s="42"/>
      <c r="AH71" s="42"/>
      <c r="AI71" s="42"/>
      <c r="AJ71" s="42"/>
      <c r="AK71" s="42"/>
      <c r="AL71" s="42"/>
      <c r="AM71" s="42"/>
      <c r="AN71" s="48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8"/>
      <c r="BA71" s="33"/>
      <c r="BB71" s="33"/>
      <c r="BD71" s="33"/>
      <c r="BE71" s="33"/>
      <c r="BH71" s="42"/>
      <c r="BI71" s="42"/>
      <c r="BJ71" s="48"/>
      <c r="BK71" s="48"/>
      <c r="BM71" s="42"/>
      <c r="BN71" s="42"/>
      <c r="BR71" s="33"/>
      <c r="BS71" s="33"/>
      <c r="BU71" s="33"/>
    </row>
    <row r="72" spans="1:73" x14ac:dyDescent="0.25">
      <c r="A72" s="32"/>
      <c r="D72" s="33"/>
      <c r="E72" s="33"/>
      <c r="F72" s="33"/>
      <c r="G72" s="33"/>
      <c r="H72" s="33"/>
      <c r="I72" s="34"/>
      <c r="J72" s="33"/>
      <c r="K72" s="35"/>
      <c r="L72" s="33"/>
      <c r="M72" s="33"/>
      <c r="N72" s="33"/>
      <c r="O72" s="33"/>
      <c r="P72" s="33"/>
      <c r="Q72" s="33"/>
      <c r="R72" s="33"/>
      <c r="S72" s="33"/>
      <c r="T72" s="33"/>
      <c r="U72" s="36"/>
      <c r="V72" s="36"/>
      <c r="W72" s="44"/>
      <c r="X72" s="31"/>
      <c r="Y72" s="36"/>
      <c r="Z72" s="36"/>
      <c r="AA72" s="36"/>
      <c r="AC72" s="42"/>
      <c r="AD72" s="47"/>
      <c r="AE72" s="47"/>
      <c r="AF72" s="42"/>
      <c r="AG72" s="42"/>
      <c r="AH72" s="42"/>
      <c r="AI72" s="42"/>
      <c r="AJ72" s="42"/>
      <c r="AK72" s="42"/>
      <c r="AL72" s="42"/>
      <c r="AM72" s="42"/>
      <c r="AN72" s="48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8"/>
      <c r="BA72" s="33"/>
      <c r="BB72" s="33"/>
      <c r="BD72" s="33"/>
      <c r="BE72" s="33"/>
      <c r="BH72" s="42"/>
      <c r="BI72" s="42"/>
      <c r="BJ72" s="48"/>
      <c r="BK72" s="48"/>
      <c r="BM72" s="42"/>
      <c r="BN72" s="42"/>
      <c r="BR72" s="33"/>
      <c r="BS72" s="33"/>
      <c r="BU72" s="33"/>
    </row>
    <row r="73" spans="1:73" x14ac:dyDescent="0.25">
      <c r="A73" s="32"/>
      <c r="D73" s="33"/>
      <c r="E73" s="33"/>
      <c r="F73" s="33"/>
      <c r="G73" s="33"/>
      <c r="H73" s="33"/>
      <c r="I73" s="34"/>
      <c r="J73" s="33"/>
      <c r="K73" s="35"/>
      <c r="L73" s="33"/>
      <c r="M73" s="33"/>
      <c r="N73" s="33"/>
      <c r="O73" s="33"/>
      <c r="P73" s="33"/>
      <c r="Q73" s="33"/>
      <c r="R73" s="33"/>
      <c r="S73" s="33"/>
      <c r="T73" s="33"/>
      <c r="U73" s="36"/>
      <c r="V73" s="36"/>
      <c r="W73" s="44"/>
      <c r="X73" s="31"/>
      <c r="Y73" s="36"/>
      <c r="Z73" s="36"/>
      <c r="AA73" s="36"/>
      <c r="AC73" s="42"/>
      <c r="AD73" s="47"/>
      <c r="AE73" s="47"/>
      <c r="AF73" s="42"/>
      <c r="AG73" s="42"/>
      <c r="AH73" s="42"/>
      <c r="AI73" s="42"/>
      <c r="AJ73" s="42"/>
      <c r="AK73" s="42"/>
      <c r="AL73" s="42"/>
      <c r="AM73" s="42"/>
      <c r="AN73" s="48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8"/>
      <c r="BA73" s="33"/>
      <c r="BB73" s="33"/>
      <c r="BD73" s="33"/>
      <c r="BE73" s="33"/>
      <c r="BH73" s="42"/>
      <c r="BI73" s="42"/>
      <c r="BJ73" s="48"/>
      <c r="BK73" s="48"/>
      <c r="BM73" s="42"/>
      <c r="BN73" s="42"/>
      <c r="BR73" s="33"/>
      <c r="BS73" s="33"/>
      <c r="BU73" s="33"/>
    </row>
    <row r="74" spans="1:73" x14ac:dyDescent="0.25">
      <c r="A74" s="32"/>
      <c r="D74" s="33"/>
      <c r="E74" s="33"/>
      <c r="F74" s="33"/>
      <c r="G74" s="33"/>
      <c r="H74" s="33"/>
      <c r="I74" s="34"/>
      <c r="J74" s="33"/>
      <c r="K74" s="35"/>
      <c r="L74" s="33"/>
      <c r="M74" s="33"/>
      <c r="N74" s="33"/>
      <c r="O74" s="33"/>
      <c r="P74" s="33"/>
      <c r="Q74" s="33"/>
      <c r="R74" s="33"/>
      <c r="S74" s="33"/>
      <c r="T74" s="33"/>
      <c r="U74" s="36"/>
      <c r="V74" s="36"/>
      <c r="W74" s="44"/>
      <c r="X74" s="31"/>
      <c r="Y74" s="36"/>
      <c r="Z74" s="36"/>
      <c r="AA74" s="36"/>
      <c r="AC74" s="42"/>
      <c r="AD74" s="47"/>
      <c r="AE74" s="47"/>
      <c r="AF74" s="42"/>
      <c r="AG74" s="42"/>
      <c r="AH74" s="42"/>
      <c r="AI74" s="42"/>
      <c r="AJ74" s="42"/>
      <c r="AK74" s="42"/>
      <c r="AL74" s="42"/>
      <c r="AM74" s="42"/>
      <c r="AN74" s="48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8"/>
      <c r="BA74" s="33"/>
      <c r="BB74" s="33"/>
      <c r="BD74" s="33"/>
      <c r="BE74" s="33"/>
      <c r="BH74" s="42"/>
      <c r="BI74" s="42"/>
      <c r="BJ74" s="48"/>
      <c r="BK74" s="48"/>
      <c r="BM74" s="42"/>
      <c r="BN74" s="42"/>
      <c r="BR74" s="33"/>
      <c r="BS74" s="33"/>
      <c r="BU74" s="33"/>
    </row>
    <row r="75" spans="1:73" x14ac:dyDescent="0.25">
      <c r="A75" s="32"/>
      <c r="D75" s="33"/>
      <c r="E75" s="33"/>
      <c r="F75" s="33"/>
      <c r="G75" s="33"/>
      <c r="H75" s="33"/>
      <c r="I75" s="34"/>
      <c r="J75" s="33"/>
      <c r="K75" s="35"/>
      <c r="L75" s="33"/>
      <c r="M75" s="33"/>
      <c r="N75" s="33"/>
      <c r="O75" s="33"/>
      <c r="P75" s="33"/>
      <c r="Q75" s="33"/>
      <c r="R75" s="33"/>
      <c r="S75" s="33"/>
      <c r="T75" s="33"/>
      <c r="U75" s="36"/>
      <c r="V75" s="36"/>
      <c r="W75" s="44"/>
      <c r="X75" s="31"/>
      <c r="Y75" s="36"/>
      <c r="Z75" s="36"/>
      <c r="AA75" s="36"/>
      <c r="AC75" s="42"/>
      <c r="AD75" s="47"/>
      <c r="AE75" s="47"/>
      <c r="AF75" s="42"/>
      <c r="AG75" s="42"/>
      <c r="AH75" s="42"/>
      <c r="AI75" s="42"/>
      <c r="AJ75" s="42"/>
      <c r="AK75" s="42"/>
      <c r="AL75" s="42"/>
      <c r="AM75" s="42"/>
      <c r="AN75" s="48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8"/>
      <c r="BA75" s="33"/>
      <c r="BB75" s="33"/>
      <c r="BD75" s="33"/>
      <c r="BE75" s="33"/>
      <c r="BH75" s="42"/>
      <c r="BI75" s="42"/>
      <c r="BJ75" s="48"/>
      <c r="BK75" s="48"/>
      <c r="BM75" s="42"/>
      <c r="BN75" s="42"/>
      <c r="BR75" s="33"/>
      <c r="BS75" s="33"/>
      <c r="BU75" s="33"/>
    </row>
    <row r="76" spans="1:73" x14ac:dyDescent="0.25">
      <c r="A76" s="32"/>
      <c r="D76" s="33"/>
      <c r="E76" s="33"/>
      <c r="F76" s="33"/>
      <c r="G76" s="33"/>
      <c r="H76" s="33"/>
      <c r="I76" s="34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6"/>
      <c r="V76" s="36"/>
      <c r="W76" s="44"/>
      <c r="X76" s="31"/>
      <c r="Y76" s="36"/>
      <c r="Z76" s="36"/>
      <c r="AA76" s="36"/>
      <c r="AC76" s="42"/>
      <c r="AD76" s="47"/>
      <c r="AE76" s="47"/>
      <c r="AF76" s="42"/>
      <c r="AG76" s="42"/>
      <c r="AH76" s="42"/>
      <c r="AI76" s="42"/>
      <c r="AJ76" s="42"/>
      <c r="AK76" s="42"/>
      <c r="AL76" s="42"/>
      <c r="AM76" s="42"/>
      <c r="AN76" s="48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8"/>
      <c r="BA76" s="33"/>
      <c r="BB76" s="33"/>
      <c r="BD76" s="33"/>
      <c r="BE76" s="33"/>
      <c r="BH76" s="42"/>
      <c r="BI76" s="42"/>
      <c r="BJ76" s="48"/>
      <c r="BK76" s="48"/>
      <c r="BM76" s="42"/>
      <c r="BN76" s="42"/>
      <c r="BR76" s="33"/>
      <c r="BS76" s="33"/>
      <c r="BU76" s="33"/>
    </row>
    <row r="77" spans="1:73" x14ac:dyDescent="0.25">
      <c r="A77" s="32"/>
      <c r="D77" s="33"/>
      <c r="E77" s="33"/>
      <c r="F77" s="33"/>
      <c r="G77" s="33"/>
      <c r="H77" s="33"/>
      <c r="I77" s="34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6"/>
      <c r="V77" s="36"/>
      <c r="W77" s="44"/>
      <c r="X77" s="31"/>
      <c r="Y77" s="36"/>
      <c r="Z77" s="36"/>
      <c r="AA77" s="36"/>
      <c r="AC77" s="42"/>
      <c r="AD77" s="47"/>
      <c r="AE77" s="47"/>
      <c r="AF77" s="42"/>
      <c r="AG77" s="42"/>
      <c r="AH77" s="42"/>
      <c r="AI77" s="42"/>
      <c r="AJ77" s="42"/>
      <c r="AK77" s="42"/>
      <c r="AL77" s="42"/>
      <c r="AM77" s="42"/>
      <c r="AN77" s="48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8"/>
      <c r="BA77" s="33"/>
      <c r="BB77" s="33"/>
      <c r="BD77" s="33"/>
      <c r="BE77" s="33"/>
      <c r="BH77" s="42"/>
      <c r="BI77" s="42"/>
      <c r="BJ77" s="48"/>
      <c r="BK77" s="48"/>
      <c r="BM77" s="42"/>
      <c r="BN77" s="42"/>
      <c r="BR77" s="33"/>
      <c r="BS77" s="33"/>
      <c r="BU77" s="33"/>
    </row>
    <row r="78" spans="1:73" x14ac:dyDescent="0.25">
      <c r="A78" s="32"/>
      <c r="D78" s="33"/>
      <c r="E78" s="33"/>
      <c r="F78" s="33"/>
      <c r="G78" s="33"/>
      <c r="H78" s="33"/>
      <c r="I78" s="34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6"/>
      <c r="V78" s="36"/>
      <c r="W78" s="44"/>
      <c r="X78" s="31"/>
      <c r="Y78" s="36"/>
      <c r="Z78" s="36"/>
      <c r="AA78" s="36"/>
      <c r="AC78" s="42"/>
      <c r="AD78" s="47"/>
      <c r="AE78" s="47"/>
      <c r="AF78" s="42"/>
      <c r="AG78" s="42"/>
      <c r="AH78" s="42"/>
      <c r="AI78" s="42"/>
      <c r="AJ78" s="42"/>
      <c r="AK78" s="42"/>
      <c r="AL78" s="42"/>
      <c r="AM78" s="42"/>
      <c r="AN78" s="48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8"/>
      <c r="BA78" s="33"/>
      <c r="BB78" s="33"/>
      <c r="BD78" s="33"/>
      <c r="BE78" s="33"/>
      <c r="BH78" s="42"/>
      <c r="BI78" s="42"/>
      <c r="BJ78" s="48"/>
      <c r="BK78" s="48"/>
      <c r="BM78" s="42"/>
      <c r="BN78" s="42"/>
      <c r="BR78" s="33"/>
      <c r="BS78" s="33"/>
      <c r="BU78" s="33"/>
    </row>
    <row r="79" spans="1:73" x14ac:dyDescent="0.25">
      <c r="A79" s="32"/>
      <c r="D79" s="33"/>
      <c r="E79" s="33"/>
      <c r="F79" s="33"/>
      <c r="G79" s="33"/>
      <c r="H79" s="33"/>
      <c r="I79" s="34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6"/>
      <c r="V79" s="36"/>
      <c r="W79" s="44"/>
      <c r="X79" s="31"/>
      <c r="Y79" s="36"/>
      <c r="Z79" s="36"/>
      <c r="AA79" s="36"/>
      <c r="AC79" s="42"/>
      <c r="AD79" s="47"/>
      <c r="AE79" s="47"/>
      <c r="AF79" s="42"/>
      <c r="AG79" s="42"/>
      <c r="AH79" s="42"/>
      <c r="AI79" s="42"/>
      <c r="AJ79" s="42"/>
      <c r="AK79" s="42"/>
      <c r="AL79" s="42"/>
      <c r="AM79" s="42"/>
      <c r="AN79" s="48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8"/>
      <c r="BA79" s="33"/>
      <c r="BB79" s="33"/>
      <c r="BD79" s="33"/>
      <c r="BE79" s="33"/>
      <c r="BH79" s="42"/>
      <c r="BI79" s="42"/>
      <c r="BJ79" s="48"/>
      <c r="BK79" s="48"/>
      <c r="BM79" s="42"/>
      <c r="BN79" s="42"/>
      <c r="BR79" s="33"/>
      <c r="BS79" s="33"/>
      <c r="BU79" s="33"/>
    </row>
    <row r="80" spans="1:73" x14ac:dyDescent="0.25">
      <c r="A80" s="32"/>
      <c r="D80" s="33"/>
      <c r="E80" s="33"/>
      <c r="F80" s="33"/>
      <c r="G80" s="33"/>
      <c r="H80" s="33"/>
      <c r="I80" s="34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6"/>
      <c r="V80" s="36"/>
      <c r="W80" s="44"/>
      <c r="X80" s="31"/>
      <c r="Y80" s="36"/>
      <c r="Z80" s="36"/>
      <c r="AA80" s="36"/>
      <c r="AC80" s="42"/>
      <c r="AD80" s="47"/>
      <c r="AE80" s="47"/>
      <c r="AF80" s="42"/>
      <c r="AG80" s="42"/>
      <c r="AH80" s="42"/>
      <c r="AI80" s="42"/>
      <c r="AJ80" s="42"/>
      <c r="AK80" s="42"/>
      <c r="AL80" s="42"/>
      <c r="AM80" s="42"/>
      <c r="AN80" s="48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8"/>
      <c r="BA80" s="33"/>
      <c r="BB80" s="33"/>
      <c r="BD80" s="33"/>
      <c r="BE80" s="33"/>
      <c r="BH80" s="42"/>
      <c r="BI80" s="42"/>
      <c r="BJ80" s="48"/>
      <c r="BK80" s="48"/>
      <c r="BM80" s="42"/>
      <c r="BN80" s="42"/>
      <c r="BR80" s="33"/>
      <c r="BS80" s="33"/>
      <c r="BU80" s="33"/>
    </row>
    <row r="81" spans="1:73" x14ac:dyDescent="0.25">
      <c r="A81" s="32"/>
      <c r="D81" s="33"/>
      <c r="E81" s="33"/>
      <c r="F81" s="33"/>
      <c r="G81" s="33"/>
      <c r="H81" s="33"/>
      <c r="I81" s="34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6"/>
      <c r="V81" s="36"/>
      <c r="W81" s="44"/>
      <c r="X81" s="31"/>
      <c r="Y81" s="36"/>
      <c r="Z81" s="36"/>
      <c r="AA81" s="36"/>
      <c r="AC81" s="42"/>
      <c r="AD81" s="47"/>
      <c r="AE81" s="47"/>
      <c r="AF81" s="42"/>
      <c r="AG81" s="42"/>
      <c r="AH81" s="42"/>
      <c r="AI81" s="42"/>
      <c r="AJ81" s="42"/>
      <c r="AK81" s="42"/>
      <c r="AL81" s="42"/>
      <c r="AM81" s="42"/>
      <c r="AN81" s="48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8"/>
      <c r="BA81" s="33"/>
      <c r="BB81" s="33"/>
      <c r="BD81" s="33"/>
      <c r="BE81" s="33"/>
      <c r="BH81" s="42"/>
      <c r="BI81" s="42"/>
      <c r="BJ81" s="48"/>
      <c r="BK81" s="48"/>
      <c r="BM81" s="42"/>
      <c r="BN81" s="42"/>
      <c r="BR81" s="33"/>
      <c r="BS81" s="33"/>
      <c r="BU81" s="33"/>
    </row>
    <row r="82" spans="1:73" x14ac:dyDescent="0.25">
      <c r="A82" s="32"/>
      <c r="D82" s="33"/>
      <c r="E82" s="33"/>
      <c r="F82" s="33"/>
      <c r="G82" s="33"/>
      <c r="H82" s="33"/>
      <c r="I82" s="34"/>
      <c r="J82" s="33"/>
      <c r="K82" s="33"/>
      <c r="L82" s="49"/>
      <c r="M82" s="49"/>
      <c r="N82" s="49"/>
      <c r="O82" s="49"/>
      <c r="P82" s="49"/>
      <c r="Q82" s="49"/>
      <c r="R82" s="49"/>
      <c r="S82" s="49"/>
      <c r="T82" s="49"/>
      <c r="U82" s="36"/>
      <c r="V82" s="36"/>
      <c r="W82" s="50"/>
      <c r="X82" s="51"/>
      <c r="Y82" s="36"/>
      <c r="Z82" s="36"/>
      <c r="AA82" s="36"/>
      <c r="AC82" s="42"/>
      <c r="AD82" s="47"/>
      <c r="AE82" s="47"/>
      <c r="AF82" s="42"/>
      <c r="AG82" s="42"/>
      <c r="AH82" s="42"/>
      <c r="AI82" s="42"/>
      <c r="AJ82" s="42"/>
      <c r="AK82" s="42"/>
      <c r="AL82" s="42"/>
      <c r="AM82" s="42"/>
      <c r="AN82" s="48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52"/>
      <c r="AZ82" s="48"/>
      <c r="BA82" s="33"/>
      <c r="BB82" s="33"/>
      <c r="BD82" s="33"/>
      <c r="BE82" s="33"/>
      <c r="BH82" s="42"/>
      <c r="BI82" s="42"/>
      <c r="BJ82" s="48"/>
      <c r="BK82" s="48"/>
      <c r="BL82" s="80"/>
      <c r="BM82" s="52"/>
      <c r="BN82" s="52"/>
      <c r="BR82" s="33"/>
      <c r="BS82" s="33"/>
      <c r="BU82" s="33"/>
    </row>
    <row r="83" spans="1:73" x14ac:dyDescent="0.25">
      <c r="A83" s="32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36"/>
      <c r="AA83" s="36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33"/>
      <c r="BB83" s="33"/>
      <c r="BC83" s="53"/>
      <c r="BD83" s="53"/>
      <c r="BE83" s="53"/>
      <c r="BF83" s="53"/>
      <c r="BG83" s="53"/>
      <c r="BH83" s="42"/>
      <c r="BI83" s="42"/>
      <c r="BJ83" s="42"/>
      <c r="BK83" s="42"/>
      <c r="BM83" s="53"/>
      <c r="BN83" s="53"/>
      <c r="BO83" s="53"/>
      <c r="BP83" s="53"/>
      <c r="BQ83" s="53"/>
      <c r="BR83" s="53"/>
      <c r="BS83" s="53"/>
      <c r="BT83" s="53"/>
      <c r="BU83" s="53"/>
    </row>
    <row r="84" spans="1:73" x14ac:dyDescent="0.25">
      <c r="Z84" s="53"/>
      <c r="AA84" s="53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BA84" s="33"/>
      <c r="BB84" s="33"/>
      <c r="BH84" s="53"/>
      <c r="BI84" s="53"/>
      <c r="BJ84" s="36"/>
      <c r="BK84" s="36"/>
    </row>
    <row r="85" spans="1:73" x14ac:dyDescent="0.25">
      <c r="BA85" s="53"/>
      <c r="BB85" s="53"/>
    </row>
  </sheetData>
  <mergeCells count="27">
    <mergeCell ref="BA3:BB3"/>
    <mergeCell ref="BR2:BS2"/>
    <mergeCell ref="D3:E3"/>
    <mergeCell ref="G3:H3"/>
    <mergeCell ref="J3:K3"/>
    <mergeCell ref="M3:N3"/>
    <mergeCell ref="P3:Q3"/>
    <mergeCell ref="S3:T3"/>
    <mergeCell ref="AC3:AD3"/>
    <mergeCell ref="AF3:AG3"/>
    <mergeCell ref="AI3:AJ3"/>
    <mergeCell ref="D2:T2"/>
    <mergeCell ref="W2:X2"/>
    <mergeCell ref="AC2:AY2"/>
    <mergeCell ref="BA2:BB2"/>
    <mergeCell ref="BD2:BE2"/>
    <mergeCell ref="AL3:AM3"/>
    <mergeCell ref="AO3:AP3"/>
    <mergeCell ref="AR3:AS3"/>
    <mergeCell ref="AU3:AV3"/>
    <mergeCell ref="AX3:AY3"/>
    <mergeCell ref="BD3:BE3"/>
    <mergeCell ref="BH3:BI3"/>
    <mergeCell ref="BR3:BS3"/>
    <mergeCell ref="BM2:BN2"/>
    <mergeCell ref="BM3:BN3"/>
    <mergeCell ref="BH2:B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1BB2-7306-4BCD-B689-7FE7BC7C0629}">
  <dimension ref="A1:AA38"/>
  <sheetViews>
    <sheetView tabSelected="1" topLeftCell="J1" zoomScale="80" zoomScaleNormal="80" workbookViewId="0">
      <selection activeCell="T3" sqref="T3"/>
    </sheetView>
  </sheetViews>
  <sheetFormatPr defaultRowHeight="15" x14ac:dyDescent="0.25"/>
  <cols>
    <col min="1" max="1" width="12.140625" style="1" customWidth="1"/>
    <col min="2" max="2" width="9.140625" style="1"/>
    <col min="3" max="4" width="16.85546875" style="1" customWidth="1"/>
    <col min="5" max="5" width="9.140625" style="2"/>
    <col min="6" max="6" width="22.5703125" customWidth="1"/>
    <col min="7" max="7" width="29.42578125" customWidth="1"/>
    <col min="8" max="9" width="17.42578125" customWidth="1"/>
    <col min="10" max="10" width="15.5703125" customWidth="1"/>
    <col min="11" max="11" width="13.7109375" customWidth="1"/>
    <col min="12" max="12" width="11.42578125" customWidth="1"/>
    <col min="13" max="13" width="10.5703125" bestFit="1" customWidth="1"/>
    <col min="16" max="16" width="17.5703125" style="5" customWidth="1"/>
    <col min="17" max="17" width="13.140625" customWidth="1"/>
    <col min="18" max="19" width="13.42578125" customWidth="1"/>
    <col min="20" max="20" width="18.42578125" customWidth="1"/>
    <col min="21" max="21" width="19.140625" customWidth="1"/>
    <col min="22" max="22" width="20.28515625" customWidth="1"/>
    <col min="23" max="23" width="22.42578125" customWidth="1"/>
    <col min="24" max="24" width="19" customWidth="1"/>
    <col min="25" max="25" width="21.42578125" customWidth="1"/>
    <col min="26" max="26" width="15.140625" customWidth="1"/>
    <col min="27" max="27" width="12.28515625" bestFit="1" customWidth="1"/>
  </cols>
  <sheetData>
    <row r="1" spans="1:27" ht="38.25" customHeight="1" x14ac:dyDescent="0.25">
      <c r="A1" s="99" t="s">
        <v>83</v>
      </c>
      <c r="B1" s="99" t="s">
        <v>84</v>
      </c>
      <c r="C1" s="100" t="s">
        <v>85</v>
      </c>
      <c r="D1" s="100" t="s">
        <v>86</v>
      </c>
      <c r="E1" s="99" t="s">
        <v>87</v>
      </c>
      <c r="F1" s="99" t="s">
        <v>88</v>
      </c>
      <c r="G1" s="99" t="s">
        <v>89</v>
      </c>
      <c r="H1" s="100" t="s">
        <v>90</v>
      </c>
      <c r="I1" s="100" t="s">
        <v>91</v>
      </c>
      <c r="J1" s="99" t="s">
        <v>92</v>
      </c>
      <c r="K1" s="99" t="s">
        <v>93</v>
      </c>
      <c r="L1" s="99"/>
      <c r="M1" s="99" t="s">
        <v>94</v>
      </c>
      <c r="N1" s="99" t="s">
        <v>95</v>
      </c>
      <c r="O1" s="99" t="s">
        <v>96</v>
      </c>
      <c r="P1" s="100" t="s">
        <v>97</v>
      </c>
      <c r="Q1" s="100" t="s">
        <v>98</v>
      </c>
      <c r="R1" s="100"/>
      <c r="S1" s="100" t="s">
        <v>99</v>
      </c>
      <c r="T1" s="98" t="s">
        <v>100</v>
      </c>
      <c r="U1" s="98" t="s">
        <v>101</v>
      </c>
      <c r="V1" s="98" t="s">
        <v>128</v>
      </c>
      <c r="W1" s="98" t="s">
        <v>139</v>
      </c>
      <c r="X1" s="98" t="s">
        <v>140</v>
      </c>
    </row>
    <row r="2" spans="1:27" ht="38.25" customHeight="1" x14ac:dyDescent="0.25">
      <c r="A2" s="99"/>
      <c r="B2" s="99"/>
      <c r="C2" s="100"/>
      <c r="D2" s="100"/>
      <c r="E2" s="99"/>
      <c r="F2" s="99"/>
      <c r="G2" s="99"/>
      <c r="H2" s="100"/>
      <c r="I2" s="100"/>
      <c r="J2" s="99"/>
      <c r="K2" s="5">
        <v>2020</v>
      </c>
      <c r="L2" s="5">
        <v>2021</v>
      </c>
      <c r="M2" s="99"/>
      <c r="N2" s="99"/>
      <c r="O2" s="99"/>
      <c r="P2" s="100"/>
      <c r="Q2" s="5">
        <v>2020</v>
      </c>
      <c r="R2" s="57" t="s">
        <v>102</v>
      </c>
      <c r="S2" s="100"/>
      <c r="T2" s="98"/>
      <c r="U2" s="98"/>
      <c r="V2" s="98"/>
      <c r="W2" s="98"/>
      <c r="X2" s="98"/>
    </row>
    <row r="3" spans="1:27" x14ac:dyDescent="0.25">
      <c r="A3" s="1" t="s">
        <v>103</v>
      </c>
      <c r="B3" s="1">
        <v>23</v>
      </c>
      <c r="C3" s="1">
        <v>90</v>
      </c>
      <c r="D3" s="58">
        <f>(T36/I36)*100</f>
        <v>76.969835548824221</v>
      </c>
      <c r="E3" s="2" t="s">
        <v>104</v>
      </c>
      <c r="F3" s="59"/>
      <c r="G3" t="s">
        <v>105</v>
      </c>
      <c r="H3" s="60">
        <v>106258.31</v>
      </c>
      <c r="I3" s="60">
        <v>116258.31</v>
      </c>
      <c r="J3" s="61" t="s">
        <v>106</v>
      </c>
      <c r="K3" s="55">
        <v>1306.6500000000001</v>
      </c>
      <c r="L3" s="61">
        <v>1481.7</v>
      </c>
      <c r="M3" s="61">
        <v>39.6</v>
      </c>
      <c r="N3" s="61">
        <v>13.75</v>
      </c>
      <c r="O3" s="61">
        <v>5.5</v>
      </c>
      <c r="P3" s="62">
        <f>12*(L3+M3+N3+O3)</f>
        <v>18486.599999999999</v>
      </c>
      <c r="Q3" s="63">
        <f>0.246*H3</f>
        <v>26139.544259999999</v>
      </c>
      <c r="R3" s="60">
        <f>0.2695*I3</f>
        <v>31331.614545</v>
      </c>
      <c r="S3" s="63">
        <f>I3*0.0765</f>
        <v>8893.7607150000003</v>
      </c>
      <c r="T3" s="60">
        <f t="shared" ref="T3:T31" si="0">I3*(D3/100)</f>
        <v>89483.830018842258</v>
      </c>
      <c r="U3" s="60">
        <f>T3*0.0765</f>
        <v>6845.5129964414327</v>
      </c>
      <c r="V3" s="60">
        <f t="shared" ref="V3:V31" si="1">(D3/100)*P3</f>
        <v>14229.105618568936</v>
      </c>
      <c r="W3" s="60">
        <f t="shared" ref="W3:W31" si="2">(D3/100)*R3</f>
        <v>24115.89219007799</v>
      </c>
      <c r="X3" s="60">
        <f>V3+W3</f>
        <v>38344.997808646927</v>
      </c>
      <c r="Z3" s="63">
        <f>P3+R3</f>
        <v>49818.214544999995</v>
      </c>
      <c r="AA3" s="63">
        <f>Z3-X3</f>
        <v>11473.216736353068</v>
      </c>
    </row>
    <row r="4" spans="1:27" x14ac:dyDescent="0.25">
      <c r="A4" s="1" t="s">
        <v>103</v>
      </c>
      <c r="B4" s="1">
        <v>19</v>
      </c>
      <c r="C4" s="1">
        <v>80</v>
      </c>
      <c r="D4" s="1">
        <v>84.55</v>
      </c>
      <c r="E4" s="2" t="s">
        <v>104</v>
      </c>
      <c r="F4" s="59"/>
      <c r="G4" t="s">
        <v>107</v>
      </c>
      <c r="H4" s="60">
        <v>48375.21</v>
      </c>
      <c r="I4" s="60">
        <v>51101.63</v>
      </c>
      <c r="J4" s="61" t="s">
        <v>108</v>
      </c>
      <c r="K4" s="55">
        <v>946.2</v>
      </c>
      <c r="L4" s="61">
        <v>1072.95</v>
      </c>
      <c r="M4" s="61">
        <v>40.81</v>
      </c>
      <c r="N4" s="61">
        <v>13.07</v>
      </c>
      <c r="O4" s="61">
        <v>5.5</v>
      </c>
      <c r="P4" s="62">
        <f t="shared" ref="P4:P31" si="3">12*(L4+M4+N4+O4)</f>
        <v>13587.96</v>
      </c>
      <c r="Q4" s="63">
        <f t="shared" ref="Q4:Q26" si="4">0.246*H4</f>
        <v>11900.301659999999</v>
      </c>
      <c r="R4" s="60">
        <f t="shared" ref="R4:R26" si="5">0.2695*I4</f>
        <v>13771.889284999999</v>
      </c>
      <c r="S4" s="63">
        <f t="shared" ref="S4:S31" si="6">I4*0.0765</f>
        <v>3909.2746949999996</v>
      </c>
      <c r="T4" s="60">
        <f t="shared" si="0"/>
        <v>43206.42816499999</v>
      </c>
      <c r="U4" s="60">
        <f t="shared" ref="U4:U31" si="7">T4*0.0765</f>
        <v>3305.2917546224994</v>
      </c>
      <c r="V4" s="60">
        <f t="shared" si="1"/>
        <v>11488.620179999998</v>
      </c>
      <c r="W4" s="60">
        <f t="shared" si="2"/>
        <v>11644.132390467499</v>
      </c>
      <c r="X4" s="60">
        <f t="shared" ref="X4:X32" si="8">V4+W4</f>
        <v>23132.752570467499</v>
      </c>
      <c r="Z4" s="63">
        <f t="shared" ref="Z4:Z32" si="9">P4+R4</f>
        <v>27359.849284999997</v>
      </c>
      <c r="AA4" s="63">
        <f t="shared" ref="AA4:AA32" si="10">Z4-X4</f>
        <v>4227.0967145324976</v>
      </c>
    </row>
    <row r="5" spans="1:27" x14ac:dyDescent="0.25">
      <c r="A5" s="1" t="s">
        <v>103</v>
      </c>
      <c r="B5" s="64">
        <v>21</v>
      </c>
      <c r="C5" s="1">
        <v>90</v>
      </c>
      <c r="D5" s="1">
        <v>90</v>
      </c>
      <c r="E5" s="2" t="s">
        <v>104</v>
      </c>
      <c r="F5" s="59"/>
      <c r="G5" t="s">
        <v>109</v>
      </c>
      <c r="H5" s="60">
        <v>58998.46</v>
      </c>
      <c r="I5" s="60">
        <v>63198.74</v>
      </c>
      <c r="J5" s="61" t="s">
        <v>108</v>
      </c>
      <c r="K5" s="55">
        <v>946.2</v>
      </c>
      <c r="L5" s="61">
        <v>1072.95</v>
      </c>
      <c r="M5" s="61">
        <v>40.81</v>
      </c>
      <c r="N5" s="61">
        <v>13.07</v>
      </c>
      <c r="O5" s="61">
        <v>5.5</v>
      </c>
      <c r="P5" s="62">
        <f t="shared" si="3"/>
        <v>13587.96</v>
      </c>
      <c r="Q5" s="63">
        <f t="shared" si="4"/>
        <v>14513.621159999999</v>
      </c>
      <c r="R5" s="60">
        <f t="shared" si="5"/>
        <v>17032.060430000001</v>
      </c>
      <c r="S5" s="63">
        <f t="shared" si="6"/>
        <v>4834.7036099999996</v>
      </c>
      <c r="T5" s="60">
        <f t="shared" si="0"/>
        <v>56878.866000000002</v>
      </c>
      <c r="U5" s="60">
        <f t="shared" si="7"/>
        <v>4351.2332489999999</v>
      </c>
      <c r="V5" s="60">
        <f t="shared" si="1"/>
        <v>12229.163999999999</v>
      </c>
      <c r="W5" s="60">
        <f t="shared" si="2"/>
        <v>15328.854387000001</v>
      </c>
      <c r="X5" s="60">
        <f t="shared" si="8"/>
        <v>27558.018387</v>
      </c>
      <c r="Z5" s="63">
        <f t="shared" si="9"/>
        <v>30620.02043</v>
      </c>
      <c r="AA5" s="63">
        <f t="shared" si="10"/>
        <v>3062.0020430000004</v>
      </c>
    </row>
    <row r="6" spans="1:27" x14ac:dyDescent="0.25">
      <c r="A6" s="1" t="s">
        <v>103</v>
      </c>
      <c r="B6" s="1">
        <v>22</v>
      </c>
      <c r="C6" s="1">
        <v>80</v>
      </c>
      <c r="D6" s="1">
        <v>84.55</v>
      </c>
      <c r="E6" s="2" t="s">
        <v>104</v>
      </c>
      <c r="F6" s="59"/>
      <c r="G6" t="s">
        <v>110</v>
      </c>
      <c r="H6" s="60">
        <v>63402.879999999997</v>
      </c>
      <c r="I6" s="65">
        <v>64649.120000000003</v>
      </c>
      <c r="J6" s="61" t="s">
        <v>111</v>
      </c>
      <c r="K6" s="55">
        <v>811.03</v>
      </c>
      <c r="L6" s="61">
        <v>510.93</v>
      </c>
      <c r="M6" s="61">
        <v>19.399999999999999</v>
      </c>
      <c r="N6" s="61">
        <v>6.88</v>
      </c>
      <c r="O6" s="61">
        <v>5.5</v>
      </c>
      <c r="P6" s="62">
        <f t="shared" si="3"/>
        <v>6512.52</v>
      </c>
      <c r="Q6" s="63">
        <f t="shared" si="4"/>
        <v>15597.108479999999</v>
      </c>
      <c r="R6" s="60">
        <f t="shared" si="5"/>
        <v>17422.937840000002</v>
      </c>
      <c r="S6" s="63">
        <f t="shared" si="6"/>
        <v>4945.6576800000003</v>
      </c>
      <c r="T6" s="60">
        <f t="shared" si="0"/>
        <v>54660.830959999999</v>
      </c>
      <c r="U6" s="60">
        <f t="shared" si="7"/>
        <v>4181.5535684400002</v>
      </c>
      <c r="V6" s="60">
        <f t="shared" si="1"/>
        <v>5506.3356599999997</v>
      </c>
      <c r="W6" s="60">
        <f t="shared" si="2"/>
        <v>14731.093943720001</v>
      </c>
      <c r="X6" s="60">
        <f t="shared" si="8"/>
        <v>20237.42960372</v>
      </c>
      <c r="Z6" s="63">
        <f t="shared" si="9"/>
        <v>23935.457840000003</v>
      </c>
      <c r="AA6" s="63">
        <f t="shared" si="10"/>
        <v>3698.0282362800026</v>
      </c>
    </row>
    <row r="7" spans="1:27" x14ac:dyDescent="0.25">
      <c r="A7" s="1" t="s">
        <v>103</v>
      </c>
      <c r="B7" s="1">
        <v>12</v>
      </c>
      <c r="C7" s="1">
        <v>90</v>
      </c>
      <c r="D7" s="1">
        <v>84.55</v>
      </c>
      <c r="E7" s="2" t="s">
        <v>104</v>
      </c>
      <c r="F7" s="59"/>
      <c r="G7" t="s">
        <v>112</v>
      </c>
      <c r="H7" s="60">
        <v>43647.48</v>
      </c>
      <c r="I7" s="60">
        <v>43621.21</v>
      </c>
      <c r="J7" s="61" t="s">
        <v>113</v>
      </c>
      <c r="K7" s="55">
        <v>0</v>
      </c>
      <c r="L7" s="61">
        <v>0</v>
      </c>
      <c r="M7" s="61">
        <v>19.399999999999999</v>
      </c>
      <c r="N7" s="61">
        <v>6.88</v>
      </c>
      <c r="O7" s="61">
        <v>5.5</v>
      </c>
      <c r="P7" s="62">
        <f t="shared" si="3"/>
        <v>381.35999999999996</v>
      </c>
      <c r="Q7" s="63">
        <f t="shared" si="4"/>
        <v>10737.28008</v>
      </c>
      <c r="R7" s="60">
        <f t="shared" si="5"/>
        <v>11755.916095</v>
      </c>
      <c r="S7" s="63">
        <f t="shared" si="6"/>
        <v>3337.0225649999998</v>
      </c>
      <c r="T7" s="60">
        <f t="shared" si="0"/>
        <v>36881.733054999997</v>
      </c>
      <c r="U7" s="60">
        <f t="shared" si="7"/>
        <v>2821.4525787074999</v>
      </c>
      <c r="V7" s="60">
        <f t="shared" si="1"/>
        <v>322.43987999999996</v>
      </c>
      <c r="W7" s="60">
        <f t="shared" si="2"/>
        <v>9939.6270583224996</v>
      </c>
      <c r="X7" s="60">
        <f t="shared" si="8"/>
        <v>10262.066938322499</v>
      </c>
      <c r="Z7" s="63">
        <f t="shared" si="9"/>
        <v>12137.276095000001</v>
      </c>
      <c r="AA7" s="63">
        <f t="shared" si="10"/>
        <v>1875.2091566775016</v>
      </c>
    </row>
    <row r="8" spans="1:27" x14ac:dyDescent="0.25">
      <c r="A8" s="1" t="s">
        <v>103</v>
      </c>
      <c r="B8" s="1">
        <v>18</v>
      </c>
      <c r="C8" s="1">
        <v>100</v>
      </c>
      <c r="D8" s="1">
        <v>84.55</v>
      </c>
      <c r="E8" s="2" t="s">
        <v>104</v>
      </c>
      <c r="F8" s="59"/>
      <c r="G8" t="s">
        <v>112</v>
      </c>
      <c r="H8" s="60">
        <v>27088.78</v>
      </c>
      <c r="I8" s="60">
        <v>27088.78</v>
      </c>
      <c r="J8" s="61" t="s">
        <v>106</v>
      </c>
      <c r="K8" s="66">
        <v>1306.6500000000001</v>
      </c>
      <c r="L8" s="61">
        <v>1481.7</v>
      </c>
      <c r="M8" s="61">
        <v>79.349999999999994</v>
      </c>
      <c r="N8" s="61">
        <v>20.22</v>
      </c>
      <c r="O8" s="61">
        <v>5.5</v>
      </c>
      <c r="P8" s="62">
        <f t="shared" si="3"/>
        <v>19041.239999999998</v>
      </c>
      <c r="Q8" s="63">
        <f t="shared" si="4"/>
        <v>6663.8398799999995</v>
      </c>
      <c r="R8" s="60">
        <f t="shared" si="5"/>
        <v>7300.4262100000005</v>
      </c>
      <c r="S8" s="63">
        <f t="shared" si="6"/>
        <v>2072.2916700000001</v>
      </c>
      <c r="T8" s="60">
        <f t="shared" si="0"/>
        <v>22903.563489999997</v>
      </c>
      <c r="U8" s="60">
        <f t="shared" si="7"/>
        <v>1752.1226069849997</v>
      </c>
      <c r="V8" s="60">
        <f t="shared" si="1"/>
        <v>16099.368419999997</v>
      </c>
      <c r="W8" s="60">
        <f t="shared" si="2"/>
        <v>6172.5103605550003</v>
      </c>
      <c r="X8" s="60">
        <f t="shared" si="8"/>
        <v>22271.878780554998</v>
      </c>
      <c r="Z8" s="63">
        <f t="shared" si="9"/>
        <v>26341.666209999999</v>
      </c>
      <c r="AA8" s="63">
        <f t="shared" si="10"/>
        <v>4069.7874294450012</v>
      </c>
    </row>
    <row r="9" spans="1:27" x14ac:dyDescent="0.25">
      <c r="A9" s="1" t="s">
        <v>114</v>
      </c>
      <c r="B9" s="1">
        <v>14</v>
      </c>
      <c r="C9" s="1">
        <v>100</v>
      </c>
      <c r="D9" s="1">
        <v>100</v>
      </c>
      <c r="E9" s="2" t="s">
        <v>104</v>
      </c>
      <c r="F9" s="59"/>
      <c r="G9" t="s">
        <v>115</v>
      </c>
      <c r="H9" s="60">
        <v>59428.42</v>
      </c>
      <c r="I9" s="60">
        <v>63097.4</v>
      </c>
      <c r="J9" s="61" t="s">
        <v>106</v>
      </c>
      <c r="K9" s="55">
        <v>1306.6500000000001</v>
      </c>
      <c r="L9" s="61">
        <v>1481.7</v>
      </c>
      <c r="M9" s="61">
        <v>79.349999999999994</v>
      </c>
      <c r="N9" s="61">
        <v>20.22</v>
      </c>
      <c r="O9" s="61">
        <v>5.5</v>
      </c>
      <c r="P9" s="62">
        <f t="shared" si="3"/>
        <v>19041.239999999998</v>
      </c>
      <c r="Q9" s="63">
        <f t="shared" si="4"/>
        <v>14619.391319999999</v>
      </c>
      <c r="R9" s="60">
        <f t="shared" si="5"/>
        <v>17004.749300000003</v>
      </c>
      <c r="S9" s="63">
        <f t="shared" si="6"/>
        <v>4826.9511000000002</v>
      </c>
      <c r="T9" s="60">
        <f t="shared" si="0"/>
        <v>63097.4</v>
      </c>
      <c r="U9" s="60">
        <f t="shared" si="7"/>
        <v>4826.9511000000002</v>
      </c>
      <c r="V9" s="60">
        <f t="shared" si="1"/>
        <v>19041.239999999998</v>
      </c>
      <c r="W9" s="60">
        <f t="shared" si="2"/>
        <v>17004.749300000003</v>
      </c>
      <c r="X9" s="60">
        <f t="shared" si="8"/>
        <v>36045.989300000001</v>
      </c>
      <c r="Z9" s="63">
        <f t="shared" si="9"/>
        <v>36045.989300000001</v>
      </c>
      <c r="AA9" s="63">
        <f t="shared" si="10"/>
        <v>0</v>
      </c>
    </row>
    <row r="10" spans="1:27" x14ac:dyDescent="0.25">
      <c r="A10" s="67" t="s">
        <v>116</v>
      </c>
      <c r="B10" s="67">
        <v>30</v>
      </c>
      <c r="C10" s="67">
        <v>0</v>
      </c>
      <c r="D10" s="67">
        <v>0</v>
      </c>
      <c r="E10" s="68" t="s">
        <v>104</v>
      </c>
      <c r="F10" s="59"/>
      <c r="G10" s="69" t="s">
        <v>117</v>
      </c>
      <c r="H10" s="70">
        <v>48042.93</v>
      </c>
      <c r="I10" s="70">
        <v>49995.11</v>
      </c>
      <c r="J10" s="71" t="s">
        <v>106</v>
      </c>
      <c r="K10" s="72">
        <v>1306.6500000000001</v>
      </c>
      <c r="L10" s="71">
        <v>1481.7</v>
      </c>
      <c r="M10" s="71">
        <v>79.349999999999994</v>
      </c>
      <c r="N10" s="71">
        <v>20.22</v>
      </c>
      <c r="O10" s="71">
        <v>5.5</v>
      </c>
      <c r="P10" s="73">
        <f t="shared" si="3"/>
        <v>19041.239999999998</v>
      </c>
      <c r="Q10" s="74">
        <f t="shared" si="4"/>
        <v>11818.56078</v>
      </c>
      <c r="R10" s="70">
        <f t="shared" si="5"/>
        <v>13473.682145000001</v>
      </c>
      <c r="S10" s="74">
        <f t="shared" si="6"/>
        <v>3824.6259150000001</v>
      </c>
      <c r="T10" s="70">
        <f t="shared" si="0"/>
        <v>0</v>
      </c>
      <c r="U10" s="70">
        <f t="shared" si="7"/>
        <v>0</v>
      </c>
      <c r="V10" s="60">
        <f t="shared" si="1"/>
        <v>0</v>
      </c>
      <c r="W10" s="70">
        <f t="shared" si="2"/>
        <v>0</v>
      </c>
      <c r="X10" s="60">
        <f t="shared" si="8"/>
        <v>0</v>
      </c>
      <c r="Z10" s="63">
        <f t="shared" si="9"/>
        <v>32514.922144999997</v>
      </c>
      <c r="AA10" s="63">
        <f t="shared" si="10"/>
        <v>32514.922144999997</v>
      </c>
    </row>
    <row r="11" spans="1:27" x14ac:dyDescent="0.25">
      <c r="A11" s="67" t="s">
        <v>116</v>
      </c>
      <c r="B11" s="67">
        <v>29</v>
      </c>
      <c r="C11" s="67">
        <v>0</v>
      </c>
      <c r="D11" s="67">
        <v>0</v>
      </c>
      <c r="E11" s="68" t="s">
        <v>104</v>
      </c>
      <c r="F11" s="59"/>
      <c r="G11" s="69" t="s">
        <v>118</v>
      </c>
      <c r="H11" s="70">
        <v>52414.05</v>
      </c>
      <c r="I11" s="70">
        <v>54040.87</v>
      </c>
      <c r="J11" s="71" t="s">
        <v>111</v>
      </c>
      <c r="K11" s="72">
        <v>450.57</v>
      </c>
      <c r="L11" s="71">
        <v>510.93</v>
      </c>
      <c r="M11" s="71">
        <v>19.399999999999999</v>
      </c>
      <c r="N11" s="71">
        <v>6.88</v>
      </c>
      <c r="O11" s="71">
        <v>5.5</v>
      </c>
      <c r="P11" s="73">
        <f t="shared" si="3"/>
        <v>6512.52</v>
      </c>
      <c r="Q11" s="74">
        <f t="shared" si="4"/>
        <v>12893.856300000001</v>
      </c>
      <c r="R11" s="70">
        <f t="shared" si="5"/>
        <v>14564.014465000002</v>
      </c>
      <c r="S11" s="74">
        <f t="shared" si="6"/>
        <v>4134.1265549999998</v>
      </c>
      <c r="T11" s="70">
        <f t="shared" si="0"/>
        <v>0</v>
      </c>
      <c r="U11" s="70">
        <f t="shared" si="7"/>
        <v>0</v>
      </c>
      <c r="V11" s="60">
        <f t="shared" si="1"/>
        <v>0</v>
      </c>
      <c r="W11" s="70">
        <f t="shared" si="2"/>
        <v>0</v>
      </c>
      <c r="X11" s="60">
        <f t="shared" si="8"/>
        <v>0</v>
      </c>
      <c r="Z11" s="63">
        <f t="shared" si="9"/>
        <v>21076.534465000004</v>
      </c>
      <c r="AA11" s="63">
        <f t="shared" si="10"/>
        <v>21076.534465000004</v>
      </c>
    </row>
    <row r="12" spans="1:27" x14ac:dyDescent="0.25">
      <c r="A12" s="1" t="s">
        <v>114</v>
      </c>
      <c r="B12" s="1">
        <v>27</v>
      </c>
      <c r="C12" s="1">
        <v>100</v>
      </c>
      <c r="D12" s="1">
        <v>100</v>
      </c>
      <c r="E12" s="2" t="s">
        <v>104</v>
      </c>
      <c r="F12" s="59"/>
      <c r="G12" t="s">
        <v>119</v>
      </c>
      <c r="H12" s="60">
        <v>47026.96</v>
      </c>
      <c r="I12" s="60">
        <v>48750.59</v>
      </c>
      <c r="J12" s="61" t="s">
        <v>106</v>
      </c>
      <c r="K12" s="55">
        <v>1306.6500000000001</v>
      </c>
      <c r="L12" s="61">
        <v>1481.7</v>
      </c>
      <c r="M12" s="61">
        <v>79.349999999999994</v>
      </c>
      <c r="N12" s="61">
        <v>20.22</v>
      </c>
      <c r="O12" s="61">
        <v>5.5</v>
      </c>
      <c r="P12" s="62">
        <f t="shared" si="3"/>
        <v>19041.239999999998</v>
      </c>
      <c r="Q12" s="63">
        <f t="shared" si="4"/>
        <v>11568.632159999999</v>
      </c>
      <c r="R12" s="60">
        <f t="shared" si="5"/>
        <v>13138.284005</v>
      </c>
      <c r="S12" s="63">
        <f t="shared" si="6"/>
        <v>3729.4201349999998</v>
      </c>
      <c r="T12" s="60">
        <f t="shared" si="0"/>
        <v>48750.59</v>
      </c>
      <c r="U12" s="60">
        <f t="shared" si="7"/>
        <v>3729.4201349999998</v>
      </c>
      <c r="V12" s="60">
        <f t="shared" si="1"/>
        <v>19041.239999999998</v>
      </c>
      <c r="W12" s="60">
        <f t="shared" si="2"/>
        <v>13138.284005</v>
      </c>
      <c r="X12" s="60">
        <f t="shared" si="8"/>
        <v>32179.524004999999</v>
      </c>
      <c r="Z12" s="63">
        <f t="shared" si="9"/>
        <v>32179.524004999999</v>
      </c>
      <c r="AA12" s="63">
        <f t="shared" si="10"/>
        <v>0</v>
      </c>
    </row>
    <row r="13" spans="1:27" x14ac:dyDescent="0.25">
      <c r="A13" s="1" t="s">
        <v>114</v>
      </c>
      <c r="B13" s="1">
        <v>6</v>
      </c>
      <c r="C13" s="1">
        <v>100</v>
      </c>
      <c r="D13" s="1">
        <v>98.1</v>
      </c>
      <c r="E13" s="2" t="s">
        <v>104</v>
      </c>
      <c r="F13" s="59"/>
      <c r="G13" t="s">
        <v>109</v>
      </c>
      <c r="H13" s="60">
        <v>36192.31</v>
      </c>
      <c r="I13" s="60">
        <v>38092.239999999998</v>
      </c>
      <c r="J13" s="61" t="s">
        <v>111</v>
      </c>
      <c r="K13" s="55">
        <v>450.57</v>
      </c>
      <c r="L13" s="61">
        <v>510.93</v>
      </c>
      <c r="M13" s="61">
        <v>19.399999999999999</v>
      </c>
      <c r="N13" s="61">
        <v>6.88</v>
      </c>
      <c r="O13" s="61">
        <v>5.5</v>
      </c>
      <c r="P13" s="62">
        <f t="shared" si="3"/>
        <v>6512.52</v>
      </c>
      <c r="Q13" s="63">
        <f t="shared" si="4"/>
        <v>8903.3082599999998</v>
      </c>
      <c r="R13" s="60">
        <f t="shared" si="5"/>
        <v>10265.858679999999</v>
      </c>
      <c r="S13" s="63">
        <f t="shared" si="6"/>
        <v>2914.0563599999996</v>
      </c>
      <c r="T13" s="60">
        <f t="shared" si="0"/>
        <v>37368.487439999997</v>
      </c>
      <c r="U13" s="60">
        <f t="shared" si="7"/>
        <v>2858.6892891599996</v>
      </c>
      <c r="V13" s="60">
        <f t="shared" si="1"/>
        <v>6388.7821200000008</v>
      </c>
      <c r="W13" s="60">
        <f t="shared" si="2"/>
        <v>10070.80736508</v>
      </c>
      <c r="X13" s="60">
        <f>V13+W13</f>
        <v>16459.58948508</v>
      </c>
      <c r="Z13" s="63">
        <f t="shared" si="9"/>
        <v>16778.378680000002</v>
      </c>
      <c r="AA13" s="63">
        <f t="shared" si="10"/>
        <v>318.78919492000205</v>
      </c>
    </row>
    <row r="14" spans="1:27" x14ac:dyDescent="0.25">
      <c r="A14" s="1" t="s">
        <v>114</v>
      </c>
      <c r="B14" s="1">
        <v>11</v>
      </c>
      <c r="C14" s="1">
        <v>100</v>
      </c>
      <c r="D14" s="1">
        <v>100</v>
      </c>
      <c r="E14" s="2" t="s">
        <v>104</v>
      </c>
      <c r="F14" s="59"/>
      <c r="G14" t="s">
        <v>109</v>
      </c>
      <c r="H14" s="60">
        <v>35116.339999999997</v>
      </c>
      <c r="I14" s="60">
        <v>36914.28</v>
      </c>
      <c r="J14" s="61" t="s">
        <v>120</v>
      </c>
      <c r="K14" s="55">
        <v>811.03</v>
      </c>
      <c r="L14" s="61">
        <v>919.67</v>
      </c>
      <c r="M14" s="61">
        <v>39.6</v>
      </c>
      <c r="N14" s="61">
        <v>13.75</v>
      </c>
      <c r="O14" s="61">
        <v>5.5</v>
      </c>
      <c r="P14" s="62">
        <f t="shared" si="3"/>
        <v>11742.24</v>
      </c>
      <c r="Q14" s="63">
        <f t="shared" si="4"/>
        <v>8638.619639999999</v>
      </c>
      <c r="R14" s="60">
        <f t="shared" si="5"/>
        <v>9948.3984600000003</v>
      </c>
      <c r="S14" s="63">
        <f t="shared" si="6"/>
        <v>2823.9424199999999</v>
      </c>
      <c r="T14" s="60">
        <f t="shared" si="0"/>
        <v>36914.28</v>
      </c>
      <c r="U14" s="60">
        <f t="shared" si="7"/>
        <v>2823.9424199999999</v>
      </c>
      <c r="V14" s="60">
        <f t="shared" si="1"/>
        <v>11742.24</v>
      </c>
      <c r="W14" s="60">
        <f t="shared" si="2"/>
        <v>9948.3984600000003</v>
      </c>
      <c r="X14" s="60">
        <f t="shared" si="8"/>
        <v>21690.638460000002</v>
      </c>
      <c r="Z14" s="63">
        <f t="shared" si="9"/>
        <v>21690.638460000002</v>
      </c>
      <c r="AA14" s="63">
        <f t="shared" si="10"/>
        <v>0</v>
      </c>
    </row>
    <row r="15" spans="1:27" x14ac:dyDescent="0.25">
      <c r="A15" s="1" t="s">
        <v>114</v>
      </c>
      <c r="B15" s="1">
        <v>4</v>
      </c>
      <c r="C15" s="1">
        <v>100</v>
      </c>
      <c r="D15" s="1">
        <v>100</v>
      </c>
      <c r="E15" s="2" t="s">
        <v>104</v>
      </c>
      <c r="F15" s="59"/>
      <c r="G15" t="s">
        <v>121</v>
      </c>
      <c r="H15" s="60">
        <v>45201.31</v>
      </c>
      <c r="I15" s="60">
        <v>49302</v>
      </c>
      <c r="J15" s="61" t="s">
        <v>120</v>
      </c>
      <c r="K15" s="55">
        <v>450.57</v>
      </c>
      <c r="L15" s="61">
        <v>919.67</v>
      </c>
      <c r="M15" s="61">
        <v>39.6</v>
      </c>
      <c r="N15" s="61">
        <v>13.75</v>
      </c>
      <c r="O15" s="61">
        <v>5.5</v>
      </c>
      <c r="P15" s="62">
        <f t="shared" si="3"/>
        <v>11742.24</v>
      </c>
      <c r="Q15" s="63">
        <f t="shared" si="4"/>
        <v>11119.52226</v>
      </c>
      <c r="R15" s="60">
        <f t="shared" si="5"/>
        <v>13286.889000000001</v>
      </c>
      <c r="S15" s="63">
        <f t="shared" si="6"/>
        <v>3771.6030000000001</v>
      </c>
      <c r="T15" s="60">
        <f t="shared" si="0"/>
        <v>49302</v>
      </c>
      <c r="U15" s="60">
        <f t="shared" si="7"/>
        <v>3771.6030000000001</v>
      </c>
      <c r="V15" s="60">
        <f t="shared" si="1"/>
        <v>11742.24</v>
      </c>
      <c r="W15" s="60">
        <f t="shared" si="2"/>
        <v>13286.889000000001</v>
      </c>
      <c r="X15" s="60">
        <f t="shared" si="8"/>
        <v>25029.129000000001</v>
      </c>
      <c r="Z15" s="63">
        <f t="shared" si="9"/>
        <v>25029.129000000001</v>
      </c>
      <c r="AA15" s="63">
        <f t="shared" si="10"/>
        <v>0</v>
      </c>
    </row>
    <row r="16" spans="1:27" s="75" customFormat="1" x14ac:dyDescent="0.25">
      <c r="A16" s="67" t="s">
        <v>116</v>
      </c>
      <c r="B16" s="67">
        <v>28</v>
      </c>
      <c r="C16" s="67">
        <v>0</v>
      </c>
      <c r="D16" s="67">
        <v>0</v>
      </c>
      <c r="E16" s="68" t="s">
        <v>104</v>
      </c>
      <c r="F16" s="59"/>
      <c r="G16" s="69" t="s">
        <v>122</v>
      </c>
      <c r="H16" s="70">
        <v>30946.560000000001</v>
      </c>
      <c r="I16" s="70">
        <v>32798.9</v>
      </c>
      <c r="J16" s="71" t="s">
        <v>111</v>
      </c>
      <c r="K16" s="72">
        <v>450.57</v>
      </c>
      <c r="L16" s="71">
        <v>510.93</v>
      </c>
      <c r="M16" s="71">
        <v>19.399999999999999</v>
      </c>
      <c r="N16" s="71">
        <v>6.88</v>
      </c>
      <c r="O16" s="71">
        <v>5.5</v>
      </c>
      <c r="P16" s="73">
        <f t="shared" si="3"/>
        <v>6512.52</v>
      </c>
      <c r="Q16" s="74">
        <f t="shared" si="4"/>
        <v>7612.85376</v>
      </c>
      <c r="R16" s="70">
        <f t="shared" si="5"/>
        <v>8839.3035500000005</v>
      </c>
      <c r="S16" s="74">
        <f t="shared" si="6"/>
        <v>2509.1158500000001</v>
      </c>
      <c r="T16" s="70">
        <f t="shared" si="0"/>
        <v>0</v>
      </c>
      <c r="U16" s="70">
        <f t="shared" si="7"/>
        <v>0</v>
      </c>
      <c r="V16" s="60">
        <f t="shared" si="1"/>
        <v>0</v>
      </c>
      <c r="W16" s="70">
        <f t="shared" si="2"/>
        <v>0</v>
      </c>
      <c r="X16" s="60">
        <f t="shared" si="8"/>
        <v>0</v>
      </c>
      <c r="Z16" s="63">
        <f t="shared" si="9"/>
        <v>15351.823550000001</v>
      </c>
      <c r="AA16" s="63">
        <f t="shared" si="10"/>
        <v>15351.823550000001</v>
      </c>
    </row>
    <row r="17" spans="1:27" x14ac:dyDescent="0.25">
      <c r="A17" s="1" t="s">
        <v>114</v>
      </c>
      <c r="B17" s="1">
        <v>32</v>
      </c>
      <c r="C17" s="1">
        <v>100</v>
      </c>
      <c r="D17" s="1">
        <v>100</v>
      </c>
      <c r="E17" s="2" t="s">
        <v>104</v>
      </c>
      <c r="F17" s="59"/>
      <c r="G17" t="s">
        <v>109</v>
      </c>
      <c r="H17" s="60">
        <v>24224.16</v>
      </c>
      <c r="I17" s="60">
        <v>37827.65</v>
      </c>
      <c r="J17" s="61" t="s">
        <v>111</v>
      </c>
      <c r="K17" s="55">
        <v>450.57</v>
      </c>
      <c r="L17" s="61">
        <v>510.93</v>
      </c>
      <c r="M17" s="61">
        <v>19.399999999999999</v>
      </c>
      <c r="N17" s="61">
        <v>6.88</v>
      </c>
      <c r="O17" s="61">
        <v>5.5</v>
      </c>
      <c r="P17" s="62">
        <f t="shared" si="3"/>
        <v>6512.52</v>
      </c>
      <c r="Q17" s="63">
        <f t="shared" si="4"/>
        <v>5959.14336</v>
      </c>
      <c r="R17" s="60">
        <f t="shared" si="5"/>
        <v>10194.551675000001</v>
      </c>
      <c r="S17" s="63">
        <f t="shared" si="6"/>
        <v>2893.8152250000003</v>
      </c>
      <c r="T17" s="60">
        <f t="shared" si="0"/>
        <v>37827.65</v>
      </c>
      <c r="U17" s="60">
        <f t="shared" si="7"/>
        <v>2893.8152250000003</v>
      </c>
      <c r="V17" s="60">
        <f t="shared" si="1"/>
        <v>6512.52</v>
      </c>
      <c r="W17" s="60">
        <f t="shared" si="2"/>
        <v>10194.551675000001</v>
      </c>
      <c r="X17" s="60">
        <f t="shared" si="8"/>
        <v>16707.071674999999</v>
      </c>
      <c r="Z17" s="63">
        <f t="shared" si="9"/>
        <v>16707.071674999999</v>
      </c>
      <c r="AA17" s="63">
        <f t="shared" si="10"/>
        <v>0</v>
      </c>
    </row>
    <row r="18" spans="1:27" x14ac:dyDescent="0.25">
      <c r="A18" s="1" t="s">
        <v>114</v>
      </c>
      <c r="B18" s="1">
        <v>2</v>
      </c>
      <c r="C18" s="1">
        <v>100</v>
      </c>
      <c r="D18" s="1">
        <v>100</v>
      </c>
      <c r="E18" s="2" t="s">
        <v>104</v>
      </c>
      <c r="F18" s="59"/>
      <c r="G18" t="s">
        <v>109</v>
      </c>
      <c r="H18" s="60">
        <v>30580.74</v>
      </c>
      <c r="I18" s="60">
        <v>37338.58</v>
      </c>
      <c r="J18" s="61" t="s">
        <v>106</v>
      </c>
      <c r="K18" s="55">
        <v>1306.6500000000001</v>
      </c>
      <c r="L18" s="61">
        <v>1481.7</v>
      </c>
      <c r="M18" s="61">
        <v>79.349999999999994</v>
      </c>
      <c r="N18" s="61">
        <v>20.22</v>
      </c>
      <c r="O18" s="61">
        <v>5.5</v>
      </c>
      <c r="P18" s="62">
        <f t="shared" si="3"/>
        <v>19041.239999999998</v>
      </c>
      <c r="Q18" s="63">
        <f t="shared" si="4"/>
        <v>7522.86204</v>
      </c>
      <c r="R18" s="60">
        <f t="shared" si="5"/>
        <v>10062.747310000001</v>
      </c>
      <c r="S18" s="63">
        <f t="shared" si="6"/>
        <v>2856.40137</v>
      </c>
      <c r="T18" s="60">
        <f t="shared" si="0"/>
        <v>37338.58</v>
      </c>
      <c r="U18" s="60">
        <f t="shared" si="7"/>
        <v>2856.40137</v>
      </c>
      <c r="V18" s="60">
        <f t="shared" si="1"/>
        <v>19041.239999999998</v>
      </c>
      <c r="W18" s="60">
        <f t="shared" si="2"/>
        <v>10062.747310000001</v>
      </c>
      <c r="X18" s="60">
        <f t="shared" si="8"/>
        <v>29103.987309999997</v>
      </c>
      <c r="Z18" s="63">
        <f t="shared" si="9"/>
        <v>29103.987309999997</v>
      </c>
      <c r="AA18" s="63">
        <f t="shared" si="10"/>
        <v>0</v>
      </c>
    </row>
    <row r="19" spans="1:27" x14ac:dyDescent="0.25">
      <c r="A19" s="1" t="s">
        <v>114</v>
      </c>
      <c r="B19" s="64">
        <v>15</v>
      </c>
      <c r="C19" s="1">
        <v>100</v>
      </c>
      <c r="D19" s="1">
        <v>100</v>
      </c>
      <c r="E19" s="2" t="s">
        <v>104</v>
      </c>
      <c r="F19" s="59"/>
      <c r="G19" t="s">
        <v>109</v>
      </c>
      <c r="H19" s="60">
        <v>32758.98</v>
      </c>
      <c r="I19" s="60">
        <v>34651.550000000003</v>
      </c>
      <c r="J19" s="61" t="s">
        <v>111</v>
      </c>
      <c r="K19" s="55">
        <v>450.57</v>
      </c>
      <c r="L19" s="61">
        <v>510.93</v>
      </c>
      <c r="M19" s="61">
        <v>19.399999999999999</v>
      </c>
      <c r="N19" s="61">
        <v>6.88</v>
      </c>
      <c r="O19" s="61">
        <v>5.5</v>
      </c>
      <c r="P19" s="62">
        <f t="shared" si="3"/>
        <v>6512.52</v>
      </c>
      <c r="Q19" s="63">
        <f t="shared" si="4"/>
        <v>8058.7090799999996</v>
      </c>
      <c r="R19" s="60">
        <f t="shared" si="5"/>
        <v>9338.5927250000022</v>
      </c>
      <c r="S19" s="63">
        <f t="shared" si="6"/>
        <v>2650.8435750000003</v>
      </c>
      <c r="T19" s="60">
        <f t="shared" si="0"/>
        <v>34651.550000000003</v>
      </c>
      <c r="U19" s="60">
        <f t="shared" si="7"/>
        <v>2650.8435750000003</v>
      </c>
      <c r="V19" s="60">
        <f t="shared" si="1"/>
        <v>6512.52</v>
      </c>
      <c r="W19" s="60">
        <f t="shared" si="2"/>
        <v>9338.5927250000022</v>
      </c>
      <c r="X19" s="60">
        <f t="shared" si="8"/>
        <v>15851.112725000003</v>
      </c>
      <c r="Z19" s="63">
        <f t="shared" si="9"/>
        <v>15851.112725000003</v>
      </c>
      <c r="AA19" s="63">
        <f t="shared" si="10"/>
        <v>0</v>
      </c>
    </row>
    <row r="20" spans="1:27" x14ac:dyDescent="0.25">
      <c r="A20" s="1" t="s">
        <v>114</v>
      </c>
      <c r="B20" s="1">
        <v>10</v>
      </c>
      <c r="C20" s="1">
        <v>100</v>
      </c>
      <c r="D20" s="1">
        <v>100</v>
      </c>
      <c r="E20" s="2" t="s">
        <v>104</v>
      </c>
      <c r="F20" s="59"/>
      <c r="G20" t="s">
        <v>123</v>
      </c>
      <c r="H20" s="60">
        <v>50817.02</v>
      </c>
      <c r="I20" s="60">
        <v>52661.91</v>
      </c>
      <c r="J20" s="61" t="s">
        <v>106</v>
      </c>
      <c r="K20" s="55">
        <v>1306.6500000000001</v>
      </c>
      <c r="L20" s="61">
        <v>1481.7</v>
      </c>
      <c r="M20" s="61">
        <v>79.349999999999994</v>
      </c>
      <c r="N20" s="61">
        <v>20.22</v>
      </c>
      <c r="O20" s="61">
        <v>5.5</v>
      </c>
      <c r="P20" s="62">
        <f t="shared" si="3"/>
        <v>19041.239999999998</v>
      </c>
      <c r="Q20" s="63">
        <f t="shared" si="4"/>
        <v>12500.986919999999</v>
      </c>
      <c r="R20" s="60">
        <f t="shared" si="5"/>
        <v>14192.384745000001</v>
      </c>
      <c r="S20" s="63">
        <f t="shared" si="6"/>
        <v>4028.6361150000002</v>
      </c>
      <c r="T20" s="60">
        <f t="shared" si="0"/>
        <v>52661.91</v>
      </c>
      <c r="U20" s="60">
        <f t="shared" si="7"/>
        <v>4028.6361150000002</v>
      </c>
      <c r="V20" s="60">
        <f t="shared" si="1"/>
        <v>19041.239999999998</v>
      </c>
      <c r="W20" s="60">
        <f t="shared" si="2"/>
        <v>14192.384745000001</v>
      </c>
      <c r="X20" s="60">
        <f t="shared" si="8"/>
        <v>33233.624745000001</v>
      </c>
      <c r="Z20" s="63">
        <f t="shared" si="9"/>
        <v>33233.624745000001</v>
      </c>
      <c r="AA20" s="63">
        <f t="shared" si="10"/>
        <v>0</v>
      </c>
    </row>
    <row r="21" spans="1:27" s="75" customFormat="1" x14ac:dyDescent="0.25">
      <c r="A21" s="67" t="s">
        <v>116</v>
      </c>
      <c r="B21" s="67">
        <v>31</v>
      </c>
      <c r="C21" s="67">
        <v>50</v>
      </c>
      <c r="D21" s="67">
        <v>50</v>
      </c>
      <c r="E21" s="68" t="s">
        <v>104</v>
      </c>
      <c r="F21" s="59"/>
      <c r="G21" s="69" t="s">
        <v>124</v>
      </c>
      <c r="H21" s="70">
        <v>51575.45</v>
      </c>
      <c r="I21" s="70">
        <v>55692.78</v>
      </c>
      <c r="J21" s="71" t="s">
        <v>120</v>
      </c>
      <c r="K21" s="72">
        <v>811.03</v>
      </c>
      <c r="L21" s="71">
        <v>919.67</v>
      </c>
      <c r="M21" s="71">
        <v>39.6</v>
      </c>
      <c r="N21" s="71">
        <v>13.75</v>
      </c>
      <c r="O21" s="71">
        <v>5.5</v>
      </c>
      <c r="P21" s="73">
        <f t="shared" si="3"/>
        <v>11742.24</v>
      </c>
      <c r="Q21" s="74">
        <f t="shared" si="4"/>
        <v>12687.5607</v>
      </c>
      <c r="R21" s="70">
        <f t="shared" si="5"/>
        <v>15009.20421</v>
      </c>
      <c r="S21" s="74">
        <f t="shared" si="6"/>
        <v>4260.4976699999997</v>
      </c>
      <c r="T21" s="70">
        <f t="shared" si="0"/>
        <v>27846.39</v>
      </c>
      <c r="U21" s="70">
        <f t="shared" si="7"/>
        <v>2130.2488349999999</v>
      </c>
      <c r="V21" s="60">
        <f t="shared" si="1"/>
        <v>5871.12</v>
      </c>
      <c r="W21" s="70">
        <f t="shared" si="2"/>
        <v>7504.6021049999999</v>
      </c>
      <c r="X21" s="60">
        <f t="shared" si="8"/>
        <v>13375.722105000001</v>
      </c>
      <c r="Z21" s="63">
        <f t="shared" si="9"/>
        <v>26751.444210000001</v>
      </c>
      <c r="AA21" s="63">
        <f t="shared" si="10"/>
        <v>13375.722105000001</v>
      </c>
    </row>
    <row r="22" spans="1:27" s="75" customFormat="1" x14ac:dyDescent="0.25">
      <c r="A22" s="67" t="s">
        <v>116</v>
      </c>
      <c r="B22" s="67">
        <v>33</v>
      </c>
      <c r="C22" s="67">
        <v>0</v>
      </c>
      <c r="D22" s="67">
        <v>0</v>
      </c>
      <c r="E22" s="68" t="s">
        <v>104</v>
      </c>
      <c r="F22" s="59"/>
      <c r="G22" s="69" t="s">
        <v>122</v>
      </c>
      <c r="H22" s="70">
        <v>28347.9</v>
      </c>
      <c r="I22" s="70">
        <v>43393.13</v>
      </c>
      <c r="J22" s="71" t="s">
        <v>108</v>
      </c>
      <c r="K22" s="72">
        <v>946.2</v>
      </c>
      <c r="L22" s="71">
        <v>1072.95</v>
      </c>
      <c r="M22" s="71">
        <v>40.81</v>
      </c>
      <c r="N22" s="71">
        <v>13.07</v>
      </c>
      <c r="O22" s="71">
        <v>5.5</v>
      </c>
      <c r="P22" s="73">
        <f t="shared" si="3"/>
        <v>13587.96</v>
      </c>
      <c r="Q22" s="74">
        <f t="shared" si="4"/>
        <v>6973.5834000000004</v>
      </c>
      <c r="R22" s="70">
        <f t="shared" si="5"/>
        <v>11694.448535</v>
      </c>
      <c r="S22" s="74">
        <f t="shared" si="6"/>
        <v>3319.5744449999997</v>
      </c>
      <c r="T22" s="70">
        <f t="shared" si="0"/>
        <v>0</v>
      </c>
      <c r="U22" s="70">
        <f t="shared" si="7"/>
        <v>0</v>
      </c>
      <c r="V22" s="60">
        <f t="shared" si="1"/>
        <v>0</v>
      </c>
      <c r="W22" s="70">
        <f t="shared" si="2"/>
        <v>0</v>
      </c>
      <c r="X22" s="60">
        <f t="shared" si="8"/>
        <v>0</v>
      </c>
      <c r="Z22" s="63">
        <f t="shared" si="9"/>
        <v>25282.408534999999</v>
      </c>
      <c r="AA22" s="63">
        <f t="shared" si="10"/>
        <v>25282.408534999999</v>
      </c>
    </row>
    <row r="23" spans="1:27" x14ac:dyDescent="0.25">
      <c r="A23" s="1" t="s">
        <v>114</v>
      </c>
      <c r="B23" s="1">
        <v>24</v>
      </c>
      <c r="C23" s="1">
        <v>100</v>
      </c>
      <c r="D23" s="1">
        <v>100</v>
      </c>
      <c r="E23" s="2" t="s">
        <v>104</v>
      </c>
      <c r="F23" s="59"/>
      <c r="G23" t="s">
        <v>109</v>
      </c>
      <c r="H23" s="60">
        <v>22646.63</v>
      </c>
      <c r="I23" s="65">
        <v>37435.800000000003</v>
      </c>
      <c r="J23" s="61" t="s">
        <v>111</v>
      </c>
      <c r="K23" s="55">
        <v>450.57</v>
      </c>
      <c r="L23" s="61">
        <v>510.93</v>
      </c>
      <c r="M23" s="61">
        <v>19.399999999999999</v>
      </c>
      <c r="N23" s="61">
        <v>6.88</v>
      </c>
      <c r="O23" s="61">
        <v>5.5</v>
      </c>
      <c r="P23" s="62">
        <f t="shared" si="3"/>
        <v>6512.52</v>
      </c>
      <c r="Q23" s="63">
        <f t="shared" si="4"/>
        <v>5571.0709800000004</v>
      </c>
      <c r="R23" s="60">
        <f t="shared" si="5"/>
        <v>10088.948100000001</v>
      </c>
      <c r="S23" s="63">
        <f t="shared" si="6"/>
        <v>2863.8387000000002</v>
      </c>
      <c r="T23" s="60">
        <f t="shared" si="0"/>
        <v>37435.800000000003</v>
      </c>
      <c r="U23" s="60">
        <f t="shared" si="7"/>
        <v>2863.8387000000002</v>
      </c>
      <c r="V23" s="60">
        <f t="shared" si="1"/>
        <v>6512.52</v>
      </c>
      <c r="W23" s="60">
        <f t="shared" si="2"/>
        <v>10088.948100000001</v>
      </c>
      <c r="X23" s="60">
        <f t="shared" si="8"/>
        <v>16601.468100000002</v>
      </c>
      <c r="Z23" s="63">
        <f t="shared" si="9"/>
        <v>16601.468100000002</v>
      </c>
      <c r="AA23" s="63">
        <f t="shared" si="10"/>
        <v>0</v>
      </c>
    </row>
    <row r="24" spans="1:27" x14ac:dyDescent="0.25">
      <c r="A24" s="1" t="s">
        <v>114</v>
      </c>
      <c r="B24" s="1">
        <v>1</v>
      </c>
      <c r="C24" s="1">
        <v>100</v>
      </c>
      <c r="D24" s="1">
        <v>100</v>
      </c>
      <c r="E24" s="2" t="s">
        <v>104</v>
      </c>
      <c r="F24" s="59"/>
      <c r="G24" t="s">
        <v>109</v>
      </c>
      <c r="H24" s="60">
        <v>26397.89</v>
      </c>
      <c r="I24" s="60">
        <v>28466</v>
      </c>
      <c r="J24" s="61" t="s">
        <v>108</v>
      </c>
      <c r="K24" s="55">
        <v>946.2</v>
      </c>
      <c r="L24" s="61">
        <v>1072.95</v>
      </c>
      <c r="M24" s="61">
        <v>40.81</v>
      </c>
      <c r="N24" s="61">
        <v>13.07</v>
      </c>
      <c r="O24" s="61">
        <v>5.5</v>
      </c>
      <c r="P24" s="62">
        <f t="shared" si="3"/>
        <v>13587.96</v>
      </c>
      <c r="Q24" s="63">
        <f t="shared" si="4"/>
        <v>6493.88094</v>
      </c>
      <c r="R24" s="60">
        <f t="shared" si="5"/>
        <v>7671.5870000000004</v>
      </c>
      <c r="S24" s="63">
        <f t="shared" si="6"/>
        <v>2177.6489999999999</v>
      </c>
      <c r="T24" s="60">
        <f t="shared" si="0"/>
        <v>28466</v>
      </c>
      <c r="U24" s="60">
        <f t="shared" si="7"/>
        <v>2177.6489999999999</v>
      </c>
      <c r="V24" s="60">
        <f t="shared" si="1"/>
        <v>13587.96</v>
      </c>
      <c r="W24" s="60">
        <f t="shared" si="2"/>
        <v>7671.5870000000004</v>
      </c>
      <c r="X24" s="60">
        <f t="shared" si="8"/>
        <v>21259.546999999999</v>
      </c>
      <c r="Z24" s="63">
        <f t="shared" si="9"/>
        <v>21259.546999999999</v>
      </c>
      <c r="AA24" s="63">
        <f t="shared" si="10"/>
        <v>0</v>
      </c>
    </row>
    <row r="25" spans="1:27" x14ac:dyDescent="0.25">
      <c r="A25" s="1" t="s">
        <v>114</v>
      </c>
      <c r="B25" s="1">
        <v>13</v>
      </c>
      <c r="C25" s="1">
        <v>100</v>
      </c>
      <c r="D25" s="1">
        <v>100</v>
      </c>
      <c r="E25" s="2" t="s">
        <v>104</v>
      </c>
      <c r="F25" s="59"/>
      <c r="G25" t="s">
        <v>119</v>
      </c>
      <c r="H25" s="60">
        <v>26443.68</v>
      </c>
      <c r="I25" s="60">
        <v>29082.55</v>
      </c>
      <c r="J25" s="61" t="s">
        <v>111</v>
      </c>
      <c r="K25" s="55">
        <v>450.57</v>
      </c>
      <c r="L25" s="61">
        <v>510.93</v>
      </c>
      <c r="M25" s="61">
        <v>19.399999999999999</v>
      </c>
      <c r="N25" s="61">
        <v>6.88</v>
      </c>
      <c r="O25" s="61">
        <v>5.5</v>
      </c>
      <c r="P25" s="62">
        <f t="shared" si="3"/>
        <v>6512.52</v>
      </c>
      <c r="Q25" s="63">
        <f t="shared" si="4"/>
        <v>6505.1452799999997</v>
      </c>
      <c r="R25" s="60">
        <f t="shared" si="5"/>
        <v>7837.7472250000001</v>
      </c>
      <c r="S25" s="63">
        <f t="shared" si="6"/>
        <v>2224.815075</v>
      </c>
      <c r="T25" s="60">
        <f t="shared" si="0"/>
        <v>29082.55</v>
      </c>
      <c r="U25" s="60">
        <f t="shared" si="7"/>
        <v>2224.815075</v>
      </c>
      <c r="V25" s="60">
        <f t="shared" si="1"/>
        <v>6512.52</v>
      </c>
      <c r="W25" s="60">
        <f t="shared" si="2"/>
        <v>7837.7472250000001</v>
      </c>
      <c r="X25" s="60">
        <f t="shared" si="8"/>
        <v>14350.267225</v>
      </c>
      <c r="Z25" s="63">
        <f t="shared" si="9"/>
        <v>14350.267225</v>
      </c>
      <c r="AA25" s="63">
        <f t="shared" si="10"/>
        <v>0</v>
      </c>
    </row>
    <row r="26" spans="1:27" x14ac:dyDescent="0.25">
      <c r="A26" s="1" t="s">
        <v>114</v>
      </c>
      <c r="B26" s="1">
        <v>7</v>
      </c>
      <c r="C26" s="1">
        <v>100</v>
      </c>
      <c r="D26" s="1">
        <v>98.2</v>
      </c>
      <c r="E26" s="2" t="s">
        <v>104</v>
      </c>
      <c r="F26" s="59"/>
      <c r="G26" t="s">
        <v>109</v>
      </c>
      <c r="H26" s="60">
        <v>18346.46</v>
      </c>
      <c r="I26" s="65">
        <v>29837</v>
      </c>
      <c r="J26" s="61" t="s">
        <v>111</v>
      </c>
      <c r="K26" s="55">
        <v>450.57</v>
      </c>
      <c r="L26" s="61">
        <v>510.93</v>
      </c>
      <c r="M26" s="61">
        <v>19.399999999999999</v>
      </c>
      <c r="N26" s="61">
        <v>6.88</v>
      </c>
      <c r="O26" s="61">
        <v>5.5</v>
      </c>
      <c r="P26" s="62">
        <f t="shared" si="3"/>
        <v>6512.52</v>
      </c>
      <c r="Q26" s="63">
        <f t="shared" si="4"/>
        <v>4513.2291599999999</v>
      </c>
      <c r="R26" s="60">
        <f t="shared" si="5"/>
        <v>8041.0715000000009</v>
      </c>
      <c r="S26" s="63">
        <f t="shared" si="6"/>
        <v>2282.5304999999998</v>
      </c>
      <c r="T26" s="60">
        <f t="shared" si="0"/>
        <v>29299.934000000001</v>
      </c>
      <c r="U26" s="60">
        <f t="shared" si="7"/>
        <v>2241.4449509999999</v>
      </c>
      <c r="V26" s="60">
        <f t="shared" si="1"/>
        <v>6395.2946400000001</v>
      </c>
      <c r="W26" s="60">
        <f t="shared" si="2"/>
        <v>7896.3322130000006</v>
      </c>
      <c r="X26" s="60">
        <f t="shared" si="8"/>
        <v>14291.626853000002</v>
      </c>
      <c r="Z26" s="63">
        <f t="shared" si="9"/>
        <v>14553.591500000002</v>
      </c>
      <c r="AA26" s="63">
        <f t="shared" si="10"/>
        <v>261.9646470000007</v>
      </c>
    </row>
    <row r="27" spans="1:27" x14ac:dyDescent="0.25">
      <c r="A27" s="1" t="s">
        <v>103</v>
      </c>
      <c r="B27" s="64">
        <v>8</v>
      </c>
      <c r="C27" s="1">
        <v>100</v>
      </c>
      <c r="D27" s="1">
        <v>84.55</v>
      </c>
      <c r="E27" s="2" t="s">
        <v>125</v>
      </c>
      <c r="F27" s="59"/>
      <c r="G27" t="s">
        <v>112</v>
      </c>
      <c r="H27" s="60">
        <v>17875.21</v>
      </c>
      <c r="I27" s="60">
        <v>20659.7</v>
      </c>
      <c r="J27" s="61" t="s">
        <v>113</v>
      </c>
      <c r="K27" s="55">
        <v>0</v>
      </c>
      <c r="L27" s="61">
        <v>0</v>
      </c>
      <c r="M27" s="61">
        <v>0</v>
      </c>
      <c r="N27" s="61">
        <v>0</v>
      </c>
      <c r="O27" s="61">
        <v>0</v>
      </c>
      <c r="P27" s="62">
        <f t="shared" si="3"/>
        <v>0</v>
      </c>
      <c r="Q27" s="61">
        <v>0</v>
      </c>
      <c r="R27" s="61">
        <v>0</v>
      </c>
      <c r="S27" s="63">
        <f t="shared" si="6"/>
        <v>1580.46705</v>
      </c>
      <c r="T27" s="60">
        <f t="shared" si="0"/>
        <v>17467.77635</v>
      </c>
      <c r="U27" s="60">
        <f t="shared" si="7"/>
        <v>1336.2848907749999</v>
      </c>
      <c r="V27" s="60">
        <f t="shared" si="1"/>
        <v>0</v>
      </c>
      <c r="W27" s="60">
        <f t="shared" si="2"/>
        <v>0</v>
      </c>
      <c r="X27" s="60">
        <f t="shared" si="8"/>
        <v>0</v>
      </c>
      <c r="Z27" s="63">
        <f t="shared" si="9"/>
        <v>0</v>
      </c>
      <c r="AA27" s="63">
        <f t="shared" si="10"/>
        <v>0</v>
      </c>
    </row>
    <row r="28" spans="1:27" x14ac:dyDescent="0.25">
      <c r="A28" s="1" t="s">
        <v>103</v>
      </c>
      <c r="B28" s="1">
        <v>9</v>
      </c>
      <c r="C28" s="1">
        <v>100</v>
      </c>
      <c r="D28" s="1">
        <v>84.55</v>
      </c>
      <c r="E28" s="2" t="s">
        <v>125</v>
      </c>
      <c r="F28" s="59"/>
      <c r="G28" t="s">
        <v>112</v>
      </c>
      <c r="H28" s="60">
        <v>3757.23</v>
      </c>
      <c r="I28" s="60">
        <v>3668.25</v>
      </c>
      <c r="J28" s="61" t="s">
        <v>113</v>
      </c>
      <c r="K28" s="55">
        <v>0</v>
      </c>
      <c r="L28" s="61">
        <v>0</v>
      </c>
      <c r="M28" s="61">
        <v>0</v>
      </c>
      <c r="N28" s="61">
        <v>0</v>
      </c>
      <c r="O28" s="61">
        <v>0</v>
      </c>
      <c r="P28" s="62">
        <f t="shared" si="3"/>
        <v>0</v>
      </c>
      <c r="Q28" s="61">
        <v>0</v>
      </c>
      <c r="R28" s="61">
        <v>0</v>
      </c>
      <c r="S28" s="63">
        <f t="shared" si="6"/>
        <v>280.62112500000001</v>
      </c>
      <c r="T28" s="60">
        <f t="shared" si="0"/>
        <v>3101.5053749999997</v>
      </c>
      <c r="U28" s="60">
        <f t="shared" si="7"/>
        <v>237.26516118749998</v>
      </c>
      <c r="V28" s="60">
        <f t="shared" si="1"/>
        <v>0</v>
      </c>
      <c r="W28" s="60">
        <f t="shared" si="2"/>
        <v>0</v>
      </c>
      <c r="X28" s="60">
        <f t="shared" si="8"/>
        <v>0</v>
      </c>
      <c r="Z28" s="63">
        <f t="shared" si="9"/>
        <v>0</v>
      </c>
      <c r="AA28" s="63">
        <f t="shared" si="10"/>
        <v>0</v>
      </c>
    </row>
    <row r="29" spans="1:27" x14ac:dyDescent="0.25">
      <c r="A29" s="1" t="s">
        <v>114</v>
      </c>
      <c r="B29" s="1">
        <v>16</v>
      </c>
      <c r="C29" s="1">
        <v>100</v>
      </c>
      <c r="D29" s="1">
        <v>100</v>
      </c>
      <c r="E29" s="2" t="s">
        <v>125</v>
      </c>
      <c r="F29" s="59"/>
      <c r="G29" t="s">
        <v>123</v>
      </c>
      <c r="H29" s="60">
        <v>8284.52</v>
      </c>
      <c r="I29" s="60">
        <v>8739.65</v>
      </c>
      <c r="J29" s="61" t="s">
        <v>113</v>
      </c>
      <c r="K29" s="55">
        <v>0</v>
      </c>
      <c r="L29" s="61">
        <v>0</v>
      </c>
      <c r="M29" s="61">
        <v>0</v>
      </c>
      <c r="N29" s="61">
        <v>0</v>
      </c>
      <c r="O29" s="61">
        <v>0</v>
      </c>
      <c r="P29" s="62">
        <f t="shared" si="3"/>
        <v>0</v>
      </c>
      <c r="Q29" s="61">
        <v>0</v>
      </c>
      <c r="R29" s="61">
        <v>0</v>
      </c>
      <c r="S29" s="63">
        <f t="shared" si="6"/>
        <v>668.58322499999997</v>
      </c>
      <c r="T29" s="60">
        <f t="shared" si="0"/>
        <v>8739.65</v>
      </c>
      <c r="U29" s="60">
        <f t="shared" si="7"/>
        <v>668.58322499999997</v>
      </c>
      <c r="V29" s="60">
        <f t="shared" si="1"/>
        <v>0</v>
      </c>
      <c r="W29" s="60">
        <f t="shared" si="2"/>
        <v>0</v>
      </c>
      <c r="X29" s="60">
        <f t="shared" si="8"/>
        <v>0</v>
      </c>
      <c r="Z29" s="63">
        <f t="shared" si="9"/>
        <v>0</v>
      </c>
      <c r="AA29" s="63">
        <f t="shared" si="10"/>
        <v>0</v>
      </c>
    </row>
    <row r="30" spans="1:27" x14ac:dyDescent="0.25">
      <c r="A30" s="1" t="s">
        <v>114</v>
      </c>
      <c r="B30" s="1">
        <v>26</v>
      </c>
      <c r="C30" s="1">
        <v>100</v>
      </c>
      <c r="D30" s="1">
        <v>100</v>
      </c>
      <c r="E30" s="2" t="s">
        <v>125</v>
      </c>
      <c r="F30" s="59"/>
      <c r="G30" t="s">
        <v>109</v>
      </c>
      <c r="H30" s="60">
        <v>10137.86</v>
      </c>
      <c r="I30" s="60">
        <v>10566.88</v>
      </c>
      <c r="J30" s="61" t="s">
        <v>113</v>
      </c>
      <c r="K30" s="55">
        <v>0</v>
      </c>
      <c r="L30" s="61">
        <v>0</v>
      </c>
      <c r="M30" s="61">
        <v>0</v>
      </c>
      <c r="N30" s="61">
        <v>0</v>
      </c>
      <c r="O30" s="61">
        <v>0</v>
      </c>
      <c r="P30" s="62">
        <f t="shared" si="3"/>
        <v>0</v>
      </c>
      <c r="Q30" s="61">
        <v>0</v>
      </c>
      <c r="R30" s="61">
        <v>0</v>
      </c>
      <c r="S30" s="63">
        <f t="shared" si="6"/>
        <v>808.36631999999997</v>
      </c>
      <c r="T30" s="60">
        <f t="shared" si="0"/>
        <v>10566.88</v>
      </c>
      <c r="U30" s="60">
        <f t="shared" si="7"/>
        <v>808.36631999999997</v>
      </c>
      <c r="V30" s="60">
        <f t="shared" si="1"/>
        <v>0</v>
      </c>
      <c r="W30" s="60">
        <f t="shared" si="2"/>
        <v>0</v>
      </c>
      <c r="X30" s="60">
        <f t="shared" si="8"/>
        <v>0</v>
      </c>
      <c r="Z30" s="63">
        <f t="shared" si="9"/>
        <v>0</v>
      </c>
      <c r="AA30" s="63">
        <f t="shared" si="10"/>
        <v>0</v>
      </c>
    </row>
    <row r="31" spans="1:27" x14ac:dyDescent="0.25">
      <c r="A31" s="1" t="s">
        <v>114</v>
      </c>
      <c r="B31" s="1">
        <v>5</v>
      </c>
      <c r="C31" s="1">
        <v>100</v>
      </c>
      <c r="D31" s="1">
        <v>100</v>
      </c>
      <c r="E31" s="2" t="s">
        <v>125</v>
      </c>
      <c r="F31" s="59"/>
      <c r="G31" s="76" t="s">
        <v>109</v>
      </c>
      <c r="H31" s="60">
        <v>400</v>
      </c>
      <c r="I31" s="60">
        <v>25140</v>
      </c>
      <c r="J31" s="61" t="s">
        <v>113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f t="shared" si="3"/>
        <v>0</v>
      </c>
      <c r="Q31" s="61">
        <v>0</v>
      </c>
      <c r="R31" s="61">
        <v>0</v>
      </c>
      <c r="S31" s="63">
        <f t="shared" si="6"/>
        <v>1923.21</v>
      </c>
      <c r="T31" s="60">
        <f t="shared" si="0"/>
        <v>25140</v>
      </c>
      <c r="U31" s="60">
        <f t="shared" si="7"/>
        <v>1923.21</v>
      </c>
      <c r="V31" s="60">
        <f t="shared" si="1"/>
        <v>0</v>
      </c>
      <c r="W31" s="60">
        <f t="shared" si="2"/>
        <v>0</v>
      </c>
      <c r="X31" s="60">
        <f t="shared" si="8"/>
        <v>0</v>
      </c>
      <c r="Z31" s="63">
        <f t="shared" si="9"/>
        <v>0</v>
      </c>
      <c r="AA31" s="63">
        <f t="shared" si="10"/>
        <v>0</v>
      </c>
    </row>
    <row r="32" spans="1:27" x14ac:dyDescent="0.25">
      <c r="H32" s="63">
        <f>SUM(H3:H31)</f>
        <v>1054733.73</v>
      </c>
      <c r="I32" s="63">
        <f>SUM(I3:I31)</f>
        <v>1194070.6099999999</v>
      </c>
      <c r="J32" s="61"/>
      <c r="K32" s="61"/>
      <c r="L32" s="61"/>
      <c r="M32" s="61">
        <f>SUM(M3:M31)</f>
        <v>991.74</v>
      </c>
      <c r="N32" s="61"/>
      <c r="O32" s="61"/>
      <c r="P32" s="77">
        <f>SUM(P3:P31)</f>
        <v>281306.6399999999</v>
      </c>
      <c r="Q32" s="60">
        <f>SUM(Q2:Q31)</f>
        <v>251532.61185999995</v>
      </c>
      <c r="R32" s="63">
        <f>SUM(R3:R31)</f>
        <v>303267.30703500001</v>
      </c>
      <c r="S32" s="63">
        <f>SUM(S3:S31)</f>
        <v>91346.401665000027</v>
      </c>
      <c r="T32" s="60">
        <f t="shared" ref="T32:W32" si="11">SUM(T3:T31)</f>
        <v>919074.18485384225</v>
      </c>
      <c r="U32" s="60">
        <f t="shared" si="11"/>
        <v>70309.175141318919</v>
      </c>
      <c r="V32" s="60">
        <f t="shared" si="11"/>
        <v>217817.71051856887</v>
      </c>
      <c r="W32" s="60">
        <f t="shared" si="11"/>
        <v>230168.73155822293</v>
      </c>
      <c r="X32" s="60">
        <f t="shared" si="8"/>
        <v>447986.44207679178</v>
      </c>
      <c r="Z32" s="63">
        <f t="shared" si="9"/>
        <v>584573.94703499996</v>
      </c>
      <c r="AA32" s="63">
        <f t="shared" si="10"/>
        <v>136587.50495820818</v>
      </c>
    </row>
    <row r="33" spans="4:20" x14ac:dyDescent="0.25">
      <c r="D33" s="1">
        <f>I33</f>
        <v>0</v>
      </c>
      <c r="J33" s="61"/>
      <c r="K33" s="61"/>
      <c r="L33" s="61"/>
      <c r="M33" s="61"/>
      <c r="N33" s="61"/>
      <c r="O33" s="61"/>
    </row>
    <row r="36" spans="4:20" x14ac:dyDescent="0.25">
      <c r="H36" s="54" t="s">
        <v>126</v>
      </c>
      <c r="I36" s="63">
        <f>SUM(I4:I31)</f>
        <v>1077812.3</v>
      </c>
      <c r="S36" s="78" t="s">
        <v>126</v>
      </c>
      <c r="T36" s="63">
        <f>SUM(T4:T31)</f>
        <v>829590.35483500012</v>
      </c>
    </row>
    <row r="38" spans="4:20" x14ac:dyDescent="0.25">
      <c r="H38" t="s">
        <v>127</v>
      </c>
      <c r="I38">
        <f>T32/I32</f>
        <v>0.76969835548824228</v>
      </c>
    </row>
  </sheetData>
  <mergeCells count="22">
    <mergeCell ref="M1:M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L1"/>
    <mergeCell ref="N1:N2"/>
    <mergeCell ref="O1:O2"/>
    <mergeCell ref="P1:P2"/>
    <mergeCell ref="Q1:R1"/>
    <mergeCell ref="S1:S2"/>
    <mergeCell ref="W1:W2"/>
    <mergeCell ref="X1:X2"/>
    <mergeCell ref="T1:T2"/>
    <mergeCell ref="U1:U2"/>
    <mergeCell ref="V1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Of Adjusted Operations</vt:lpstr>
      <vt:lpstr>DebtServiceRequirements</vt:lpstr>
      <vt:lpstr>Wage-Benefits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2022-01-06T16:50:34Z</dcterms:created>
  <dcterms:modified xsi:type="dcterms:W3CDTF">2022-01-06T16:50:48Z</dcterms:modified>
</cp:coreProperties>
</file>