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Y\2021 Sewer Rate Case\Data Requests\"/>
    </mc:Choice>
  </mc:AlternateContent>
  <xr:revisionPtr revIDLastSave="0" documentId="13_ncr:1_{8313CCA6-6AA7-4417-A700-0A1114B145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idential" sheetId="16" r:id="rId1"/>
    <sheet name="Commercial" sheetId="15" r:id="rId2"/>
    <sheet name="Industrial" sheetId="5" r:id="rId3"/>
    <sheet name="OPA" sheetId="14" r:id="rId4"/>
    <sheet name="Ridgewood" sheetId="19" r:id="rId5"/>
    <sheet name="Total" sheetId="17" r:id="rId6"/>
    <sheet name="Increase" sheetId="18" r:id="rId7"/>
  </sheets>
  <definedNames>
    <definedName name="_xlnm.Print_Area" localSheetId="2">Industrial!$A$1:$F$58,Industrial!$A$60:$F$111,Industrial!$H$1:$R$58,Industrial!$H$60:$N$112</definedName>
    <definedName name="_xlnm.Print_Area" localSheetId="3">OPA!$A$1:$K$60,OPA!$A$63:$K$114,OPA!$M$1:$R$60,OPA!$M$62:$R$114,OPA!$T$1:$AA$60,OPA!$T$62:$AA$113</definedName>
    <definedName name="_xlnm.Print_Area" localSheetId="0">Residential!$A$1:$AH$109</definedName>
    <definedName name="_xlnm.Print_Area" localSheetId="5">Total!$A$1:$AC$65,Total!$AM$1:$BK$65</definedName>
    <definedName name="_xlnm.Print_Titles" localSheetId="1">Commercial!$1:$4</definedName>
    <definedName name="_xlnm.Print_Titles" localSheetId="2">Industrial!$1:$4</definedName>
    <definedName name="_xlnm.Print_Titles" localSheetId="3">OPA!$1:$3</definedName>
    <definedName name="_xlnm.Print_Titles" localSheetId="0">Residential!$1:$4</definedName>
    <definedName name="_xlnm.Print_Titles" localSheetId="5">Total!$A:$A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8" l="1"/>
  <c r="J20" i="19"/>
  <c r="D20" i="19" l="1"/>
  <c r="H20" i="19"/>
  <c r="B20" i="19"/>
  <c r="B22" i="19" s="1"/>
  <c r="F20" i="19"/>
  <c r="U105" i="15"/>
  <c r="U104" i="15"/>
  <c r="U86" i="15"/>
  <c r="U85" i="15"/>
  <c r="U67" i="15"/>
  <c r="U66" i="15"/>
  <c r="N107" i="14"/>
  <c r="N87" i="14"/>
  <c r="N67" i="14"/>
  <c r="B29" i="18" l="1"/>
  <c r="B30" i="18"/>
  <c r="B28" i="18"/>
  <c r="B25" i="18"/>
  <c r="B24" i="18"/>
  <c r="B23" i="18"/>
  <c r="B20" i="18"/>
  <c r="B19" i="18"/>
  <c r="B18" i="18"/>
  <c r="B15" i="18"/>
  <c r="B14" i="18"/>
  <c r="B13" i="18"/>
  <c r="AA112" i="17" l="1"/>
  <c r="AA111" i="17"/>
  <c r="AA110" i="17"/>
  <c r="Y111" i="17"/>
  <c r="U111" i="17"/>
  <c r="S112" i="17"/>
  <c r="AA103" i="17"/>
  <c r="AA102" i="17"/>
  <c r="AA101" i="17"/>
  <c r="Y102" i="17"/>
  <c r="U102" i="17"/>
  <c r="S103" i="17"/>
  <c r="AA93" i="17"/>
  <c r="AA92" i="17"/>
  <c r="AA91" i="17"/>
  <c r="Y92" i="17"/>
  <c r="U92" i="17"/>
  <c r="S93" i="17"/>
  <c r="AA83" i="17"/>
  <c r="AA82" i="17"/>
  <c r="AA81" i="17"/>
  <c r="Y82" i="17"/>
  <c r="U82" i="17"/>
  <c r="S83" i="17"/>
  <c r="AA73" i="17"/>
  <c r="AA72" i="17"/>
  <c r="AA71" i="17"/>
  <c r="Y72" i="17"/>
  <c r="U72" i="17"/>
  <c r="S73" i="17"/>
  <c r="B13" i="14"/>
  <c r="BV64" i="17"/>
  <c r="BV63" i="17"/>
  <c r="BV62" i="17"/>
  <c r="BT63" i="17"/>
  <c r="BR63" i="17"/>
  <c r="BP63" i="17"/>
  <c r="BN64" i="17"/>
  <c r="BP34" i="17"/>
  <c r="BI55" i="17" l="1"/>
  <c r="BV55" i="17" s="1"/>
  <c r="BI54" i="17"/>
  <c r="BV54" i="17" s="1"/>
  <c r="BI53" i="17"/>
  <c r="BV53" i="17" s="1"/>
  <c r="BG54" i="17"/>
  <c r="BT54" i="17" s="1"/>
  <c r="BE54" i="17"/>
  <c r="BR54" i="17" s="1"/>
  <c r="BC54" i="17"/>
  <c r="BP54" i="17" s="1"/>
  <c r="BA55" i="17"/>
  <c r="BN55" i="17" s="1"/>
  <c r="BI45" i="17"/>
  <c r="BV45" i="17" s="1"/>
  <c r="BI44" i="17"/>
  <c r="BV44" i="17" s="1"/>
  <c r="BI43" i="17"/>
  <c r="BV43" i="17" s="1"/>
  <c r="BG44" i="17"/>
  <c r="BT44" i="17" s="1"/>
  <c r="BE44" i="17"/>
  <c r="BR44" i="17" s="1"/>
  <c r="BC44" i="17"/>
  <c r="BP44" i="17" s="1"/>
  <c r="BA45" i="17"/>
  <c r="BN45" i="17" s="1"/>
  <c r="BC24" i="17"/>
  <c r="BP24" i="17" s="1"/>
  <c r="BA25" i="17"/>
  <c r="BN25" i="17" s="1"/>
  <c r="BA35" i="17"/>
  <c r="BN35" i="17" s="1"/>
  <c r="BI35" i="17"/>
  <c r="BV35" i="17" s="1"/>
  <c r="BI34" i="17"/>
  <c r="BV34" i="17" s="1"/>
  <c r="BI33" i="17"/>
  <c r="BV33" i="17" s="1"/>
  <c r="BG34" i="17"/>
  <c r="BT34" i="17" s="1"/>
  <c r="BE34" i="17"/>
  <c r="BR34" i="17" s="1"/>
  <c r="BI25" i="17"/>
  <c r="BV25" i="17" s="1"/>
  <c r="BI24" i="17"/>
  <c r="BV24" i="17" s="1"/>
  <c r="BI23" i="17"/>
  <c r="BV23" i="17" s="1"/>
  <c r="BG24" i="17"/>
  <c r="BT24" i="17" s="1"/>
  <c r="BE24" i="17"/>
  <c r="BR24" i="17" s="1"/>
  <c r="AW12" i="17"/>
  <c r="BC63" i="17" l="1"/>
  <c r="BI62" i="17"/>
  <c r="BG63" i="17"/>
  <c r="BI63" i="17"/>
  <c r="BA64" i="17"/>
  <c r="BI64" i="17"/>
  <c r="BE63" i="17"/>
  <c r="AA53" i="17" l="1"/>
  <c r="Y54" i="17"/>
  <c r="AA54" i="17"/>
  <c r="AA55" i="17"/>
  <c r="AA43" i="17"/>
  <c r="Y44" i="17"/>
  <c r="AA44" i="17"/>
  <c r="AA45" i="17"/>
  <c r="AA33" i="17"/>
  <c r="Y34" i="17"/>
  <c r="AA34" i="17"/>
  <c r="AA35" i="17"/>
  <c r="AA23" i="17"/>
  <c r="AA24" i="17"/>
  <c r="AA25" i="17"/>
  <c r="Y24" i="17"/>
  <c r="Y63" i="17" s="1"/>
  <c r="D18" i="19"/>
  <c r="M12" i="17"/>
  <c r="M16" i="17" s="1"/>
  <c r="AE14" i="16"/>
  <c r="AE21" i="16" s="1"/>
  <c r="AC30" i="16" s="1"/>
  <c r="AD13" i="16"/>
  <c r="AH13" i="16" s="1"/>
  <c r="AC14" i="16"/>
  <c r="AC13" i="16"/>
  <c r="AC21" i="16"/>
  <c r="U68" i="14"/>
  <c r="U88" i="14" s="1"/>
  <c r="U67" i="14"/>
  <c r="U87" i="14" s="1"/>
  <c r="U106" i="14" s="1"/>
  <c r="V52" i="14"/>
  <c r="U58" i="14"/>
  <c r="Z21" i="14"/>
  <c r="V33" i="14" s="1"/>
  <c r="Y21" i="14"/>
  <c r="V32" i="14" s="1"/>
  <c r="X21" i="14"/>
  <c r="V31" i="14" s="1"/>
  <c r="W21" i="14"/>
  <c r="V30" i="14" s="1"/>
  <c r="V50" i="14" s="1"/>
  <c r="V21" i="14"/>
  <c r="AU64" i="17" s="1"/>
  <c r="AA16" i="14"/>
  <c r="AA15" i="14"/>
  <c r="AA14" i="14"/>
  <c r="AA13" i="14"/>
  <c r="U21" i="14"/>
  <c r="U30" i="14" s="1"/>
  <c r="AB85" i="15"/>
  <c r="AB104" i="15" s="1"/>
  <c r="AB67" i="15"/>
  <c r="AB86" i="15" s="1"/>
  <c r="AB66" i="15"/>
  <c r="AB13" i="15"/>
  <c r="AB21" i="15" s="1"/>
  <c r="AB29" i="15" s="1"/>
  <c r="AB56" i="15"/>
  <c r="AG21" i="15"/>
  <c r="AC32" i="15" s="1"/>
  <c r="AF21" i="15"/>
  <c r="AC31" i="15" s="1"/>
  <c r="AE21" i="15"/>
  <c r="AC30" i="15" s="1"/>
  <c r="AD21" i="15"/>
  <c r="AC29" i="15" s="1"/>
  <c r="AC21" i="15"/>
  <c r="AU62" i="17" s="1"/>
  <c r="AH16" i="15"/>
  <c r="AH15" i="15"/>
  <c r="AH14" i="15"/>
  <c r="AH13" i="15"/>
  <c r="AF21" i="16"/>
  <c r="AC31" i="16" s="1"/>
  <c r="AG21" i="16"/>
  <c r="AC32" i="16"/>
  <c r="AB13" i="16"/>
  <c r="AB21" i="16" s="1"/>
  <c r="AB29" i="16" s="1"/>
  <c r="AH15" i="16"/>
  <c r="AH16" i="16"/>
  <c r="AB65" i="16"/>
  <c r="AB84" i="16" s="1"/>
  <c r="AB103" i="16" s="1"/>
  <c r="AB64" i="16"/>
  <c r="AB83" i="16" s="1"/>
  <c r="AB56" i="16"/>
  <c r="AD21" i="16"/>
  <c r="AC29" i="16" s="1"/>
  <c r="O70" i="14"/>
  <c r="O90" i="14" s="1"/>
  <c r="O71" i="14"/>
  <c r="O91" i="14" s="1"/>
  <c r="O72" i="14"/>
  <c r="O69" i="14"/>
  <c r="O89" i="14" s="1"/>
  <c r="O55" i="14"/>
  <c r="P16" i="14"/>
  <c r="O16" i="14"/>
  <c r="N16" i="14"/>
  <c r="Q14" i="14"/>
  <c r="Q13" i="14"/>
  <c r="Q16" i="14" s="1"/>
  <c r="V71" i="15"/>
  <c r="V90" i="15" s="1"/>
  <c r="V70" i="15"/>
  <c r="V89" i="15" s="1"/>
  <c r="V69" i="15"/>
  <c r="V88" i="15" s="1"/>
  <c r="V68" i="15"/>
  <c r="V87" i="15" s="1"/>
  <c r="V53" i="15"/>
  <c r="W16" i="15"/>
  <c r="V29" i="15" s="1"/>
  <c r="V16" i="15"/>
  <c r="AQ62" i="17" s="1"/>
  <c r="U16" i="15"/>
  <c r="U29" i="15" s="1"/>
  <c r="X14" i="15"/>
  <c r="X13" i="15"/>
  <c r="X16" i="15" s="1"/>
  <c r="V67" i="16"/>
  <c r="V86" i="16" s="1"/>
  <c r="V105" i="16" s="1"/>
  <c r="V68" i="16"/>
  <c r="V69" i="16"/>
  <c r="V88" i="16" s="1"/>
  <c r="V66" i="16"/>
  <c r="U65" i="16"/>
  <c r="U84" i="16" s="1"/>
  <c r="U103" i="16" s="1"/>
  <c r="U64" i="16"/>
  <c r="U83" i="16" s="1"/>
  <c r="U102" i="16" s="1"/>
  <c r="I82" i="17" s="1"/>
  <c r="J107" i="16"/>
  <c r="K16" i="16"/>
  <c r="J16" i="16"/>
  <c r="K13" i="16"/>
  <c r="J13" i="16"/>
  <c r="C67" i="16"/>
  <c r="C86" i="16" s="1"/>
  <c r="C68" i="16"/>
  <c r="C87" i="16" s="1"/>
  <c r="C106" i="16" s="1"/>
  <c r="C69" i="16"/>
  <c r="C88" i="16" s="1"/>
  <c r="C66" i="16"/>
  <c r="B65" i="16"/>
  <c r="B84" i="16" s="1"/>
  <c r="B64" i="16"/>
  <c r="X91" i="16"/>
  <c r="X90" i="16"/>
  <c r="X89" i="16"/>
  <c r="U56" i="16"/>
  <c r="V56" i="16"/>
  <c r="W21" i="16"/>
  <c r="V21" i="16"/>
  <c r="X13" i="16"/>
  <c r="U21" i="16"/>
  <c r="U30" i="16" s="1"/>
  <c r="U37" i="16" s="1"/>
  <c r="I13" i="15"/>
  <c r="B70" i="14"/>
  <c r="I68" i="15"/>
  <c r="I67" i="15"/>
  <c r="I86" i="15" s="1"/>
  <c r="I104" i="15" s="1"/>
  <c r="I13" i="16"/>
  <c r="I65" i="16"/>
  <c r="F18" i="19" l="1"/>
  <c r="D22" i="19"/>
  <c r="U77" i="14"/>
  <c r="U74" i="16"/>
  <c r="AA64" i="17"/>
  <c r="AA63" i="17"/>
  <c r="V69" i="14"/>
  <c r="V51" i="14"/>
  <c r="U97" i="14"/>
  <c r="O30" i="14"/>
  <c r="O33" i="14" s="1"/>
  <c r="AQ64" i="17"/>
  <c r="V71" i="14"/>
  <c r="N30" i="14"/>
  <c r="N33" i="14" s="1"/>
  <c r="V53" i="14"/>
  <c r="U107" i="14"/>
  <c r="AB105" i="15"/>
  <c r="K83" i="17" s="1"/>
  <c r="AB95" i="15"/>
  <c r="AC50" i="16"/>
  <c r="AC51" i="16"/>
  <c r="AU61" i="17"/>
  <c r="V30" i="16"/>
  <c r="AQ61" i="17"/>
  <c r="AA62" i="17"/>
  <c r="AC49" i="16"/>
  <c r="AH14" i="16"/>
  <c r="AH21" i="16" s="1"/>
  <c r="AC48" i="16"/>
  <c r="AC56" i="16" s="1"/>
  <c r="AC37" i="16"/>
  <c r="V58" i="14"/>
  <c r="AA21" i="14"/>
  <c r="U38" i="14"/>
  <c r="V38" i="14"/>
  <c r="AB76" i="15"/>
  <c r="AH21" i="15"/>
  <c r="AC37" i="15"/>
  <c r="AC48" i="15"/>
  <c r="AC68" i="15" s="1"/>
  <c r="AC76" i="15" s="1"/>
  <c r="AC49" i="15"/>
  <c r="AC69" i="15" s="1"/>
  <c r="AC51" i="15"/>
  <c r="AC71" i="15" s="1"/>
  <c r="AB37" i="15"/>
  <c r="AC50" i="15"/>
  <c r="AC70" i="15" s="1"/>
  <c r="AB37" i="16"/>
  <c r="V74" i="16"/>
  <c r="V87" i="16"/>
  <c r="B83" i="16"/>
  <c r="B102" i="16" s="1"/>
  <c r="V107" i="16"/>
  <c r="AB74" i="16"/>
  <c r="V85" i="16"/>
  <c r="V106" i="16"/>
  <c r="AB102" i="16"/>
  <c r="K82" i="17" s="1"/>
  <c r="AB93" i="16"/>
  <c r="N74" i="14"/>
  <c r="O92" i="14"/>
  <c r="O109" i="14"/>
  <c r="N55" i="14"/>
  <c r="O74" i="14"/>
  <c r="V73" i="15"/>
  <c r="V106" i="15"/>
  <c r="V92" i="15"/>
  <c r="V108" i="15"/>
  <c r="V107" i="15"/>
  <c r="V109" i="15"/>
  <c r="B103" i="16"/>
  <c r="C105" i="16"/>
  <c r="C107" i="16"/>
  <c r="X21" i="16"/>
  <c r="I85" i="17" s="1"/>
  <c r="C85" i="16"/>
  <c r="C90" i="16" s="1"/>
  <c r="C71" i="16"/>
  <c r="B71" i="16"/>
  <c r="U93" i="16"/>
  <c r="B89" i="14"/>
  <c r="I87" i="15"/>
  <c r="I84" i="16"/>
  <c r="S55" i="17"/>
  <c r="U54" i="17"/>
  <c r="C71" i="5"/>
  <c r="C90" i="5" s="1"/>
  <c r="C70" i="5"/>
  <c r="C89" i="5" s="1"/>
  <c r="C108" i="5" s="1"/>
  <c r="C69" i="5"/>
  <c r="C88" i="5" s="1"/>
  <c r="C68" i="5"/>
  <c r="C87" i="5" s="1"/>
  <c r="C106" i="5" s="1"/>
  <c r="C53" i="5"/>
  <c r="E16" i="5"/>
  <c r="C30" i="5" s="1"/>
  <c r="D16" i="5"/>
  <c r="C29" i="5" s="1"/>
  <c r="C16" i="5"/>
  <c r="AO63" i="17" s="1"/>
  <c r="B16" i="5"/>
  <c r="F14" i="5"/>
  <c r="F13" i="5"/>
  <c r="C69" i="15"/>
  <c r="C70" i="15"/>
  <c r="C89" i="15" s="1"/>
  <c r="C71" i="15"/>
  <c r="C68" i="15"/>
  <c r="C53" i="15"/>
  <c r="E16" i="15"/>
  <c r="D16" i="15"/>
  <c r="C29" i="15" s="1"/>
  <c r="C16" i="15"/>
  <c r="B16" i="15"/>
  <c r="F14" i="15"/>
  <c r="F13" i="15"/>
  <c r="C53" i="16"/>
  <c r="S45" i="17"/>
  <c r="U44" i="17"/>
  <c r="J21" i="14"/>
  <c r="C37" i="14" s="1"/>
  <c r="I21" i="14"/>
  <c r="C36" i="14" s="1"/>
  <c r="H21" i="14"/>
  <c r="C35" i="14" s="1"/>
  <c r="G21" i="14"/>
  <c r="C34" i="14" s="1"/>
  <c r="F21" i="14"/>
  <c r="C33" i="14" s="1"/>
  <c r="E21" i="14"/>
  <c r="C32" i="14" s="1"/>
  <c r="D21" i="14"/>
  <c r="C31" i="14" s="1"/>
  <c r="C51" i="14" s="1"/>
  <c r="C71" i="14" s="1"/>
  <c r="C90" i="14" s="1"/>
  <c r="C109" i="14" s="1"/>
  <c r="C21" i="14"/>
  <c r="B21" i="14"/>
  <c r="K19" i="14"/>
  <c r="K18" i="14"/>
  <c r="K17" i="14"/>
  <c r="K16" i="14"/>
  <c r="K15" i="14"/>
  <c r="K14" i="14"/>
  <c r="K13" i="14"/>
  <c r="Q21" i="5"/>
  <c r="P21" i="5"/>
  <c r="O21" i="5"/>
  <c r="N21" i="5"/>
  <c r="M21" i="5"/>
  <c r="L21" i="5"/>
  <c r="K21" i="5"/>
  <c r="J21" i="5"/>
  <c r="I21" i="5"/>
  <c r="R19" i="5"/>
  <c r="R18" i="5"/>
  <c r="R17" i="5"/>
  <c r="R16" i="5"/>
  <c r="R15" i="5"/>
  <c r="R14" i="5"/>
  <c r="R13" i="5"/>
  <c r="H18" i="19" l="1"/>
  <c r="F22" i="19"/>
  <c r="AB111" i="15"/>
  <c r="V91" i="14"/>
  <c r="V72" i="14"/>
  <c r="V70" i="14"/>
  <c r="U113" i="14"/>
  <c r="V89" i="14"/>
  <c r="AC89" i="15"/>
  <c r="AC90" i="15"/>
  <c r="AC87" i="15"/>
  <c r="AO62" i="17"/>
  <c r="AC88" i="15"/>
  <c r="AC69" i="16"/>
  <c r="V37" i="16"/>
  <c r="E82" i="17"/>
  <c r="AC68" i="16"/>
  <c r="B31" i="14"/>
  <c r="AS64" i="17"/>
  <c r="AC67" i="16"/>
  <c r="AC66" i="16"/>
  <c r="AC56" i="15"/>
  <c r="B90" i="16"/>
  <c r="V93" i="16"/>
  <c r="V104" i="16"/>
  <c r="AB109" i="16"/>
  <c r="O112" i="14"/>
  <c r="B108" i="14"/>
  <c r="O110" i="14"/>
  <c r="O94" i="14"/>
  <c r="O111" i="14"/>
  <c r="U32" i="15"/>
  <c r="C30" i="15"/>
  <c r="V111" i="15"/>
  <c r="B109" i="16"/>
  <c r="I30" i="5"/>
  <c r="I105" i="15"/>
  <c r="I103" i="16"/>
  <c r="C104" i="16"/>
  <c r="U109" i="16"/>
  <c r="C57" i="14"/>
  <c r="C54" i="14"/>
  <c r="C53" i="14"/>
  <c r="C55" i="14"/>
  <c r="C52" i="14"/>
  <c r="C56" i="14"/>
  <c r="C108" i="15"/>
  <c r="F16" i="15"/>
  <c r="F16" i="5"/>
  <c r="C73" i="5"/>
  <c r="C32" i="5"/>
  <c r="C109" i="5"/>
  <c r="C107" i="5"/>
  <c r="C92" i="5"/>
  <c r="B29" i="5"/>
  <c r="C87" i="15"/>
  <c r="C73" i="15"/>
  <c r="C90" i="15"/>
  <c r="C88" i="15"/>
  <c r="C32" i="15"/>
  <c r="B29" i="15"/>
  <c r="K21" i="14"/>
  <c r="C39" i="14"/>
  <c r="J34" i="5"/>
  <c r="J36" i="5"/>
  <c r="R21" i="5"/>
  <c r="J30" i="5"/>
  <c r="J32" i="5"/>
  <c r="I38" i="5"/>
  <c r="J31" i="5"/>
  <c r="J33" i="5"/>
  <c r="J35" i="5"/>
  <c r="J18" i="19" l="1"/>
  <c r="J22" i="19" s="1"/>
  <c r="H22" i="19"/>
  <c r="V108" i="14"/>
  <c r="V90" i="14"/>
  <c r="V77" i="14"/>
  <c r="V110" i="14"/>
  <c r="V92" i="14"/>
  <c r="AC108" i="15"/>
  <c r="AC109" i="15"/>
  <c r="AC107" i="15"/>
  <c r="AC106" i="15"/>
  <c r="AC95" i="15"/>
  <c r="AC87" i="16"/>
  <c r="AC88" i="16"/>
  <c r="B39" i="14"/>
  <c r="AC86" i="16"/>
  <c r="AC85" i="16"/>
  <c r="AC74" i="16"/>
  <c r="V109" i="16"/>
  <c r="N94" i="14"/>
  <c r="O114" i="14"/>
  <c r="U53" i="15"/>
  <c r="V32" i="15"/>
  <c r="C109" i="16"/>
  <c r="G83" i="17"/>
  <c r="C75" i="14"/>
  <c r="C74" i="14"/>
  <c r="C76" i="14"/>
  <c r="C73" i="14"/>
  <c r="C77" i="14"/>
  <c r="C72" i="14"/>
  <c r="B60" i="14"/>
  <c r="B69" i="14"/>
  <c r="B88" i="14" s="1"/>
  <c r="B107" i="14" s="1"/>
  <c r="C109" i="15"/>
  <c r="C92" i="15"/>
  <c r="C106" i="15"/>
  <c r="C107" i="15"/>
  <c r="B32" i="5"/>
  <c r="B47" i="5" s="1"/>
  <c r="C111" i="5"/>
  <c r="B32" i="15"/>
  <c r="B47" i="15" s="1"/>
  <c r="J96" i="5"/>
  <c r="I58" i="5"/>
  <c r="J58" i="5"/>
  <c r="J38" i="5"/>
  <c r="J77" i="5"/>
  <c r="J112" i="5"/>
  <c r="V109" i="14" l="1"/>
  <c r="V111" i="14"/>
  <c r="V113" i="14"/>
  <c r="V97" i="14"/>
  <c r="AC111" i="15"/>
  <c r="AC107" i="16"/>
  <c r="AC106" i="16"/>
  <c r="AC105" i="16"/>
  <c r="AC104" i="16"/>
  <c r="AC93" i="16"/>
  <c r="N114" i="14"/>
  <c r="U73" i="15"/>
  <c r="U92" i="15" s="1"/>
  <c r="I83" i="17" s="1"/>
  <c r="C91" i="14"/>
  <c r="C92" i="14"/>
  <c r="C93" i="14"/>
  <c r="C111" i="14" s="1"/>
  <c r="C79" i="14"/>
  <c r="C96" i="14"/>
  <c r="C94" i="14"/>
  <c r="C95" i="14"/>
  <c r="B79" i="14"/>
  <c r="B53" i="5"/>
  <c r="B67" i="5" s="1"/>
  <c r="B53" i="15"/>
  <c r="B67" i="15" s="1"/>
  <c r="C111" i="15"/>
  <c r="E85" i="17" s="1"/>
  <c r="C60" i="14"/>
  <c r="I77" i="5"/>
  <c r="AC109" i="16" l="1"/>
  <c r="K85" i="17" s="1"/>
  <c r="C112" i="14"/>
  <c r="C110" i="14"/>
  <c r="U111" i="15"/>
  <c r="C98" i="14"/>
  <c r="B98" i="14"/>
  <c r="B73" i="5"/>
  <c r="B86" i="5" s="1"/>
  <c r="B73" i="15"/>
  <c r="B86" i="15" s="1"/>
  <c r="I96" i="5"/>
  <c r="C114" i="14" l="1"/>
  <c r="B114" i="14"/>
  <c r="B92" i="5"/>
  <c r="B105" i="5" s="1"/>
  <c r="B92" i="15"/>
  <c r="B105" i="15" s="1"/>
  <c r="I112" i="5"/>
  <c r="E83" i="17" l="1"/>
  <c r="B111" i="15"/>
  <c r="B111" i="5"/>
  <c r="U34" i="17" l="1"/>
  <c r="S35" i="17"/>
  <c r="U24" i="17" l="1"/>
  <c r="U63" i="17" s="1"/>
  <c r="S25" i="17" l="1"/>
  <c r="S64" i="17" l="1"/>
  <c r="Q21" i="15" l="1"/>
  <c r="P21" i="15"/>
  <c r="O21" i="15"/>
  <c r="J109" i="15" s="1"/>
  <c r="N21" i="15"/>
  <c r="J108" i="15" s="1"/>
  <c r="M21" i="15"/>
  <c r="L21" i="15"/>
  <c r="K21" i="15"/>
  <c r="J21" i="15"/>
  <c r="AS62" i="17" s="1"/>
  <c r="I21" i="15"/>
  <c r="R19" i="15"/>
  <c r="R18" i="15"/>
  <c r="R17" i="15"/>
  <c r="R16" i="15"/>
  <c r="R15" i="15"/>
  <c r="R14" i="15"/>
  <c r="R13" i="15"/>
  <c r="Q21" i="16"/>
  <c r="P21" i="16"/>
  <c r="O21" i="16"/>
  <c r="N21" i="16"/>
  <c r="M21" i="16"/>
  <c r="L21" i="16"/>
  <c r="K21" i="16"/>
  <c r="J21" i="16"/>
  <c r="AS61" i="17" s="1"/>
  <c r="I21" i="16"/>
  <c r="R19" i="16"/>
  <c r="R18" i="16"/>
  <c r="R17" i="16"/>
  <c r="R16" i="16"/>
  <c r="R15" i="16"/>
  <c r="R14" i="16"/>
  <c r="R13" i="16"/>
  <c r="J107" i="15" l="1"/>
  <c r="J91" i="15"/>
  <c r="J106" i="15"/>
  <c r="J88" i="15"/>
  <c r="J92" i="15"/>
  <c r="J89" i="15"/>
  <c r="J93" i="15"/>
  <c r="J90" i="15"/>
  <c r="J94" i="15"/>
  <c r="J85" i="16"/>
  <c r="J89" i="16"/>
  <c r="J86" i="16"/>
  <c r="J90" i="16"/>
  <c r="J87" i="16"/>
  <c r="J91" i="16"/>
  <c r="J88" i="16"/>
  <c r="I58" i="15"/>
  <c r="J49" i="15"/>
  <c r="J30" i="15"/>
  <c r="J69" i="15"/>
  <c r="J66" i="16"/>
  <c r="J29" i="16"/>
  <c r="J48" i="16"/>
  <c r="J53" i="16"/>
  <c r="J34" i="16"/>
  <c r="J71" i="16"/>
  <c r="J73" i="15"/>
  <c r="J34" i="15"/>
  <c r="J53" i="15"/>
  <c r="I29" i="16"/>
  <c r="I37" i="16" s="1"/>
  <c r="I64" i="16" s="1"/>
  <c r="J50" i="16"/>
  <c r="J31" i="16"/>
  <c r="J68" i="16"/>
  <c r="J35" i="16"/>
  <c r="J54" i="16"/>
  <c r="J72" i="16"/>
  <c r="J70" i="15"/>
  <c r="J50" i="15"/>
  <c r="J31" i="15"/>
  <c r="J54" i="15"/>
  <c r="J74" i="15"/>
  <c r="J35" i="15"/>
  <c r="J70" i="16"/>
  <c r="J52" i="16"/>
  <c r="J33" i="16"/>
  <c r="J72" i="15"/>
  <c r="J52" i="15"/>
  <c r="J33" i="15"/>
  <c r="J67" i="16"/>
  <c r="J49" i="16"/>
  <c r="J30" i="16"/>
  <c r="J51" i="16"/>
  <c r="J69" i="16"/>
  <c r="J32" i="16"/>
  <c r="I30" i="15"/>
  <c r="J51" i="15"/>
  <c r="J32" i="15"/>
  <c r="J71" i="15"/>
  <c r="J75" i="15"/>
  <c r="J36" i="15"/>
  <c r="J55" i="15"/>
  <c r="R21" i="15"/>
  <c r="R21" i="16"/>
  <c r="J77" i="15" l="1"/>
  <c r="J96" i="15"/>
  <c r="J111" i="15"/>
  <c r="I77" i="15"/>
  <c r="I83" i="16"/>
  <c r="I74" i="16"/>
  <c r="J74" i="16"/>
  <c r="J93" i="16"/>
  <c r="J109" i="16"/>
  <c r="J58" i="15"/>
  <c r="I38" i="15"/>
  <c r="J56" i="16"/>
  <c r="I56" i="16"/>
  <c r="J37" i="16"/>
  <c r="J38" i="15"/>
  <c r="E16" i="16"/>
  <c r="D16" i="16"/>
  <c r="C16" i="16"/>
  <c r="B16" i="16"/>
  <c r="F14" i="16"/>
  <c r="F13" i="16"/>
  <c r="G85" i="17" l="1"/>
  <c r="I96" i="15"/>
  <c r="I102" i="16"/>
  <c r="G82" i="17" s="1"/>
  <c r="I93" i="16"/>
  <c r="F16" i="16"/>
  <c r="C30" i="16"/>
  <c r="B29" i="16"/>
  <c r="AO61" i="17"/>
  <c r="B53" i="16" l="1"/>
  <c r="I111" i="15"/>
  <c r="I109" i="16"/>
  <c r="B32" i="16"/>
  <c r="C32" i="16"/>
  <c r="D30" i="5" l="1"/>
  <c r="E30" i="5" s="1"/>
  <c r="E30" i="16"/>
  <c r="D30" i="15"/>
  <c r="E30" i="15" s="1"/>
  <c r="K32" i="15"/>
  <c r="L32" i="15" s="1"/>
  <c r="D33" i="14"/>
  <c r="E33" i="14" s="1"/>
  <c r="K32" i="5"/>
  <c r="L32" i="5" s="1"/>
  <c r="L31" i="16"/>
  <c r="P30" i="14"/>
  <c r="X30" i="16"/>
  <c r="X37" i="16" s="1"/>
  <c r="G12" i="17" s="1"/>
  <c r="AQ12" i="17"/>
  <c r="W29" i="15"/>
  <c r="K31" i="15"/>
  <c r="L31" i="15" s="1"/>
  <c r="D32" i="14"/>
  <c r="E32" i="14" s="1"/>
  <c r="K31" i="5"/>
  <c r="L31" i="5" s="1"/>
  <c r="L30" i="16"/>
  <c r="K34" i="5"/>
  <c r="L34" i="5" s="1"/>
  <c r="L33" i="16"/>
  <c r="D35" i="14"/>
  <c r="E35" i="14" s="1"/>
  <c r="K34" i="15"/>
  <c r="L34" i="15" s="1"/>
  <c r="K33" i="15"/>
  <c r="L33" i="15" s="1"/>
  <c r="K33" i="5"/>
  <c r="L33" i="5" s="1"/>
  <c r="L32" i="16"/>
  <c r="D34" i="14"/>
  <c r="E34" i="14" s="1"/>
  <c r="L35" i="16"/>
  <c r="K36" i="15"/>
  <c r="L36" i="15" s="1"/>
  <c r="D37" i="14"/>
  <c r="E37" i="14" s="1"/>
  <c r="K36" i="5"/>
  <c r="L36" i="5" s="1"/>
  <c r="K35" i="5"/>
  <c r="L35" i="5" s="1"/>
  <c r="D36" i="14"/>
  <c r="E36" i="14" s="1"/>
  <c r="L34" i="16"/>
  <c r="K35" i="15"/>
  <c r="L35" i="15" s="1"/>
  <c r="Q30" i="14" l="1"/>
  <c r="Q33" i="14" s="1"/>
  <c r="G15" i="17" s="1"/>
  <c r="AQ15" i="17"/>
  <c r="X29" i="15"/>
  <c r="X32" i="15" s="1"/>
  <c r="G13" i="17" s="1"/>
  <c r="AQ13" i="17"/>
  <c r="K30" i="15" l="1"/>
  <c r="K30" i="5"/>
  <c r="L30" i="5" s="1"/>
  <c r="L38" i="5" s="1"/>
  <c r="I14" i="17" s="1"/>
  <c r="AS12" i="17"/>
  <c r="D31" i="14"/>
  <c r="L29" i="16"/>
  <c r="L37" i="16" s="1"/>
  <c r="I12" i="17" s="1"/>
  <c r="D29" i="5"/>
  <c r="D29" i="15"/>
  <c r="E29" i="16"/>
  <c r="E32" i="16" s="1"/>
  <c r="E12" i="17" s="1"/>
  <c r="AO12" i="17"/>
  <c r="G16" i="17"/>
  <c r="AO13" i="17" l="1"/>
  <c r="E29" i="15"/>
  <c r="E32" i="15" s="1"/>
  <c r="E13" i="17" s="1"/>
  <c r="E16" i="17" s="1"/>
  <c r="AO14" i="17"/>
  <c r="E29" i="5"/>
  <c r="E32" i="5" s="1"/>
  <c r="E14" i="17" s="1"/>
  <c r="O14" i="17" s="1"/>
  <c r="E31" i="14"/>
  <c r="E39" i="14" s="1"/>
  <c r="I15" i="17" s="1"/>
  <c r="AS15" i="17"/>
  <c r="AU12" i="17"/>
  <c r="AD29" i="15"/>
  <c r="W30" i="14"/>
  <c r="AE29" i="16"/>
  <c r="AS13" i="17"/>
  <c r="L30" i="15"/>
  <c r="L38" i="15" s="1"/>
  <c r="I13" i="17" s="1"/>
  <c r="I16" i="17" l="1"/>
  <c r="AE31" i="16"/>
  <c r="W32" i="14"/>
  <c r="X32" i="14" s="1"/>
  <c r="AD31" i="15"/>
  <c r="AE31" i="15" s="1"/>
  <c r="W33" i="14"/>
  <c r="X33" i="14" s="1"/>
  <c r="AD32" i="15"/>
  <c r="AE32" i="15" s="1"/>
  <c r="AE32" i="16"/>
  <c r="AD30" i="15"/>
  <c r="AE30" i="15" s="1"/>
  <c r="W31" i="14"/>
  <c r="AE30" i="16"/>
  <c r="X30" i="14"/>
  <c r="AE29" i="15"/>
  <c r="AE37" i="16" l="1"/>
  <c r="K12" i="17" s="1"/>
  <c r="X31" i="14"/>
  <c r="X38" i="14" s="1"/>
  <c r="K15" i="17" s="1"/>
  <c r="O15" i="17" s="1"/>
  <c r="AU15" i="17"/>
  <c r="O12" i="17"/>
  <c r="AU13" i="17"/>
  <c r="AE37" i="15"/>
  <c r="K13" i="17" s="1"/>
  <c r="O13" i="17" s="1"/>
  <c r="K16" i="17" l="1"/>
  <c r="O16" i="17"/>
  <c r="AW52" i="17" l="1"/>
  <c r="M52" i="17"/>
  <c r="M56" i="17" s="1"/>
  <c r="D105" i="5"/>
  <c r="E105" i="5" s="1"/>
  <c r="D105" i="15"/>
  <c r="E103" i="16"/>
  <c r="W107" i="14"/>
  <c r="AE103" i="16"/>
  <c r="AD105" i="15"/>
  <c r="BV61" i="17" l="1"/>
  <c r="D10" i="18" s="1"/>
  <c r="AW32" i="17"/>
  <c r="M32" i="17"/>
  <c r="AW42" i="17"/>
  <c r="M42" i="17"/>
  <c r="M22" i="17"/>
  <c r="AW22" i="17"/>
  <c r="BI22" i="17" s="1"/>
  <c r="AD67" i="15"/>
  <c r="W68" i="14"/>
  <c r="AE65" i="16"/>
  <c r="W106" i="14"/>
  <c r="X106" i="14" s="1"/>
  <c r="AE102" i="16"/>
  <c r="AD104" i="15"/>
  <c r="AE104" i="15" s="1"/>
  <c r="E84" i="16"/>
  <c r="D86" i="5"/>
  <c r="E86" i="5" s="1"/>
  <c r="D86" i="15"/>
  <c r="P108" i="14"/>
  <c r="W105" i="15"/>
  <c r="X103" i="16"/>
  <c r="X102" i="16"/>
  <c r="W104" i="15"/>
  <c r="X104" i="15" s="1"/>
  <c r="P107" i="14"/>
  <c r="Q107" i="14" s="1"/>
  <c r="E102" i="16"/>
  <c r="D104" i="5"/>
  <c r="E104" i="5" s="1"/>
  <c r="D104" i="15"/>
  <c r="E104" i="15" s="1"/>
  <c r="E65" i="16"/>
  <c r="D67" i="15"/>
  <c r="D67" i="5"/>
  <c r="E67" i="5" s="1"/>
  <c r="AE47" i="16"/>
  <c r="AD47" i="15"/>
  <c r="W49" i="14"/>
  <c r="AE105" i="15"/>
  <c r="D107" i="14"/>
  <c r="E107" i="14" s="1"/>
  <c r="K105" i="5"/>
  <c r="L105" i="5" s="1"/>
  <c r="K104" i="15"/>
  <c r="L104" i="15" s="1"/>
  <c r="L102" i="16"/>
  <c r="X107" i="14"/>
  <c r="AE84" i="16"/>
  <c r="W88" i="14"/>
  <c r="AD86" i="15"/>
  <c r="D47" i="15"/>
  <c r="D47" i="5"/>
  <c r="E47" i="5" s="1"/>
  <c r="E47" i="16"/>
  <c r="D108" i="14"/>
  <c r="L103" i="16"/>
  <c r="K105" i="15"/>
  <c r="K106" i="5"/>
  <c r="L106" i="5" s="1"/>
  <c r="E105" i="15"/>
  <c r="BI42" i="17" l="1"/>
  <c r="I10" i="18" s="1"/>
  <c r="BV22" i="17"/>
  <c r="F10" i="18" s="1"/>
  <c r="E10" i="18"/>
  <c r="M36" i="17"/>
  <c r="AA32" i="17"/>
  <c r="M26" i="17"/>
  <c r="AA22" i="17"/>
  <c r="BI32" i="17"/>
  <c r="BI52" i="17"/>
  <c r="AA52" i="17"/>
  <c r="M46" i="17"/>
  <c r="AA42" i="17"/>
  <c r="D46" i="15"/>
  <c r="E46" i="15" s="1"/>
  <c r="D46" i="5"/>
  <c r="E46" i="5" s="1"/>
  <c r="E46" i="16"/>
  <c r="D49" i="14"/>
  <c r="E49" i="14" s="1"/>
  <c r="K47" i="5"/>
  <c r="L47" i="5" s="1"/>
  <c r="K47" i="15"/>
  <c r="L47" i="15" s="1"/>
  <c r="L46" i="16"/>
  <c r="K68" i="5"/>
  <c r="L68" i="5" s="1"/>
  <c r="D70" i="14"/>
  <c r="L65" i="16"/>
  <c r="K68" i="15"/>
  <c r="E104" i="16"/>
  <c r="D106" i="15"/>
  <c r="D106" i="5"/>
  <c r="E106" i="5" s="1"/>
  <c r="AD106" i="15"/>
  <c r="AE104" i="16"/>
  <c r="W108" i="14"/>
  <c r="E47" i="15"/>
  <c r="W48" i="14"/>
  <c r="X48" i="14" s="1"/>
  <c r="AE46" i="16"/>
  <c r="AD46" i="15"/>
  <c r="AE46" i="15" s="1"/>
  <c r="D89" i="14"/>
  <c r="L84" i="16"/>
  <c r="K87" i="5"/>
  <c r="L87" i="5" s="1"/>
  <c r="K87" i="15"/>
  <c r="W108" i="15"/>
  <c r="X108" i="15" s="1"/>
  <c r="X106" i="16"/>
  <c r="P111" i="14"/>
  <c r="Q111" i="14" s="1"/>
  <c r="AE86" i="15"/>
  <c r="E67" i="15"/>
  <c r="W85" i="15"/>
  <c r="X85" i="15" s="1"/>
  <c r="X83" i="16"/>
  <c r="P87" i="14"/>
  <c r="Q87" i="14" s="1"/>
  <c r="X65" i="16"/>
  <c r="P68" i="14"/>
  <c r="W67" i="15"/>
  <c r="X88" i="14"/>
  <c r="L64" i="16"/>
  <c r="D69" i="14"/>
  <c r="E69" i="14" s="1"/>
  <c r="K67" i="15"/>
  <c r="L67" i="15" s="1"/>
  <c r="K67" i="5"/>
  <c r="L67" i="5" s="1"/>
  <c r="D107" i="15"/>
  <c r="E107" i="15" s="1"/>
  <c r="E105" i="16"/>
  <c r="D107" i="5"/>
  <c r="E107" i="5" s="1"/>
  <c r="L105" i="15"/>
  <c r="AO52" i="17"/>
  <c r="W67" i="14"/>
  <c r="X67" i="14" s="1"/>
  <c r="AD66" i="15"/>
  <c r="AE66" i="15" s="1"/>
  <c r="AE64" i="16"/>
  <c r="W87" i="14"/>
  <c r="X87" i="14" s="1"/>
  <c r="AE83" i="16"/>
  <c r="AD85" i="15"/>
  <c r="AE85" i="15" s="1"/>
  <c r="K86" i="15"/>
  <c r="L86" i="15" s="1"/>
  <c r="K86" i="5"/>
  <c r="L86" i="5" s="1"/>
  <c r="L83" i="16"/>
  <c r="D88" i="14"/>
  <c r="E88" i="14" s="1"/>
  <c r="W47" i="15"/>
  <c r="P49" i="14"/>
  <c r="X47" i="16"/>
  <c r="P110" i="14"/>
  <c r="Q110" i="14" s="1"/>
  <c r="X105" i="16"/>
  <c r="W107" i="15"/>
  <c r="X107" i="15" s="1"/>
  <c r="L104" i="16"/>
  <c r="D109" i="14"/>
  <c r="E109" i="14" s="1"/>
  <c r="K106" i="15"/>
  <c r="L106" i="15" s="1"/>
  <c r="K107" i="5"/>
  <c r="L107" i="5" s="1"/>
  <c r="AE107" i="16"/>
  <c r="W111" i="14"/>
  <c r="X111" i="14" s="1"/>
  <c r="AD109" i="15"/>
  <c r="AE109" i="15" s="1"/>
  <c r="X105" i="15"/>
  <c r="E64" i="16"/>
  <c r="D66" i="15"/>
  <c r="E66" i="15" s="1"/>
  <c r="D66" i="5"/>
  <c r="E66" i="5" s="1"/>
  <c r="W66" i="15"/>
  <c r="X66" i="15" s="1"/>
  <c r="P67" i="14"/>
  <c r="Q67" i="14" s="1"/>
  <c r="X64" i="16"/>
  <c r="E83" i="16"/>
  <c r="D85" i="5"/>
  <c r="E85" i="5" s="1"/>
  <c r="D85" i="15"/>
  <c r="E85" i="15" s="1"/>
  <c r="K48" i="15"/>
  <c r="K48" i="5"/>
  <c r="L48" i="5" s="1"/>
  <c r="D50" i="14"/>
  <c r="L47" i="16"/>
  <c r="P109" i="14"/>
  <c r="Q109" i="14" s="1"/>
  <c r="X104" i="16"/>
  <c r="W106" i="15"/>
  <c r="X106" i="15" s="1"/>
  <c r="E106" i="16"/>
  <c r="D108" i="15"/>
  <c r="E108" i="15" s="1"/>
  <c r="D108" i="5"/>
  <c r="E108" i="5" s="1"/>
  <c r="E107" i="16"/>
  <c r="D109" i="15"/>
  <c r="E109" i="15" s="1"/>
  <c r="D109" i="5"/>
  <c r="E109" i="5" s="1"/>
  <c r="E108" i="14"/>
  <c r="X49" i="14"/>
  <c r="Q108" i="14"/>
  <c r="P88" i="14"/>
  <c r="W86" i="15"/>
  <c r="X84" i="16"/>
  <c r="K109" i="5"/>
  <c r="L109" i="5" s="1"/>
  <c r="K108" i="15"/>
  <c r="L108" i="15" s="1"/>
  <c r="L106" i="16"/>
  <c r="D111" i="14"/>
  <c r="E111" i="14" s="1"/>
  <c r="AE47" i="15"/>
  <c r="E86" i="15"/>
  <c r="X68" i="14"/>
  <c r="W46" i="15"/>
  <c r="X46" i="15" s="1"/>
  <c r="X46" i="16"/>
  <c r="P48" i="14"/>
  <c r="Q48" i="14" s="1"/>
  <c r="K109" i="15"/>
  <c r="L109" i="15" s="1"/>
  <c r="K110" i="5"/>
  <c r="L110" i="5" s="1"/>
  <c r="L107" i="16"/>
  <c r="D112" i="14"/>
  <c r="E112" i="14" s="1"/>
  <c r="AQ52" i="17"/>
  <c r="AE67" i="15"/>
  <c r="AQ32" i="17"/>
  <c r="AU32" i="17"/>
  <c r="AU42" i="17"/>
  <c r="BV42" i="17" l="1"/>
  <c r="J10" i="18" s="1"/>
  <c r="AA61" i="17"/>
  <c r="BI61" i="17"/>
  <c r="C10" i="18" s="1"/>
  <c r="AA36" i="17"/>
  <c r="AA80" i="17"/>
  <c r="AA56" i="17"/>
  <c r="AA100" i="17"/>
  <c r="K10" i="18"/>
  <c r="BV52" i="17"/>
  <c r="L10" i="18" s="1"/>
  <c r="BV32" i="17"/>
  <c r="H10" i="18" s="1"/>
  <c r="G10" i="18"/>
  <c r="AA26" i="17"/>
  <c r="AA74" i="17" s="1"/>
  <c r="AA70" i="17"/>
  <c r="AA46" i="17"/>
  <c r="AA90" i="17"/>
  <c r="AU22" i="17"/>
  <c r="BG22" i="17" s="1"/>
  <c r="AQ42" i="17"/>
  <c r="BC42" i="17" s="1"/>
  <c r="AS22" i="17"/>
  <c r="BE22" i="17" s="1"/>
  <c r="BR22" i="17" s="1"/>
  <c r="F18" i="18" s="1"/>
  <c r="AQ22" i="17"/>
  <c r="BC22" i="17" s="1"/>
  <c r="E109" i="16"/>
  <c r="E52" i="17" s="1"/>
  <c r="E111" i="5"/>
  <c r="E54" i="17" s="1"/>
  <c r="BG42" i="17"/>
  <c r="BT42" i="17" s="1"/>
  <c r="J23" i="18" s="1"/>
  <c r="BC32" i="17"/>
  <c r="G13" i="18" s="1"/>
  <c r="BP42" i="17"/>
  <c r="J13" i="18" s="1"/>
  <c r="I13" i="18"/>
  <c r="E18" i="18"/>
  <c r="BP22" i="17"/>
  <c r="F13" i="18" s="1"/>
  <c r="E13" i="18"/>
  <c r="AD48" i="15"/>
  <c r="W50" i="14"/>
  <c r="AE48" i="16"/>
  <c r="K51" i="5"/>
  <c r="L51" i="5" s="1"/>
  <c r="L50" i="16"/>
  <c r="D53" i="14"/>
  <c r="E53" i="14" s="1"/>
  <c r="K51" i="15"/>
  <c r="L51" i="15" s="1"/>
  <c r="L66" i="16"/>
  <c r="D71" i="14"/>
  <c r="E71" i="14" s="1"/>
  <c r="K69" i="15"/>
  <c r="L69" i="15" s="1"/>
  <c r="K69" i="5"/>
  <c r="L69" i="5" s="1"/>
  <c r="AO32" i="17"/>
  <c r="D68" i="15"/>
  <c r="E66" i="16"/>
  <c r="D68" i="5"/>
  <c r="E68" i="5" s="1"/>
  <c r="D55" i="14"/>
  <c r="E55" i="14" s="1"/>
  <c r="L52" i="16"/>
  <c r="K53" i="5"/>
  <c r="L53" i="5" s="1"/>
  <c r="K53" i="15"/>
  <c r="L53" i="15" s="1"/>
  <c r="K89" i="15"/>
  <c r="L89" i="15" s="1"/>
  <c r="L86" i="16"/>
  <c r="K89" i="5"/>
  <c r="L89" i="5" s="1"/>
  <c r="D91" i="14"/>
  <c r="E91" i="14" s="1"/>
  <c r="E50" i="14"/>
  <c r="X67" i="15"/>
  <c r="D70" i="5"/>
  <c r="E70" i="5" s="1"/>
  <c r="D70" i="15"/>
  <c r="E70" i="15" s="1"/>
  <c r="E68" i="16"/>
  <c r="W88" i="15"/>
  <c r="X88" i="15" s="1"/>
  <c r="P90" i="14"/>
  <c r="Q90" i="14" s="1"/>
  <c r="X86" i="16"/>
  <c r="K70" i="5"/>
  <c r="L70" i="5" s="1"/>
  <c r="D72" i="14"/>
  <c r="E72" i="14" s="1"/>
  <c r="L67" i="16"/>
  <c r="K70" i="15"/>
  <c r="L70" i="15" s="1"/>
  <c r="K50" i="15"/>
  <c r="L50" i="15" s="1"/>
  <c r="D52" i="14"/>
  <c r="E52" i="14" s="1"/>
  <c r="K50" i="5"/>
  <c r="L50" i="5" s="1"/>
  <c r="L49" i="16"/>
  <c r="W51" i="14"/>
  <c r="X51" i="14" s="1"/>
  <c r="AD49" i="15"/>
  <c r="AE49" i="15" s="1"/>
  <c r="AE49" i="16"/>
  <c r="D87" i="5"/>
  <c r="E87" i="5" s="1"/>
  <c r="E85" i="16"/>
  <c r="D87" i="15"/>
  <c r="BP61" i="17"/>
  <c r="D13" i="18" s="1"/>
  <c r="BC52" i="17"/>
  <c r="Q68" i="14"/>
  <c r="L87" i="15"/>
  <c r="E106" i="15"/>
  <c r="E111" i="15" s="1"/>
  <c r="E53" i="17" s="1"/>
  <c r="AO53" i="17"/>
  <c r="AO54" i="17"/>
  <c r="D76" i="14"/>
  <c r="E76" i="14" s="1"/>
  <c r="K74" i="15"/>
  <c r="L74" i="15" s="1"/>
  <c r="K74" i="5"/>
  <c r="L74" i="5" s="1"/>
  <c r="L71" i="16"/>
  <c r="L53" i="16"/>
  <c r="K54" i="15"/>
  <c r="L54" i="15" s="1"/>
  <c r="D56" i="14"/>
  <c r="E56" i="14" s="1"/>
  <c r="K54" i="5"/>
  <c r="L54" i="5" s="1"/>
  <c r="W71" i="15"/>
  <c r="X71" i="15" s="1"/>
  <c r="X69" i="16"/>
  <c r="P72" i="14"/>
  <c r="Q72" i="14" s="1"/>
  <c r="W70" i="15"/>
  <c r="X70" i="15" s="1"/>
  <c r="X68" i="16"/>
  <c r="P71" i="14"/>
  <c r="Q71" i="14" s="1"/>
  <c r="W50" i="15"/>
  <c r="X50" i="15" s="1"/>
  <c r="P52" i="14"/>
  <c r="Q52" i="14" s="1"/>
  <c r="X50" i="16"/>
  <c r="D89" i="5"/>
  <c r="E89" i="5" s="1"/>
  <c r="E87" i="16"/>
  <c r="D89" i="15"/>
  <c r="E89" i="15" s="1"/>
  <c r="L48" i="15"/>
  <c r="K75" i="15"/>
  <c r="L75" i="15" s="1"/>
  <c r="K75" i="5"/>
  <c r="L75" i="5" s="1"/>
  <c r="D77" i="14"/>
  <c r="E77" i="14" s="1"/>
  <c r="L72" i="16"/>
  <c r="D71" i="5"/>
  <c r="E71" i="5" s="1"/>
  <c r="D71" i="15"/>
  <c r="E71" i="15" s="1"/>
  <c r="E69" i="16"/>
  <c r="X88" i="16"/>
  <c r="W90" i="15"/>
  <c r="X90" i="15" s="1"/>
  <c r="P92" i="14"/>
  <c r="Q92" i="14" s="1"/>
  <c r="D51" i="15"/>
  <c r="E51" i="15" s="1"/>
  <c r="D51" i="5"/>
  <c r="E51" i="5" s="1"/>
  <c r="E51" i="16"/>
  <c r="K71" i="5"/>
  <c r="L71" i="5" s="1"/>
  <c r="D73" i="14"/>
  <c r="E73" i="14" s="1"/>
  <c r="K71" i="15"/>
  <c r="L71" i="15" s="1"/>
  <c r="L68" i="16"/>
  <c r="D48" i="15"/>
  <c r="D48" i="5"/>
  <c r="E48" i="5" s="1"/>
  <c r="E48" i="16"/>
  <c r="K91" i="5"/>
  <c r="L91" i="5" s="1"/>
  <c r="D93" i="14"/>
  <c r="E93" i="14" s="1"/>
  <c r="K91" i="15"/>
  <c r="L91" i="15" s="1"/>
  <c r="L88" i="16"/>
  <c r="AD50" i="15"/>
  <c r="AE50" i="15" s="1"/>
  <c r="W52" i="14"/>
  <c r="X52" i="14" s="1"/>
  <c r="AE50" i="16"/>
  <c r="P112" i="14"/>
  <c r="Q112" i="14" s="1"/>
  <c r="Q114" i="14" s="1"/>
  <c r="G55" i="17" s="1"/>
  <c r="X107" i="16"/>
  <c r="X109" i="16" s="1"/>
  <c r="G52" i="17" s="1"/>
  <c r="W109" i="15"/>
  <c r="X109" i="15" s="1"/>
  <c r="X111" i="15" s="1"/>
  <c r="G53" i="17" s="1"/>
  <c r="L68" i="15"/>
  <c r="K93" i="15"/>
  <c r="L93" i="15" s="1"/>
  <c r="K93" i="5"/>
  <c r="L93" i="5" s="1"/>
  <c r="L90" i="16"/>
  <c r="D95" i="14"/>
  <c r="E95" i="14" s="1"/>
  <c r="D50" i="15"/>
  <c r="E50" i="15" s="1"/>
  <c r="D50" i="5"/>
  <c r="E50" i="5" s="1"/>
  <c r="E50" i="16"/>
  <c r="E88" i="16"/>
  <c r="D90" i="15"/>
  <c r="E90" i="15" s="1"/>
  <c r="D90" i="5"/>
  <c r="E90" i="5" s="1"/>
  <c r="K88" i="5"/>
  <c r="L88" i="5" s="1"/>
  <c r="D90" i="14"/>
  <c r="E90" i="14" s="1"/>
  <c r="L85" i="16"/>
  <c r="K88" i="15"/>
  <c r="L88" i="15" s="1"/>
  <c r="W49" i="15"/>
  <c r="X49" i="15" s="1"/>
  <c r="P51" i="14"/>
  <c r="Q51" i="14" s="1"/>
  <c r="X49" i="16"/>
  <c r="K72" i="15"/>
  <c r="L72" i="15" s="1"/>
  <c r="L69" i="16"/>
  <c r="K72" i="5"/>
  <c r="L72" i="5" s="1"/>
  <c r="D74" i="14"/>
  <c r="E74" i="14" s="1"/>
  <c r="D96" i="14"/>
  <c r="E96" i="14" s="1"/>
  <c r="K94" i="5"/>
  <c r="L94" i="5" s="1"/>
  <c r="L91" i="16"/>
  <c r="K94" i="15"/>
  <c r="L94" i="15" s="1"/>
  <c r="AD90" i="15"/>
  <c r="AE90" i="15" s="1"/>
  <c r="W92" i="14"/>
  <c r="X92" i="14" s="1"/>
  <c r="AE88" i="16"/>
  <c r="E89" i="14"/>
  <c r="P91" i="14"/>
  <c r="Q91" i="14" s="1"/>
  <c r="X87" i="16"/>
  <c r="W89" i="15"/>
  <c r="X89" i="15" s="1"/>
  <c r="AE85" i="16"/>
  <c r="W89" i="14"/>
  <c r="AD87" i="15"/>
  <c r="AD70" i="15"/>
  <c r="AE70" i="15" s="1"/>
  <c r="AE68" i="16"/>
  <c r="W71" i="14"/>
  <c r="X71" i="14" s="1"/>
  <c r="E86" i="16"/>
  <c r="D88" i="15"/>
  <c r="E88" i="15" s="1"/>
  <c r="D88" i="5"/>
  <c r="E88" i="5" s="1"/>
  <c r="D49" i="5"/>
  <c r="E49" i="5" s="1"/>
  <c r="E53" i="5" s="1"/>
  <c r="E24" i="17" s="1"/>
  <c r="D49" i="15"/>
  <c r="E49" i="15" s="1"/>
  <c r="E49" i="16"/>
  <c r="W51" i="15"/>
  <c r="X51" i="15" s="1"/>
  <c r="P53" i="14"/>
  <c r="Q53" i="14" s="1"/>
  <c r="X51" i="16"/>
  <c r="K52" i="15"/>
  <c r="L52" i="15" s="1"/>
  <c r="K52" i="5"/>
  <c r="L52" i="5" s="1"/>
  <c r="D54" i="14"/>
  <c r="E54" i="14" s="1"/>
  <c r="L51" i="16"/>
  <c r="AD89" i="15"/>
  <c r="AE89" i="15" s="1"/>
  <c r="W91" i="14"/>
  <c r="X91" i="14" s="1"/>
  <c r="AE87" i="16"/>
  <c r="W70" i="14"/>
  <c r="X70" i="14" s="1"/>
  <c r="AD69" i="15"/>
  <c r="AE69" i="15" s="1"/>
  <c r="AE67" i="16"/>
  <c r="X86" i="15"/>
  <c r="AO42" i="17"/>
  <c r="BA42" i="17" s="1"/>
  <c r="Q49" i="14"/>
  <c r="BN61" i="17"/>
  <c r="D28" i="18" s="1"/>
  <c r="AS32" i="17"/>
  <c r="BE32" i="17" s="1"/>
  <c r="W110" i="14"/>
  <c r="X110" i="14" s="1"/>
  <c r="AE106" i="16"/>
  <c r="AD108" i="15"/>
  <c r="AE108" i="15" s="1"/>
  <c r="X108" i="14"/>
  <c r="E70" i="14"/>
  <c r="AO22" i="17"/>
  <c r="BA22" i="17" s="1"/>
  <c r="D75" i="14"/>
  <c r="E75" i="14" s="1"/>
  <c r="K73" i="15"/>
  <c r="L73" i="15" s="1"/>
  <c r="L70" i="16"/>
  <c r="K73" i="5"/>
  <c r="L73" i="5" s="1"/>
  <c r="P89" i="14"/>
  <c r="Q89" i="14" s="1"/>
  <c r="W87" i="15"/>
  <c r="X87" i="15" s="1"/>
  <c r="X85" i="16"/>
  <c r="P69" i="14"/>
  <c r="Q69" i="14" s="1"/>
  <c r="X66" i="16"/>
  <c r="W68" i="15"/>
  <c r="X68" i="15" s="1"/>
  <c r="D51" i="14"/>
  <c r="E51" i="14" s="1"/>
  <c r="K49" i="15"/>
  <c r="L49" i="15" s="1"/>
  <c r="L48" i="16"/>
  <c r="K49" i="5"/>
  <c r="L49" i="5" s="1"/>
  <c r="K90" i="5"/>
  <c r="L90" i="5" s="1"/>
  <c r="K90" i="15"/>
  <c r="L90" i="15" s="1"/>
  <c r="D92" i="14"/>
  <c r="E92" i="14" s="1"/>
  <c r="L87" i="16"/>
  <c r="W69" i="15"/>
  <c r="X69" i="15" s="1"/>
  <c r="X67" i="16"/>
  <c r="P70" i="14"/>
  <c r="Q70" i="14" s="1"/>
  <c r="E67" i="16"/>
  <c r="D69" i="5"/>
  <c r="E69" i="5" s="1"/>
  <c r="D69" i="15"/>
  <c r="E69" i="15" s="1"/>
  <c r="W109" i="14"/>
  <c r="X109" i="14" s="1"/>
  <c r="AD107" i="15"/>
  <c r="AE107" i="15" s="1"/>
  <c r="AE105" i="16"/>
  <c r="Q88" i="14"/>
  <c r="X47" i="15"/>
  <c r="E23" i="18"/>
  <c r="BT22" i="17"/>
  <c r="F23" i="18" s="1"/>
  <c r="AE66" i="16"/>
  <c r="AD68" i="15"/>
  <c r="W69" i="14"/>
  <c r="W90" i="14"/>
  <c r="X90" i="14" s="1"/>
  <c r="AD88" i="15"/>
  <c r="AE88" i="15" s="1"/>
  <c r="AE86" i="16"/>
  <c r="K92" i="15"/>
  <c r="L92" i="15" s="1"/>
  <c r="K92" i="5"/>
  <c r="L92" i="5" s="1"/>
  <c r="L96" i="5" s="1"/>
  <c r="I44" i="17" s="1"/>
  <c r="D94" i="14"/>
  <c r="E94" i="14" s="1"/>
  <c r="L89" i="16"/>
  <c r="AD71" i="15"/>
  <c r="AE71" i="15" s="1"/>
  <c r="AE69" i="16"/>
  <c r="W72" i="14"/>
  <c r="X72" i="14" s="1"/>
  <c r="W48" i="15"/>
  <c r="X48" i="15" s="1"/>
  <c r="P50" i="14"/>
  <c r="Q50" i="14" s="1"/>
  <c r="X48" i="16"/>
  <c r="X56" i="16" s="1"/>
  <c r="G22" i="17" s="1"/>
  <c r="D57" i="14"/>
  <c r="E57" i="14" s="1"/>
  <c r="K55" i="5"/>
  <c r="L55" i="5" s="1"/>
  <c r="K55" i="15"/>
  <c r="L55" i="15" s="1"/>
  <c r="L54" i="16"/>
  <c r="AE51" i="16"/>
  <c r="AE56" i="16" s="1"/>
  <c r="K22" i="17" s="1"/>
  <c r="W53" i="14"/>
  <c r="X53" i="14" s="1"/>
  <c r="AD51" i="15"/>
  <c r="AE51" i="15" s="1"/>
  <c r="K108" i="5"/>
  <c r="L108" i="5" s="1"/>
  <c r="L112" i="5" s="1"/>
  <c r="I54" i="17" s="1"/>
  <c r="L105" i="16"/>
  <c r="L109" i="16" s="1"/>
  <c r="I52" i="17" s="1"/>
  <c r="D110" i="14"/>
  <c r="K107" i="15"/>
  <c r="L107" i="15" s="1"/>
  <c r="L111" i="15" s="1"/>
  <c r="I53" i="17" s="1"/>
  <c r="AS52" i="17"/>
  <c r="BR61" i="17" s="1"/>
  <c r="D18" i="18" s="1"/>
  <c r="AQ55" i="17"/>
  <c r="AQ53" i="17"/>
  <c r="BP62" i="17" s="1"/>
  <c r="D14" i="18" s="1"/>
  <c r="AS42" i="17"/>
  <c r="AU52" i="17"/>
  <c r="AE106" i="15"/>
  <c r="E73" i="5" l="1"/>
  <c r="E34" i="17" s="1"/>
  <c r="L56" i="16"/>
  <c r="I22" i="17" s="1"/>
  <c r="X92" i="15"/>
  <c r="G43" i="17" s="1"/>
  <c r="AA94" i="17"/>
  <c r="AA104" i="17"/>
  <c r="BG32" i="17"/>
  <c r="AA65" i="17"/>
  <c r="AA113" i="17" s="1"/>
  <c r="AA109" i="17"/>
  <c r="AA84" i="17"/>
  <c r="L77" i="5"/>
  <c r="I34" i="17" s="1"/>
  <c r="W44" i="17" s="1"/>
  <c r="AE109" i="16"/>
  <c r="K52" i="17" s="1"/>
  <c r="O52" i="17" s="1"/>
  <c r="X74" i="16"/>
  <c r="G32" i="17" s="1"/>
  <c r="L58" i="15"/>
  <c r="I23" i="17" s="1"/>
  <c r="W23" i="17" s="1"/>
  <c r="W71" i="17" s="1"/>
  <c r="L96" i="15"/>
  <c r="I43" i="17" s="1"/>
  <c r="E90" i="16"/>
  <c r="E42" i="17" s="1"/>
  <c r="E98" i="14"/>
  <c r="I45" i="17" s="1"/>
  <c r="E53" i="16"/>
  <c r="E22" i="17" s="1"/>
  <c r="O22" i="17" s="1"/>
  <c r="I23" i="18"/>
  <c r="L93" i="16"/>
  <c r="I42" i="17" s="1"/>
  <c r="AQ45" i="17"/>
  <c r="E92" i="5"/>
  <c r="E44" i="17" s="1"/>
  <c r="O44" i="17" s="1"/>
  <c r="Q94" i="14"/>
  <c r="G45" i="17" s="1"/>
  <c r="E60" i="14"/>
  <c r="I25" i="17" s="1"/>
  <c r="W25" i="17" s="1"/>
  <c r="W73" i="17" s="1"/>
  <c r="BA52" i="17"/>
  <c r="K28" i="18" s="1"/>
  <c r="BC61" i="17"/>
  <c r="C13" i="18" s="1"/>
  <c r="BP32" i="17"/>
  <c r="H13" i="18" s="1"/>
  <c r="U53" i="17"/>
  <c r="AG53" i="17" s="1"/>
  <c r="S52" i="17"/>
  <c r="W53" i="17"/>
  <c r="S22" i="17"/>
  <c r="W54" i="17"/>
  <c r="O54" i="17"/>
  <c r="AE111" i="15"/>
  <c r="K53" i="17" s="1"/>
  <c r="O53" i="17" s="1"/>
  <c r="X69" i="14"/>
  <c r="X77" i="14" s="1"/>
  <c r="K35" i="17" s="1"/>
  <c r="AU35" i="17"/>
  <c r="BN42" i="17"/>
  <c r="J28" i="18" s="1"/>
  <c r="I28" i="18"/>
  <c r="AS25" i="17"/>
  <c r="BE25" i="17" s="1"/>
  <c r="AE48" i="15"/>
  <c r="AU23" i="17"/>
  <c r="BG23" i="17" s="1"/>
  <c r="Y22" i="17"/>
  <c r="E110" i="14"/>
  <c r="E114" i="14" s="1"/>
  <c r="I55" i="17" s="1"/>
  <c r="AS55" i="17"/>
  <c r="AE68" i="15"/>
  <c r="AE76" i="15" s="1"/>
  <c r="K33" i="17" s="1"/>
  <c r="AU33" i="17"/>
  <c r="O34" i="17"/>
  <c r="Q74" i="14"/>
  <c r="G35" i="17" s="1"/>
  <c r="U55" i="17"/>
  <c r="BT61" i="17"/>
  <c r="D23" i="18" s="1"/>
  <c r="BG52" i="17"/>
  <c r="W52" i="17"/>
  <c r="AE74" i="16"/>
  <c r="K32" i="17" s="1"/>
  <c r="AS53" i="17"/>
  <c r="AQ43" i="17"/>
  <c r="AE87" i="15"/>
  <c r="AE95" i="15" s="1"/>
  <c r="K43" i="17" s="1"/>
  <c r="AU43" i="17"/>
  <c r="BG43" i="17" s="1"/>
  <c r="AS45" i="17"/>
  <c r="L74" i="16"/>
  <c r="I32" i="17" s="1"/>
  <c r="W42" i="17" s="1"/>
  <c r="AQ35" i="17"/>
  <c r="BC45" i="17" s="1"/>
  <c r="BE52" i="17"/>
  <c r="BE42" i="17"/>
  <c r="U22" i="17"/>
  <c r="AQ23" i="17"/>
  <c r="BC23" i="17" s="1"/>
  <c r="BN22" i="17"/>
  <c r="F28" i="18" s="1"/>
  <c r="BK22" i="17"/>
  <c r="E28" i="18"/>
  <c r="G18" i="18"/>
  <c r="BR32" i="17"/>
  <c r="H18" i="18" s="1"/>
  <c r="X89" i="14"/>
  <c r="X97" i="14" s="1"/>
  <c r="K45" i="17" s="1"/>
  <c r="AU45" i="17"/>
  <c r="BG45" i="17" s="1"/>
  <c r="L77" i="15"/>
  <c r="I33" i="17" s="1"/>
  <c r="K13" i="18"/>
  <c r="BP52" i="17"/>
  <c r="L13" i="18" s="1"/>
  <c r="AQ33" i="17"/>
  <c r="AE56" i="15"/>
  <c r="K23" i="17" s="1"/>
  <c r="Y23" i="17" s="1"/>
  <c r="S34" i="17"/>
  <c r="S24" i="17"/>
  <c r="X53" i="15"/>
  <c r="G23" i="17" s="1"/>
  <c r="U23" i="17" s="1"/>
  <c r="AS35" i="17"/>
  <c r="AE93" i="16"/>
  <c r="K42" i="17" s="1"/>
  <c r="AS33" i="17"/>
  <c r="E48" i="15"/>
  <c r="E53" i="15" s="1"/>
  <c r="E23" i="17" s="1"/>
  <c r="E26" i="17" s="1"/>
  <c r="AO24" i="17"/>
  <c r="BA24" i="17" s="1"/>
  <c r="AO23" i="17"/>
  <c r="BA23" i="17" s="1"/>
  <c r="L58" i="5"/>
  <c r="I24" i="17" s="1"/>
  <c r="W24" i="17" s="1"/>
  <c r="BN63" i="17"/>
  <c r="D30" i="18" s="1"/>
  <c r="X73" i="15"/>
  <c r="G33" i="17" s="1"/>
  <c r="U43" i="17" s="1"/>
  <c r="E68" i="15"/>
  <c r="E73" i="15" s="1"/>
  <c r="E33" i="17" s="1"/>
  <c r="AO33" i="17"/>
  <c r="AO34" i="17"/>
  <c r="BE61" i="17"/>
  <c r="C18" i="18" s="1"/>
  <c r="U32" i="17"/>
  <c r="E79" i="14"/>
  <c r="I35" i="17" s="1"/>
  <c r="W35" i="17" s="1"/>
  <c r="W83" i="17" s="1"/>
  <c r="BN62" i="17"/>
  <c r="D29" i="18" s="1"/>
  <c r="E87" i="15"/>
  <c r="E92" i="15" s="1"/>
  <c r="E43" i="17" s="1"/>
  <c r="AO44" i="17"/>
  <c r="BA54" i="17" s="1"/>
  <c r="AO43" i="17"/>
  <c r="BA43" i="17" s="1"/>
  <c r="BA32" i="17"/>
  <c r="BP64" i="17"/>
  <c r="D15" i="18" s="1"/>
  <c r="BC55" i="17"/>
  <c r="AU55" i="17"/>
  <c r="AQ25" i="17"/>
  <c r="BC25" i="17" s="1"/>
  <c r="X93" i="16"/>
  <c r="G42" i="17" s="1"/>
  <c r="O42" i="17" s="1"/>
  <c r="G56" i="17"/>
  <c r="AS23" i="17"/>
  <c r="BE23" i="17" s="1"/>
  <c r="E56" i="17"/>
  <c r="AU53" i="17"/>
  <c r="W22" i="17"/>
  <c r="X113" i="14"/>
  <c r="K55" i="17" s="1"/>
  <c r="Y55" i="17" s="1"/>
  <c r="Q55" i="14"/>
  <c r="G25" i="17" s="1"/>
  <c r="E71" i="16"/>
  <c r="E32" i="17" s="1"/>
  <c r="AS43" i="17"/>
  <c r="X50" i="14"/>
  <c r="X58" i="14" s="1"/>
  <c r="K25" i="17" s="1"/>
  <c r="Y25" i="17" s="1"/>
  <c r="AU25" i="17"/>
  <c r="BG25" i="17" s="1"/>
  <c r="BE43" i="17" l="1"/>
  <c r="W33" i="17"/>
  <c r="W81" i="17" s="1"/>
  <c r="G23" i="18"/>
  <c r="BT32" i="17"/>
  <c r="H23" i="18" s="1"/>
  <c r="BG33" i="17"/>
  <c r="I46" i="17"/>
  <c r="BK52" i="17"/>
  <c r="BY52" i="17" s="1"/>
  <c r="BN52" i="17"/>
  <c r="L28" i="18" s="1"/>
  <c r="W55" i="17"/>
  <c r="BA61" i="17"/>
  <c r="C28" i="18" s="1"/>
  <c r="BA34" i="17"/>
  <c r="S43" i="17"/>
  <c r="BC33" i="17"/>
  <c r="G14" i="18" s="1"/>
  <c r="S53" i="17"/>
  <c r="S54" i="17"/>
  <c r="AC54" i="17" s="1"/>
  <c r="S44" i="17"/>
  <c r="BA44" i="17"/>
  <c r="I30" i="18" s="1"/>
  <c r="G36" i="17"/>
  <c r="Y45" i="17"/>
  <c r="I26" i="17"/>
  <c r="O55" i="17"/>
  <c r="G26" i="17"/>
  <c r="AG43" i="17"/>
  <c r="I19" i="18"/>
  <c r="BR43" i="17"/>
  <c r="J19" i="18" s="1"/>
  <c r="BP55" i="17"/>
  <c r="L15" i="18" s="1"/>
  <c r="K15" i="18"/>
  <c r="BN54" i="17"/>
  <c r="L30" i="18" s="1"/>
  <c r="BK54" i="17"/>
  <c r="K30" i="18"/>
  <c r="Y71" i="17"/>
  <c r="BC53" i="17"/>
  <c r="BC43" i="17"/>
  <c r="BK43" i="17" s="1"/>
  <c r="BR25" i="17"/>
  <c r="F20" i="18" s="1"/>
  <c r="E20" i="18"/>
  <c r="AE52" i="17"/>
  <c r="O32" i="17"/>
  <c r="S32" i="17"/>
  <c r="E36" i="17"/>
  <c r="I18" i="18"/>
  <c r="BR42" i="17"/>
  <c r="J18" i="18" s="1"/>
  <c r="BR62" i="17"/>
  <c r="D19" i="18" s="1"/>
  <c r="BE53" i="17"/>
  <c r="AI42" i="17"/>
  <c r="BK42" i="17"/>
  <c r="BY42" i="17" s="1"/>
  <c r="AE22" i="17"/>
  <c r="S70" i="17"/>
  <c r="AC22" i="17"/>
  <c r="E46" i="17"/>
  <c r="U25" i="17"/>
  <c r="U26" i="17" s="1"/>
  <c r="O25" i="17"/>
  <c r="E19" i="18"/>
  <c r="BR23" i="17"/>
  <c r="F19" i="18" s="1"/>
  <c r="G28" i="18"/>
  <c r="BN32" i="17"/>
  <c r="H28" i="18" s="1"/>
  <c r="BK32" i="17"/>
  <c r="BY32" i="17" s="1"/>
  <c r="AG32" i="17"/>
  <c r="U80" i="17"/>
  <c r="W72" i="17"/>
  <c r="K18" i="18"/>
  <c r="BR52" i="17"/>
  <c r="L18" i="18" s="1"/>
  <c r="Y32" i="17"/>
  <c r="K36" i="17"/>
  <c r="BR64" i="17"/>
  <c r="D20" i="18" s="1"/>
  <c r="BE55" i="17"/>
  <c r="S42" i="17"/>
  <c r="BN43" i="17"/>
  <c r="J29" i="18" s="1"/>
  <c r="I29" i="18"/>
  <c r="BK23" i="17"/>
  <c r="E29" i="18"/>
  <c r="BN23" i="17"/>
  <c r="F29" i="18" s="1"/>
  <c r="BE35" i="17"/>
  <c r="BY22" i="17"/>
  <c r="BC35" i="17"/>
  <c r="BC64" i="17" s="1"/>
  <c r="C15" i="18" s="1"/>
  <c r="AI52" i="17"/>
  <c r="W56" i="17"/>
  <c r="U35" i="17"/>
  <c r="O35" i="17"/>
  <c r="O45" i="17"/>
  <c r="AI22" i="17"/>
  <c r="W26" i="17"/>
  <c r="W70" i="17"/>
  <c r="U52" i="17"/>
  <c r="G46" i="17"/>
  <c r="U42" i="17"/>
  <c r="BK44" i="17"/>
  <c r="BN44" i="17"/>
  <c r="J30" i="18" s="1"/>
  <c r="BK34" i="17"/>
  <c r="G30" i="18"/>
  <c r="BN34" i="17"/>
  <c r="H30" i="18" s="1"/>
  <c r="E30" i="18"/>
  <c r="BN24" i="17"/>
  <c r="F30" i="18" s="1"/>
  <c r="BK24" i="17"/>
  <c r="BA63" i="17"/>
  <c r="C30" i="18" s="1"/>
  <c r="AG23" i="17"/>
  <c r="U71" i="17"/>
  <c r="I36" i="17"/>
  <c r="W32" i="17"/>
  <c r="I56" i="17"/>
  <c r="W34" i="17"/>
  <c r="W63" i="17" s="1"/>
  <c r="W111" i="17" s="1"/>
  <c r="K26" i="17"/>
  <c r="U45" i="17"/>
  <c r="W45" i="17"/>
  <c r="W93" i="17" s="1"/>
  <c r="BK25" i="17"/>
  <c r="E15" i="18"/>
  <c r="BP25" i="17"/>
  <c r="F15" i="18" s="1"/>
  <c r="AE43" i="17"/>
  <c r="BA33" i="17"/>
  <c r="O23" i="17"/>
  <c r="S23" i="17"/>
  <c r="S26" i="17" s="1"/>
  <c r="S82" i="17"/>
  <c r="AE24" i="17"/>
  <c r="S72" i="17"/>
  <c r="AC24" i="17"/>
  <c r="BT45" i="17"/>
  <c r="J25" i="18" s="1"/>
  <c r="I25" i="18"/>
  <c r="E14" i="18"/>
  <c r="BP23" i="17"/>
  <c r="F14" i="18" s="1"/>
  <c r="BE45" i="17"/>
  <c r="BK45" i="17" s="1"/>
  <c r="BT52" i="17"/>
  <c r="L23" i="18" s="1"/>
  <c r="K23" i="18"/>
  <c r="BG61" i="17"/>
  <c r="C23" i="18" s="1"/>
  <c r="Y26" i="17"/>
  <c r="Y74" i="17" s="1"/>
  <c r="Y70" i="17"/>
  <c r="BG35" i="17"/>
  <c r="W43" i="17"/>
  <c r="BT25" i="17"/>
  <c r="F25" i="18" s="1"/>
  <c r="E25" i="18"/>
  <c r="BT62" i="17"/>
  <c r="D24" i="18" s="1"/>
  <c r="BG53" i="17"/>
  <c r="BG62" i="17" s="1"/>
  <c r="C24" i="18" s="1"/>
  <c r="BT64" i="17"/>
  <c r="D25" i="18" s="1"/>
  <c r="BG55" i="17"/>
  <c r="BA53" i="17"/>
  <c r="S33" i="17"/>
  <c r="O33" i="17"/>
  <c r="BE33" i="17"/>
  <c r="O24" i="17"/>
  <c r="BT43" i="17"/>
  <c r="J24" i="18" s="1"/>
  <c r="I24" i="18"/>
  <c r="BT33" i="17"/>
  <c r="H24" i="18" s="1"/>
  <c r="G24" i="18"/>
  <c r="E24" i="18"/>
  <c r="BT23" i="17"/>
  <c r="F24" i="18" s="1"/>
  <c r="Y35" i="17"/>
  <c r="Y83" i="17" s="1"/>
  <c r="Y73" i="17"/>
  <c r="BP45" i="17"/>
  <c r="J15" i="18" s="1"/>
  <c r="I15" i="18"/>
  <c r="U33" i="17"/>
  <c r="Y52" i="17"/>
  <c r="Y42" i="17"/>
  <c r="K46" i="17"/>
  <c r="AE34" i="17"/>
  <c r="U70" i="17"/>
  <c r="AG22" i="17"/>
  <c r="O43" i="17"/>
  <c r="Y43" i="17"/>
  <c r="AG55" i="17"/>
  <c r="AC55" i="17"/>
  <c r="Y33" i="17"/>
  <c r="Y81" i="17" s="1"/>
  <c r="Y53" i="17"/>
  <c r="K56" i="17"/>
  <c r="S102" i="17" l="1"/>
  <c r="S56" i="17"/>
  <c r="AE54" i="17"/>
  <c r="S63" i="17"/>
  <c r="BC62" i="17"/>
  <c r="C14" i="18" s="1"/>
  <c r="AE53" i="17"/>
  <c r="BE62" i="17"/>
  <c r="C19" i="18" s="1"/>
  <c r="BP33" i="17"/>
  <c r="H14" i="18" s="1"/>
  <c r="S92" i="17"/>
  <c r="O26" i="17"/>
  <c r="AE44" i="17"/>
  <c r="AC44" i="17"/>
  <c r="AK44" i="17" s="1"/>
  <c r="BE64" i="17"/>
  <c r="C20" i="18" s="1"/>
  <c r="AC43" i="17"/>
  <c r="AK43" i="17" s="1"/>
  <c r="W64" i="17"/>
  <c r="W112" i="17" s="1"/>
  <c r="U103" i="17"/>
  <c r="Y61" i="17"/>
  <c r="Y109" i="17" s="1"/>
  <c r="W46" i="17"/>
  <c r="AI46" i="17" s="1"/>
  <c r="W102" i="17"/>
  <c r="O56" i="17"/>
  <c r="Y101" i="17"/>
  <c r="AC34" i="17"/>
  <c r="AC82" i="17" s="1"/>
  <c r="W11" i="18" s="1"/>
  <c r="BK61" i="17"/>
  <c r="AC26" i="17"/>
  <c r="AE26" i="17"/>
  <c r="S74" i="17"/>
  <c r="AG42" i="17"/>
  <c r="U90" i="17"/>
  <c r="U46" i="17"/>
  <c r="AG26" i="17"/>
  <c r="U74" i="17"/>
  <c r="U81" i="17"/>
  <c r="AG33" i="17"/>
  <c r="AI32" i="17"/>
  <c r="W80" i="17"/>
  <c r="W36" i="17"/>
  <c r="Y103" i="17"/>
  <c r="W90" i="17"/>
  <c r="U61" i="17"/>
  <c r="Y93" i="17"/>
  <c r="BT53" i="17"/>
  <c r="L24" i="18" s="1"/>
  <c r="K24" i="18"/>
  <c r="AC23" i="17"/>
  <c r="S71" i="17"/>
  <c r="S62" i="17"/>
  <c r="AE23" i="17"/>
  <c r="AG52" i="17"/>
  <c r="U100" i="17"/>
  <c r="U56" i="17"/>
  <c r="U83" i="17"/>
  <c r="AC35" i="17"/>
  <c r="AG35" i="17"/>
  <c r="BR35" i="17"/>
  <c r="H20" i="18" s="1"/>
  <c r="G20" i="18"/>
  <c r="S100" i="17"/>
  <c r="AC42" i="17"/>
  <c r="S46" i="17"/>
  <c r="S90" i="17"/>
  <c r="AE42" i="17"/>
  <c r="S36" i="17"/>
  <c r="AE32" i="17"/>
  <c r="AC32" i="17"/>
  <c r="S80" i="17"/>
  <c r="Y100" i="17"/>
  <c r="Y56" i="17"/>
  <c r="K25" i="18"/>
  <c r="BT55" i="17"/>
  <c r="L25" i="18" s="1"/>
  <c r="AK55" i="17"/>
  <c r="Z12" i="18"/>
  <c r="U62" i="17"/>
  <c r="AI56" i="17"/>
  <c r="BR55" i="17"/>
  <c r="L20" i="18" s="1"/>
  <c r="K20" i="18"/>
  <c r="U36" i="17"/>
  <c r="S61" i="17"/>
  <c r="BK53" i="17"/>
  <c r="K19" i="18"/>
  <c r="BR53" i="17"/>
  <c r="L19" i="18" s="1"/>
  <c r="BK55" i="17"/>
  <c r="U101" i="17"/>
  <c r="G19" i="18"/>
  <c r="BR33" i="17"/>
  <c r="H19" i="18" s="1"/>
  <c r="BG64" i="17"/>
  <c r="C25" i="18" s="1"/>
  <c r="G29" i="18"/>
  <c r="BN33" i="17"/>
  <c r="H29" i="18" s="1"/>
  <c r="BK33" i="17"/>
  <c r="W74" i="17"/>
  <c r="AI26" i="17"/>
  <c r="AE56" i="17"/>
  <c r="I14" i="18"/>
  <c r="BP43" i="17"/>
  <c r="J14" i="18" s="1"/>
  <c r="U91" i="17"/>
  <c r="AC63" i="17"/>
  <c r="S111" i="17"/>
  <c r="AE63" i="17"/>
  <c r="Z11" i="18"/>
  <c r="AK54" i="17"/>
  <c r="AK24" i="17"/>
  <c r="AC72" i="17"/>
  <c r="U11" i="18" s="1"/>
  <c r="T11" i="18"/>
  <c r="AG45" i="17"/>
  <c r="U93" i="17"/>
  <c r="AC45" i="17"/>
  <c r="W61" i="17"/>
  <c r="W100" i="17"/>
  <c r="O36" i="17"/>
  <c r="U73" i="17"/>
  <c r="U64" i="17"/>
  <c r="AC25" i="17"/>
  <c r="AG25" i="17"/>
  <c r="BP53" i="17"/>
  <c r="L14" i="18" s="1"/>
  <c r="K14" i="18"/>
  <c r="Y91" i="17"/>
  <c r="O46" i="17"/>
  <c r="Y64" i="17"/>
  <c r="Y112" i="17" s="1"/>
  <c r="S81" i="17"/>
  <c r="AE33" i="17"/>
  <c r="AC33" i="17"/>
  <c r="W91" i="17"/>
  <c r="W62" i="17"/>
  <c r="W110" i="17" s="1"/>
  <c r="I20" i="18"/>
  <c r="BR45" i="17"/>
  <c r="J20" i="18" s="1"/>
  <c r="S91" i="17"/>
  <c r="AC52" i="17"/>
  <c r="Y36" i="17"/>
  <c r="Y84" i="17" s="1"/>
  <c r="Y80" i="17"/>
  <c r="Y62" i="17"/>
  <c r="AC53" i="17"/>
  <c r="W103" i="17"/>
  <c r="Y90" i="17"/>
  <c r="Y46" i="17"/>
  <c r="BA62" i="17"/>
  <c r="C29" i="18" s="1"/>
  <c r="K29" i="18"/>
  <c r="BN53" i="17"/>
  <c r="L29" i="18" s="1"/>
  <c r="G25" i="18"/>
  <c r="BT35" i="17"/>
  <c r="H25" i="18" s="1"/>
  <c r="W82" i="17"/>
  <c r="W92" i="17"/>
  <c r="BK63" i="17"/>
  <c r="W101" i="17"/>
  <c r="BP35" i="17"/>
  <c r="H15" i="18" s="1"/>
  <c r="G15" i="18"/>
  <c r="BK35" i="17"/>
  <c r="AC70" i="17"/>
  <c r="U9" i="18" s="1"/>
  <c r="AK22" i="17"/>
  <c r="T9" i="18"/>
  <c r="S101" i="17"/>
  <c r="X11" i="18" l="1"/>
  <c r="BK64" i="17"/>
  <c r="BK62" i="17"/>
  <c r="X10" i="18"/>
  <c r="W94" i="17"/>
  <c r="S104" i="17"/>
  <c r="AC92" i="17"/>
  <c r="Y11" i="18" s="1"/>
  <c r="V11" i="18"/>
  <c r="AK34" i="17"/>
  <c r="AC102" i="17"/>
  <c r="AA11" i="18" s="1"/>
  <c r="AC103" i="17"/>
  <c r="AA12" i="18" s="1"/>
  <c r="AC91" i="17"/>
  <c r="Y10" i="18" s="1"/>
  <c r="Z9" i="18"/>
  <c r="AK52" i="17"/>
  <c r="AC100" i="17"/>
  <c r="AA9" i="18" s="1"/>
  <c r="AG64" i="17"/>
  <c r="U112" i="17"/>
  <c r="AC64" i="17"/>
  <c r="W104" i="17"/>
  <c r="Y104" i="17"/>
  <c r="S94" i="17"/>
  <c r="AE46" i="17"/>
  <c r="AC46" i="17"/>
  <c r="AG56" i="17"/>
  <c r="U104" i="17"/>
  <c r="Y94" i="17"/>
  <c r="R11" i="18"/>
  <c r="AK63" i="17"/>
  <c r="AC111" i="17"/>
  <c r="S11" i="18" s="1"/>
  <c r="AG62" i="17"/>
  <c r="U110" i="17"/>
  <c r="X9" i="18"/>
  <c r="AK42" i="17"/>
  <c r="AC90" i="17"/>
  <c r="Y9" i="18" s="1"/>
  <c r="U65" i="17"/>
  <c r="U109" i="17"/>
  <c r="AG61" i="17"/>
  <c r="AE61" i="17"/>
  <c r="AC61" i="17"/>
  <c r="S65" i="17"/>
  <c r="S109" i="17"/>
  <c r="AK32" i="17"/>
  <c r="AC80" i="17"/>
  <c r="W9" i="18" s="1"/>
  <c r="V9" i="18"/>
  <c r="Z10" i="18"/>
  <c r="AK53" i="17"/>
  <c r="AC101" i="17"/>
  <c r="AA10" i="18" s="1"/>
  <c r="U84" i="17"/>
  <c r="AG36" i="17"/>
  <c r="AE62" i="17"/>
  <c r="AC62" i="17"/>
  <c r="S110" i="17"/>
  <c r="T12" i="18"/>
  <c r="AC73" i="17"/>
  <c r="U12" i="18" s="1"/>
  <c r="AK25" i="17"/>
  <c r="Y65" i="17"/>
  <c r="Y113" i="17" s="1"/>
  <c r="Y110" i="17"/>
  <c r="AI61" i="17"/>
  <c r="W109" i="17"/>
  <c r="W65" i="17"/>
  <c r="AC56" i="17"/>
  <c r="AC36" i="17"/>
  <c r="S84" i="17"/>
  <c r="AE36" i="17"/>
  <c r="AI36" i="17"/>
  <c r="W84" i="17"/>
  <c r="AC81" i="17"/>
  <c r="W10" i="18" s="1"/>
  <c r="V10" i="18"/>
  <c r="AK33" i="17"/>
  <c r="AK45" i="17"/>
  <c r="X12" i="18"/>
  <c r="AC93" i="17"/>
  <c r="Y12" i="18" s="1"/>
  <c r="AK35" i="17"/>
  <c r="AC83" i="17"/>
  <c r="W12" i="18" s="1"/>
  <c r="V12" i="18"/>
  <c r="T10" i="18"/>
  <c r="AK23" i="17"/>
  <c r="AC71" i="17"/>
  <c r="U10" i="18" s="1"/>
  <c r="AG46" i="17"/>
  <c r="U94" i="17"/>
  <c r="AK26" i="17"/>
  <c r="AC74" i="17"/>
  <c r="U13" i="18" s="1"/>
  <c r="T13" i="18" l="1"/>
  <c r="T15" i="18" s="1"/>
  <c r="X13" i="18"/>
  <c r="X15" i="18" s="1"/>
  <c r="AG65" i="17"/>
  <c r="U113" i="17"/>
  <c r="AC112" i="17"/>
  <c r="S12" i="18" s="1"/>
  <c r="R12" i="18"/>
  <c r="AK64" i="17"/>
  <c r="AC110" i="17"/>
  <c r="S10" i="18" s="1"/>
  <c r="AK62" i="17"/>
  <c r="R10" i="18"/>
  <c r="AE65" i="17"/>
  <c r="S113" i="17"/>
  <c r="R9" i="18"/>
  <c r="AC65" i="17"/>
  <c r="AC109" i="17"/>
  <c r="S9" i="18" s="1"/>
  <c r="AK61" i="17"/>
  <c r="AK36" i="17"/>
  <c r="AC84" i="17"/>
  <c r="W13" i="18" s="1"/>
  <c r="AK46" i="17"/>
  <c r="AC94" i="17"/>
  <c r="Y13" i="18" s="1"/>
  <c r="AK56" i="17"/>
  <c r="AC104" i="17"/>
  <c r="AA13" i="18" s="1"/>
  <c r="AI65" i="17"/>
  <c r="W113" i="17"/>
  <c r="V13" i="18"/>
  <c r="V15" i="18" s="1"/>
  <c r="Z13" i="18"/>
  <c r="Z15" i="18" s="1"/>
  <c r="AC113" i="17" l="1"/>
  <c r="S13" i="18" s="1"/>
  <c r="AK65" i="17"/>
  <c r="R13" i="18"/>
  <c r="R15" i="18" s="1"/>
</calcChain>
</file>

<file path=xl/sharedStrings.xml><?xml version="1.0" encoding="utf-8"?>
<sst xmlns="http://schemas.openxmlformats.org/spreadsheetml/2006/main" count="2128" uniqueCount="156">
  <si>
    <t>Total</t>
  </si>
  <si>
    <t>Class: Residential</t>
  </si>
  <si>
    <t>Usage by Rate Increment (100G)</t>
  </si>
  <si>
    <t>Over 120</t>
  </si>
  <si>
    <t>Totals</t>
  </si>
  <si>
    <t>Bills</t>
  </si>
  <si>
    <t>First 120</t>
  </si>
  <si>
    <t>Class: Commercial</t>
  </si>
  <si>
    <t>First 20</t>
  </si>
  <si>
    <t>Next 10</t>
  </si>
  <si>
    <t>Next 20</t>
  </si>
  <si>
    <t>Next 50</t>
  </si>
  <si>
    <t>Next 100</t>
  </si>
  <si>
    <t>Next 200</t>
  </si>
  <si>
    <t>Over 400</t>
  </si>
  <si>
    <t>Rates</t>
  </si>
  <si>
    <t>Revenue</t>
  </si>
  <si>
    <t>Kentucky American Water</t>
  </si>
  <si>
    <t>Residential</t>
  </si>
  <si>
    <t>Commercial</t>
  </si>
  <si>
    <t>Industrial</t>
  </si>
  <si>
    <t>OPA</t>
  </si>
  <si>
    <t>Line #</t>
  </si>
  <si>
    <t>Class</t>
  </si>
  <si>
    <t>Minimum Bill</t>
  </si>
  <si>
    <t>100 Gallons</t>
  </si>
  <si>
    <t>First 20  100 Gallons</t>
  </si>
  <si>
    <t>Next 10 100 Gallons</t>
  </si>
  <si>
    <t>Next 20 100 Gallons</t>
  </si>
  <si>
    <t>Next 50 100 Gallons</t>
  </si>
  <si>
    <t>Next 100 100 Gallons</t>
  </si>
  <si>
    <t>Next 200 100 Gallons</t>
  </si>
  <si>
    <t>Over 400 100 Gallons</t>
  </si>
  <si>
    <t>Over 120 100 Gallons</t>
  </si>
  <si>
    <t>First 20 100 Gallons</t>
  </si>
  <si>
    <t>Rate Notes</t>
  </si>
  <si>
    <t>Per 100 Gallon</t>
  </si>
  <si>
    <t>Residential Class</t>
  </si>
  <si>
    <t>Commercial Class</t>
  </si>
  <si>
    <t>Industrial Class</t>
  </si>
  <si>
    <t>Other Public Authority Class</t>
  </si>
  <si>
    <t>Usage Table</t>
  </si>
  <si>
    <t>Revenue by Rate Increment (100G)</t>
  </si>
  <si>
    <t>Year 1</t>
  </si>
  <si>
    <t>Year 2</t>
  </si>
  <si>
    <t>Revenue Table - Proposed Year 1</t>
  </si>
  <si>
    <t>Revenue Table - Present Rates</t>
  </si>
  <si>
    <t>Revenue Table - Proposed Year 2</t>
  </si>
  <si>
    <t>All Classes Summary and Comparison to Proposed Rates</t>
  </si>
  <si>
    <t>Rockwell</t>
  </si>
  <si>
    <t>Residential - Rockwell</t>
  </si>
  <si>
    <t>Commercial - Rockwell</t>
  </si>
  <si>
    <t>Average Usage / Bill in 100G</t>
  </si>
  <si>
    <t>First 120 100 Gallons</t>
  </si>
  <si>
    <t>Average Bill Increase</t>
  </si>
  <si>
    <t>Present Rates</t>
  </si>
  <si>
    <t>Average Bill Dollars</t>
  </si>
  <si>
    <t>Revenue Increase</t>
  </si>
  <si>
    <t>Revenues</t>
  </si>
  <si>
    <t>Proposed Rates Year 1</t>
  </si>
  <si>
    <t>Proposed Rates Year 2</t>
  </si>
  <si>
    <t>Total (Year 1 + Year 2)</t>
  </si>
  <si>
    <t>Basis for Average Bill Dollars</t>
  </si>
  <si>
    <t>Proposed Rates- Year 1</t>
  </si>
  <si>
    <t>Proposed Rates- Year 2</t>
  </si>
  <si>
    <t>Sewer Utility Bill Analysis</t>
  </si>
  <si>
    <t>Sewer Utility - Bill Analysis Consolidation</t>
  </si>
  <si>
    <t>Percent Increase</t>
  </si>
  <si>
    <t>Owenton Inside</t>
  </si>
  <si>
    <t>Industrial - Rockwell</t>
  </si>
  <si>
    <t>Residential - Owenton</t>
  </si>
  <si>
    <t>Twelve Months Ended 12/31/20</t>
  </si>
  <si>
    <t>Owenton</t>
  </si>
  <si>
    <t>Revenue Table - Proposed Year 3</t>
  </si>
  <si>
    <t>Revenue Table - Proposed Year 4</t>
  </si>
  <si>
    <t>Commercial - Owenton</t>
  </si>
  <si>
    <t>Industrial - Owenton</t>
  </si>
  <si>
    <t>Other Public Authority - Owenton</t>
  </si>
  <si>
    <t>Sewer Utility Bill Analysis - 12 Months Ended 12/31/20</t>
  </si>
  <si>
    <t>Bill Analysis - 2020 Present Rates</t>
  </si>
  <si>
    <t>Proposed Rates Year 3</t>
  </si>
  <si>
    <t>Year 3</t>
  </si>
  <si>
    <t>Proposed Rates- Year 3</t>
  </si>
  <si>
    <t>Next 30 100 Gallons</t>
  </si>
  <si>
    <t>Over 100 100 Gallons</t>
  </si>
  <si>
    <t>Meter Less than 1"</t>
  </si>
  <si>
    <t>Proposed Rates Year 4</t>
  </si>
  <si>
    <t>Year 4</t>
  </si>
  <si>
    <t>Proposed Rates- Year 4</t>
  </si>
  <si>
    <t>Meter 1" and Larger</t>
  </si>
  <si>
    <t>Total (Year 1 + Year 2 + Year 3 + Year 4)</t>
  </si>
  <si>
    <t>Less than 1"</t>
  </si>
  <si>
    <t>1" and Larger</t>
  </si>
  <si>
    <t>Residential - Millersburg</t>
  </si>
  <si>
    <t>All Usage</t>
  </si>
  <si>
    <t>Four Year Phase-In</t>
  </si>
  <si>
    <t>Total Usage</t>
  </si>
  <si>
    <t>Check</t>
  </si>
  <si>
    <t>Commercial - Millersburg</t>
  </si>
  <si>
    <t>Millersburg</t>
  </si>
  <si>
    <t>Other Public Authority - Millersburg</t>
  </si>
  <si>
    <t>Class: Other Public Authority</t>
  </si>
  <si>
    <t>Residential - North Middletown</t>
  </si>
  <si>
    <t>North Middletown</t>
  </si>
  <si>
    <t>Next 30</t>
  </si>
  <si>
    <t>First 20 100 gallons</t>
  </si>
  <si>
    <t>Next 30 100 gallons</t>
  </si>
  <si>
    <t>Next 50 100 gallons</t>
  </si>
  <si>
    <t>Over 100 100 gallons</t>
  </si>
  <si>
    <t>Commercial - North Middletown</t>
  </si>
  <si>
    <t>Other Public Authority - North Middletown</t>
  </si>
  <si>
    <t>N. Middletown</t>
  </si>
  <si>
    <t>Ridgewood</t>
  </si>
  <si>
    <t>Revenue from Present/Proposed Rates</t>
  </si>
  <si>
    <t>Ridgewood Subdivision</t>
  </si>
  <si>
    <t>Number of Customers</t>
  </si>
  <si>
    <t>Flat Monthly Rate</t>
  </si>
  <si>
    <t>Annual Revenue</t>
  </si>
  <si>
    <t>Current Rate</t>
  </si>
  <si>
    <t>Proposed Year 1 Rate</t>
  </si>
  <si>
    <t>Proposed Year 2 Rate</t>
  </si>
  <si>
    <t>Proposed Year 3 Rate</t>
  </si>
  <si>
    <t>Proposed Year 4 Rate</t>
  </si>
  <si>
    <t>Average</t>
  </si>
  <si>
    <t>Perecent Increase</t>
  </si>
  <si>
    <t>Class: Industrial</t>
  </si>
  <si>
    <t xml:space="preserve">Owenton </t>
  </si>
  <si>
    <t>Area</t>
  </si>
  <si>
    <t>Average Usage</t>
  </si>
  <si>
    <t>Total Impact on Average Bill</t>
  </si>
  <si>
    <t>June 2022 Impact</t>
  </si>
  <si>
    <t>June 2023 Impact</t>
  </si>
  <si>
    <t>June 2024 Impact</t>
  </si>
  <si>
    <t>June 2025 Impact</t>
  </si>
  <si>
    <t>Total Requested Increase</t>
  </si>
  <si>
    <t>Total Percent Increase</t>
  </si>
  <si>
    <t>Total Increase June 1, 2022</t>
  </si>
  <si>
    <t>Total Increase June 1, 2023</t>
  </si>
  <si>
    <t>Percent Increase June 1, 2022</t>
  </si>
  <si>
    <t>Percent Increase June 1, 2023</t>
  </si>
  <si>
    <t>Total Increase June 1, 2024</t>
  </si>
  <si>
    <t>Percent Increase June 1, 2024</t>
  </si>
  <si>
    <t>Total Increase June 1, 2025</t>
  </si>
  <si>
    <t>Percent Increase June 1, 2025</t>
  </si>
  <si>
    <t>Kentucky Wastewater</t>
  </si>
  <si>
    <t>2021 Rate Case</t>
  </si>
  <si>
    <t>Customer Impacts</t>
  </si>
  <si>
    <t>Service Charge</t>
  </si>
  <si>
    <t>First 2000</t>
  </si>
  <si>
    <t>Next 3000</t>
  </si>
  <si>
    <t>Next 5000</t>
  </si>
  <si>
    <t>Over 10000</t>
  </si>
  <si>
    <t>Billing Units</t>
  </si>
  <si>
    <t>BILLING ANALYSIS - RIDGEWOOD</t>
  </si>
  <si>
    <t>Increase Basis: Four year phase-in of rates with unified rates in year four</t>
  </si>
  <si>
    <t>Option 3 - Monthly fixed charges proportional to original fixed charges with 50% fixed charge recovery (original was 60%)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</si>
</sst>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##,000"/>
    <numFmt numFmtId="166" formatCode="_(* #,##0_);_(* \(#,##0\);_(* &quot;-&quot;??_);_(@_)"/>
    <numFmt numFmtId="167" formatCode="_(* #,##0.0_);_(* \(#,##0.0\);_(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" fillId="2" borderId="9" applyNumberFormat="0" applyAlignment="0" applyProtection="0">
      <alignment horizontal="left" vertical="center" indent="1"/>
    </xf>
    <xf numFmtId="165" fontId="3" fillId="0" borderId="10" applyNumberFormat="0" applyProtection="0">
      <alignment horizontal="right" vertical="center"/>
    </xf>
    <xf numFmtId="165" fontId="2" fillId="0" borderId="11" applyNumberFormat="0" applyProtection="0">
      <alignment horizontal="right" vertical="center"/>
    </xf>
    <xf numFmtId="0" fontId="4" fillId="0" borderId="12" applyNumberFormat="0" applyFill="0" applyBorder="0" applyAlignment="0" applyProtection="0"/>
    <xf numFmtId="0" fontId="5" fillId="3" borderId="11" applyNumberFormat="0" applyAlignment="0" applyProtection="0">
      <alignment horizontal="left" vertical="center" indent="1"/>
    </xf>
    <xf numFmtId="0" fontId="5" fillId="4" borderId="11" applyNumberFormat="0" applyAlignment="0" applyProtection="0">
      <alignment horizontal="left" vertical="center" indent="1"/>
    </xf>
    <xf numFmtId="165" fontId="3" fillId="5" borderId="10" applyNumberFormat="0" applyBorder="0" applyProtection="0">
      <alignment horizontal="right" vertical="center"/>
    </xf>
    <xf numFmtId="0" fontId="5" fillId="3" borderId="11" applyNumberFormat="0" applyAlignment="0" applyProtection="0">
      <alignment horizontal="left" vertical="center" indent="1"/>
    </xf>
    <xf numFmtId="165" fontId="2" fillId="4" borderId="11" applyNumberFormat="0" applyProtection="0">
      <alignment horizontal="right" vertical="center"/>
    </xf>
    <xf numFmtId="165" fontId="2" fillId="5" borderId="11" applyNumberFormat="0" applyBorder="0" applyProtection="0">
      <alignment horizontal="right" vertical="center"/>
    </xf>
    <xf numFmtId="165" fontId="6" fillId="6" borderId="13" applyNumberFormat="0" applyBorder="0" applyAlignment="0" applyProtection="0">
      <alignment horizontal="right" vertical="center" indent="1"/>
    </xf>
    <xf numFmtId="165" fontId="7" fillId="7" borderId="13" applyNumberFormat="0" applyBorder="0" applyAlignment="0" applyProtection="0">
      <alignment horizontal="right" vertical="center" indent="1"/>
    </xf>
    <xf numFmtId="165" fontId="7" fillId="8" borderId="13" applyNumberFormat="0" applyBorder="0" applyAlignment="0" applyProtection="0">
      <alignment horizontal="right" vertical="center" indent="1"/>
    </xf>
    <xf numFmtId="165" fontId="8" fillId="9" borderId="13" applyNumberFormat="0" applyBorder="0" applyAlignment="0" applyProtection="0">
      <alignment horizontal="right" vertical="center" indent="1"/>
    </xf>
    <xf numFmtId="165" fontId="8" fillId="10" borderId="13" applyNumberFormat="0" applyBorder="0" applyAlignment="0" applyProtection="0">
      <alignment horizontal="right" vertical="center" indent="1"/>
    </xf>
    <xf numFmtId="165" fontId="8" fillId="11" borderId="13" applyNumberFormat="0" applyBorder="0" applyAlignment="0" applyProtection="0">
      <alignment horizontal="right" vertical="center" indent="1"/>
    </xf>
    <xf numFmtId="165" fontId="9" fillId="12" borderId="13" applyNumberFormat="0" applyBorder="0" applyAlignment="0" applyProtection="0">
      <alignment horizontal="right" vertical="center" indent="1"/>
    </xf>
    <xf numFmtId="165" fontId="9" fillId="13" borderId="13" applyNumberFormat="0" applyBorder="0" applyAlignment="0" applyProtection="0">
      <alignment horizontal="right" vertical="center" indent="1"/>
    </xf>
    <xf numFmtId="165" fontId="9" fillId="14" borderId="13" applyNumberFormat="0" applyBorder="0" applyAlignment="0" applyProtection="0">
      <alignment horizontal="right" vertical="center" indent="1"/>
    </xf>
    <xf numFmtId="0" fontId="10" fillId="0" borderId="9" applyNumberFormat="0" applyFont="0" applyFill="0" applyAlignment="0" applyProtection="0"/>
    <xf numFmtId="165" fontId="3" fillId="15" borderId="9" applyNumberFormat="0" applyAlignment="0" applyProtection="0">
      <alignment horizontal="left" vertical="center" indent="1"/>
    </xf>
    <xf numFmtId="0" fontId="2" fillId="2" borderId="11" applyNumberFormat="0" applyAlignment="0" applyProtection="0">
      <alignment horizontal="left" vertical="center" indent="1"/>
    </xf>
    <xf numFmtId="0" fontId="5" fillId="16" borderId="9" applyNumberFormat="0" applyAlignment="0" applyProtection="0">
      <alignment horizontal="left" vertical="center" indent="1"/>
    </xf>
    <xf numFmtId="0" fontId="5" fillId="17" borderId="9" applyNumberFormat="0" applyAlignment="0" applyProtection="0">
      <alignment horizontal="left" vertical="center" indent="1"/>
    </xf>
    <xf numFmtId="0" fontId="5" fillId="18" borderId="9" applyNumberFormat="0" applyAlignment="0" applyProtection="0">
      <alignment horizontal="left" vertical="center" indent="1"/>
    </xf>
    <xf numFmtId="0" fontId="5" fillId="5" borderId="9" applyNumberFormat="0" applyAlignment="0" applyProtection="0">
      <alignment horizontal="left" vertical="center" indent="1"/>
    </xf>
    <xf numFmtId="0" fontId="5" fillId="4" borderId="11" applyNumberFormat="0" applyAlignment="0" applyProtection="0">
      <alignment horizontal="left" vertical="center" indent="1"/>
    </xf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4" fontId="0" fillId="0" borderId="0" xfId="0" applyNumberFormat="1"/>
    <xf numFmtId="168" fontId="0" fillId="0" borderId="0" xfId="0" applyNumberFormat="1"/>
    <xf numFmtId="41" fontId="0" fillId="0" borderId="0" xfId="0" applyNumberFormat="1"/>
    <xf numFmtId="41" fontId="0" fillId="0" borderId="7" xfId="0" applyNumberFormat="1" applyBorder="1"/>
    <xf numFmtId="41" fontId="0" fillId="0" borderId="0" xfId="0" applyNumberFormat="1" applyBorder="1"/>
    <xf numFmtId="0" fontId="0" fillId="0" borderId="7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43" fontId="0" fillId="0" borderId="0" xfId="28" applyFont="1"/>
    <xf numFmtId="43" fontId="0" fillId="0" borderId="0" xfId="0" applyNumberFormat="1"/>
    <xf numFmtId="0" fontId="0" fillId="0" borderId="0" xfId="0" applyAlignment="1"/>
    <xf numFmtId="43" fontId="0" fillId="0" borderId="0" xfId="29" applyNumberFormat="1" applyFont="1"/>
    <xf numFmtId="43" fontId="0" fillId="0" borderId="0" xfId="29" applyNumberFormat="1" applyFont="1" applyAlignment="1">
      <alignment horizontal="center"/>
    </xf>
    <xf numFmtId="44" fontId="13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Border="1"/>
    <xf numFmtId="10" fontId="15" fillId="0" borderId="0" xfId="30" applyNumberFormat="1" applyFont="1" applyBorder="1"/>
    <xf numFmtId="10" fontId="15" fillId="0" borderId="7" xfId="30" applyNumberFormat="1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20" borderId="0" xfId="0" applyFill="1"/>
    <xf numFmtId="37" fontId="0" fillId="0" borderId="0" xfId="0" applyNumberFormat="1"/>
    <xf numFmtId="37" fontId="0" fillId="20" borderId="0" xfId="0" applyNumberFormat="1" applyFill="1"/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0" fillId="0" borderId="5" xfId="0" applyFill="1" applyBorder="1"/>
    <xf numFmtId="0" fontId="0" fillId="0" borderId="4" xfId="0" applyFill="1" applyBorder="1"/>
    <xf numFmtId="164" fontId="1" fillId="0" borderId="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37" fontId="0" fillId="0" borderId="0" xfId="0" applyNumberFormat="1" applyFill="1" applyBorder="1"/>
    <xf numFmtId="37" fontId="0" fillId="0" borderId="5" xfId="0" applyNumberFormat="1" applyFill="1" applyBorder="1"/>
    <xf numFmtId="0" fontId="1" fillId="0" borderId="6" xfId="0" applyFont="1" applyFill="1" applyBorder="1"/>
    <xf numFmtId="37" fontId="1" fillId="0" borderId="7" xfId="0" applyNumberFormat="1" applyFont="1" applyFill="1" applyBorder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6" fontId="0" fillId="0" borderId="0" xfId="28" applyNumberFormat="1" applyFont="1" applyFill="1" applyBorder="1"/>
    <xf numFmtId="169" fontId="0" fillId="0" borderId="0" xfId="29" applyNumberFormat="1" applyFont="1" applyFill="1" applyBorder="1"/>
    <xf numFmtId="44" fontId="0" fillId="0" borderId="0" xfId="29" applyFont="1" applyFill="1" applyBorder="1"/>
    <xf numFmtId="0" fontId="0" fillId="0" borderId="5" xfId="0" applyFill="1" applyBorder="1" applyAlignment="1">
      <alignment horizontal="center"/>
    </xf>
    <xf numFmtId="43" fontId="0" fillId="0" borderId="0" xfId="28" applyFont="1" applyFill="1" applyBorder="1"/>
    <xf numFmtId="166" fontId="1" fillId="0" borderId="7" xfId="28" applyNumberFormat="1" applyFont="1" applyFill="1" applyBorder="1"/>
    <xf numFmtId="166" fontId="1" fillId="0" borderId="7" xfId="0" applyNumberFormat="1" applyFont="1" applyFill="1" applyBorder="1"/>
    <xf numFmtId="0" fontId="1" fillId="0" borderId="7" xfId="0" applyFont="1" applyFill="1" applyBorder="1"/>
    <xf numFmtId="44" fontId="1" fillId="0" borderId="7" xfId="0" applyNumberFormat="1" applyFont="1" applyFill="1" applyBorder="1"/>
    <xf numFmtId="0" fontId="0" fillId="0" borderId="8" xfId="0" applyFill="1" applyBorder="1"/>
    <xf numFmtId="166" fontId="0" fillId="0" borderId="0" xfId="0" applyNumberFormat="1" applyFill="1"/>
    <xf numFmtId="44" fontId="0" fillId="0" borderId="0" xfId="29" applyFont="1" applyFill="1"/>
    <xf numFmtId="166" fontId="11" fillId="0" borderId="0" xfId="28" applyNumberFormat="1" applyFont="1" applyFill="1" applyBorder="1" applyAlignment="1">
      <alignment horizontal="center"/>
    </xf>
    <xf numFmtId="44" fontId="0" fillId="0" borderId="0" xfId="29" applyNumberFormat="1" applyFont="1" applyFill="1" applyBorder="1"/>
    <xf numFmtId="0" fontId="0" fillId="0" borderId="5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0" fillId="0" borderId="0" xfId="28" applyNumberFormat="1" applyFont="1"/>
    <xf numFmtId="166" fontId="0" fillId="0" borderId="0" xfId="0" applyNumberFormat="1"/>
    <xf numFmtId="166" fontId="0" fillId="20" borderId="0" xfId="28" applyNumberFormat="1" applyFont="1" applyFill="1"/>
    <xf numFmtId="168" fontId="0" fillId="0" borderId="2" xfId="0" applyNumberFormat="1" applyBorder="1"/>
    <xf numFmtId="44" fontId="0" fillId="0" borderId="0" xfId="29" applyFont="1"/>
    <xf numFmtId="171" fontId="0" fillId="0" borderId="0" xfId="30" applyNumberFormat="1" applyFont="1"/>
    <xf numFmtId="37" fontId="0" fillId="0" borderId="0" xfId="0" applyNumberFormat="1" applyFill="1"/>
    <xf numFmtId="43" fontId="0" fillId="0" borderId="0" xfId="0" applyNumberFormat="1" applyFill="1" applyBorder="1"/>
    <xf numFmtId="44" fontId="0" fillId="0" borderId="0" xfId="0" applyNumberFormat="1" applyFill="1" applyBorder="1"/>
    <xf numFmtId="10" fontId="0" fillId="0" borderId="0" xfId="30" applyNumberFormat="1" applyFont="1" applyFill="1" applyBorder="1"/>
    <xf numFmtId="167" fontId="0" fillId="0" borderId="0" xfId="28" applyNumberFormat="1" applyFont="1" applyFill="1" applyBorder="1"/>
    <xf numFmtId="0" fontId="1" fillId="0" borderId="0" xfId="0" applyFont="1" applyFill="1" applyAlignment="1"/>
    <xf numFmtId="164" fontId="0" fillId="0" borderId="4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37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/>
    <xf numFmtId="170" fontId="0" fillId="0" borderId="0" xfId="29" applyNumberFormat="1" applyFont="1" applyFill="1" applyBorder="1"/>
    <xf numFmtId="37" fontId="0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0" fillId="0" borderId="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4" fontId="0" fillId="0" borderId="0" xfId="29" applyNumberFormat="1" applyFont="1"/>
    <xf numFmtId="171" fontId="0" fillId="0" borderId="7" xfId="30" applyNumberFormat="1" applyFont="1" applyBorder="1"/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0" fillId="0" borderId="19" xfId="0" applyBorder="1"/>
    <xf numFmtId="0" fontId="17" fillId="0" borderId="19" xfId="0" applyFont="1" applyBorder="1"/>
    <xf numFmtId="44" fontId="0" fillId="0" borderId="19" xfId="0" applyNumberFormat="1" applyBorder="1"/>
    <xf numFmtId="171" fontId="0" fillId="0" borderId="19" xfId="30" applyNumberFormat="1" applyFont="1" applyBorder="1"/>
    <xf numFmtId="166" fontId="0" fillId="0" borderId="19" xfId="28" applyNumberFormat="1" applyFont="1" applyBorder="1"/>
    <xf numFmtId="44" fontId="0" fillId="0" borderId="19" xfId="29" applyFont="1" applyBorder="1"/>
    <xf numFmtId="168" fontId="0" fillId="0" borderId="19" xfId="29" applyNumberFormat="1" applyFont="1" applyBorder="1"/>
    <xf numFmtId="0" fontId="1" fillId="0" borderId="19" xfId="0" applyFont="1" applyBorder="1" applyAlignment="1">
      <alignment horizontal="left" indent="2"/>
    </xf>
    <xf numFmtId="168" fontId="0" fillId="0" borderId="19" xfId="0" applyNumberFormat="1" applyBorder="1"/>
    <xf numFmtId="0" fontId="1" fillId="0" borderId="19" xfId="0" applyFont="1" applyBorder="1"/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right"/>
    </xf>
    <xf numFmtId="44" fontId="15" fillId="0" borderId="0" xfId="29" applyNumberFormat="1" applyFont="1" applyFill="1" applyBorder="1"/>
    <xf numFmtId="169" fontId="15" fillId="0" borderId="0" xfId="29" applyNumberFormat="1" applyFont="1" applyFill="1" applyBorder="1"/>
    <xf numFmtId="0" fontId="11" fillId="0" borderId="0" xfId="31"/>
    <xf numFmtId="0" fontId="1" fillId="0" borderId="7" xfId="0" applyFont="1" applyBorder="1" applyAlignment="1">
      <alignment horizontal="center" wrapText="1"/>
    </xf>
    <xf numFmtId="0" fontId="13" fillId="0" borderId="0" xfId="0" applyFont="1"/>
    <xf numFmtId="44" fontId="13" fillId="0" borderId="0" xfId="29" applyFont="1"/>
    <xf numFmtId="44" fontId="13" fillId="0" borderId="15" xfId="0" applyNumberFormat="1" applyFont="1" applyBorder="1"/>
    <xf numFmtId="170" fontId="0" fillId="0" borderId="0" xfId="29" applyNumberFormat="1" applyFont="1"/>
    <xf numFmtId="0" fontId="11" fillId="0" borderId="0" xfId="0" applyFont="1"/>
    <xf numFmtId="166" fontId="0" fillId="0" borderId="19" xfId="28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19" borderId="7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6" fillId="19" borderId="7" xfId="0" applyFont="1" applyFill="1" applyBorder="1" applyAlignment="1">
      <alignment horizontal="center"/>
    </xf>
    <xf numFmtId="0" fontId="1" fillId="19" borderId="7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/>
    </xf>
  </cellXfs>
  <cellStyles count="32">
    <cellStyle name="Comma" xfId="28" builtinId="3"/>
    <cellStyle name="Currency" xfId="29" builtinId="4"/>
    <cellStyle name="Normal" xfId="0" builtinId="0"/>
    <cellStyle name="Normal 4" xfId="31" xr:uid="{A544243B-EE67-49F3-808D-0F3B60847029}"/>
    <cellStyle name="Percent" xfId="30" builtinId="5"/>
    <cellStyle name="SAPBorder" xfId="20" xr:uid="{00000000-0005-0000-0000-000004000000}"/>
    <cellStyle name="SAPDataCell" xfId="2" xr:uid="{00000000-0005-0000-0000-000005000000}"/>
    <cellStyle name="SAPDataTotalCell" xfId="3" xr:uid="{00000000-0005-0000-0000-000006000000}"/>
    <cellStyle name="SAPDimensionCell" xfId="1" xr:uid="{00000000-0005-0000-0000-000007000000}"/>
    <cellStyle name="SAPEditableDataCell" xfId="5" xr:uid="{00000000-0005-0000-0000-000008000000}"/>
    <cellStyle name="SAPEditableDataTotalCell" xfId="8" xr:uid="{00000000-0005-0000-0000-000009000000}"/>
    <cellStyle name="SAPEmphasized" xfId="4" xr:uid="{00000000-0005-0000-0000-00000A000000}"/>
    <cellStyle name="SAPExceptionLevel1" xfId="11" xr:uid="{00000000-0005-0000-0000-00000B000000}"/>
    <cellStyle name="SAPExceptionLevel2" xfId="12" xr:uid="{00000000-0005-0000-0000-00000C000000}"/>
    <cellStyle name="SAPExceptionLevel3" xfId="13" xr:uid="{00000000-0005-0000-0000-00000D000000}"/>
    <cellStyle name="SAPExceptionLevel4" xfId="14" xr:uid="{00000000-0005-0000-0000-00000E000000}"/>
    <cellStyle name="SAPExceptionLevel5" xfId="15" xr:uid="{00000000-0005-0000-0000-00000F000000}"/>
    <cellStyle name="SAPExceptionLevel6" xfId="16" xr:uid="{00000000-0005-0000-0000-000010000000}"/>
    <cellStyle name="SAPExceptionLevel7" xfId="17" xr:uid="{00000000-0005-0000-0000-000011000000}"/>
    <cellStyle name="SAPExceptionLevel8" xfId="18" xr:uid="{00000000-0005-0000-0000-000012000000}"/>
    <cellStyle name="SAPExceptionLevel9" xfId="19" xr:uid="{00000000-0005-0000-0000-000013000000}"/>
    <cellStyle name="SAPHierarchyCell0" xfId="23" xr:uid="{00000000-0005-0000-0000-000014000000}"/>
    <cellStyle name="SAPHierarchyCell1" xfId="24" xr:uid="{00000000-0005-0000-0000-000015000000}"/>
    <cellStyle name="SAPHierarchyCell2" xfId="25" xr:uid="{00000000-0005-0000-0000-000016000000}"/>
    <cellStyle name="SAPHierarchyCell3" xfId="26" xr:uid="{00000000-0005-0000-0000-000017000000}"/>
    <cellStyle name="SAPHierarchyCell4" xfId="27" xr:uid="{00000000-0005-0000-0000-000018000000}"/>
    <cellStyle name="SAPLockedDataCell" xfId="7" xr:uid="{00000000-0005-0000-0000-000019000000}"/>
    <cellStyle name="SAPLockedDataTotalCell" xfId="10" xr:uid="{00000000-0005-0000-0000-00001A000000}"/>
    <cellStyle name="SAPMemberCell" xfId="21" xr:uid="{00000000-0005-0000-0000-00001B000000}"/>
    <cellStyle name="SAPMemberTotalCell" xfId="22" xr:uid="{00000000-0005-0000-0000-00001C000000}"/>
    <cellStyle name="SAPReadonlyDataCell" xfId="6" xr:uid="{00000000-0005-0000-0000-00001D000000}"/>
    <cellStyle name="SAPReadonlyDataTotalCell" xfId="9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9"/>
  <sheetViews>
    <sheetView tabSelected="1" zoomScale="80" zoomScaleNormal="80" zoomScaleSheetLayoutView="40" workbookViewId="0">
      <selection activeCell="D47" sqref="D47"/>
    </sheetView>
  </sheetViews>
  <sheetFormatPr defaultRowHeight="14.4" x14ac:dyDescent="0.3"/>
  <cols>
    <col min="1" max="1" width="24.5546875" style="12" bestFit="1" customWidth="1"/>
    <col min="2" max="2" width="12.109375" style="12" customWidth="1"/>
    <col min="3" max="3" width="12.6640625" style="12" customWidth="1"/>
    <col min="4" max="4" width="12.5546875" style="12" bestFit="1" customWidth="1"/>
    <col min="5" max="5" width="14.88671875" style="12" customWidth="1"/>
    <col min="6" max="6" width="15.44140625" style="12" customWidth="1"/>
    <col min="7" max="7" width="1.5546875" customWidth="1"/>
    <col min="8" max="8" width="26" style="12" customWidth="1"/>
    <col min="9" max="9" width="12.44140625" style="12" customWidth="1"/>
    <col min="10" max="10" width="11.5546875" style="12" customWidth="1"/>
    <col min="11" max="11" width="14" style="12" customWidth="1"/>
    <col min="12" max="12" width="18.109375" style="12" customWidth="1"/>
    <col min="13" max="13" width="14.5546875" style="12" bestFit="1" customWidth="1"/>
    <col min="14" max="17" width="12.6640625" style="12" customWidth="1"/>
    <col min="18" max="18" width="11.109375" style="12" customWidth="1"/>
    <col min="19" max="19" width="1.5546875" customWidth="1"/>
    <col min="20" max="20" width="24.44140625" style="12" customWidth="1"/>
    <col min="21" max="21" width="10.44140625" style="12" customWidth="1"/>
    <col min="22" max="22" width="12.5546875" style="12" customWidth="1"/>
    <col min="23" max="23" width="13.44140625" style="12" customWidth="1"/>
    <col min="24" max="24" width="16.5546875" style="12" customWidth="1"/>
    <col min="25" max="25" width="14.5546875" style="12" bestFit="1" customWidth="1"/>
    <col min="26" max="26" width="1.5546875" customWidth="1"/>
    <col min="27" max="27" width="24.44140625" style="12" customWidth="1"/>
    <col min="28" max="28" width="10.109375" style="12" customWidth="1"/>
    <col min="29" max="29" width="11.109375" style="12" bestFit="1" customWidth="1"/>
    <col min="30" max="30" width="11.88671875" style="12" customWidth="1"/>
    <col min="31" max="31" width="16.109375" style="12" customWidth="1"/>
    <col min="32" max="32" width="14.109375" style="12" bestFit="1" customWidth="1"/>
    <col min="33" max="33" width="8.44140625" bestFit="1" customWidth="1"/>
    <col min="34" max="34" width="12.109375" customWidth="1"/>
  </cols>
  <sheetData>
    <row r="1" spans="1:35" x14ac:dyDescent="0.3">
      <c r="A1" s="1" t="s">
        <v>17</v>
      </c>
      <c r="H1" s="43" t="s">
        <v>17</v>
      </c>
      <c r="T1" s="43" t="s">
        <v>17</v>
      </c>
      <c r="AA1" s="43" t="s">
        <v>17</v>
      </c>
    </row>
    <row r="2" spans="1:35" x14ac:dyDescent="0.3">
      <c r="A2" s="1" t="s">
        <v>65</v>
      </c>
      <c r="H2" s="43" t="s">
        <v>65</v>
      </c>
      <c r="T2" s="43" t="s">
        <v>65</v>
      </c>
      <c r="AA2" s="43" t="s">
        <v>65</v>
      </c>
    </row>
    <row r="3" spans="1:35" x14ac:dyDescent="0.3">
      <c r="A3" s="1" t="s">
        <v>71</v>
      </c>
      <c r="H3" s="43" t="s">
        <v>71</v>
      </c>
      <c r="T3" s="43" t="s">
        <v>71</v>
      </c>
      <c r="AA3" s="43" t="s">
        <v>71</v>
      </c>
    </row>
    <row r="4" spans="1:35" x14ac:dyDescent="0.3">
      <c r="A4" s="1" t="s">
        <v>37</v>
      </c>
      <c r="H4" s="43" t="s">
        <v>37</v>
      </c>
      <c r="T4" s="43" t="s">
        <v>37</v>
      </c>
      <c r="AA4" s="43" t="s">
        <v>37</v>
      </c>
    </row>
    <row r="5" spans="1:35" x14ac:dyDescent="0.3">
      <c r="A5" s="136" t="s">
        <v>50</v>
      </c>
      <c r="B5" s="136"/>
      <c r="C5" s="136"/>
      <c r="D5" s="136"/>
      <c r="E5" s="136"/>
      <c r="F5" s="136"/>
      <c r="H5" s="136" t="s">
        <v>70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T5" s="136" t="s">
        <v>93</v>
      </c>
      <c r="U5" s="136"/>
      <c r="V5" s="136"/>
      <c r="W5" s="136"/>
      <c r="X5" s="136"/>
      <c r="Y5" s="95"/>
      <c r="AA5" s="136" t="s">
        <v>102</v>
      </c>
      <c r="AB5" s="136"/>
      <c r="AC5" s="136"/>
      <c r="AD5" s="136"/>
      <c r="AE5" s="136"/>
      <c r="AF5" s="136"/>
      <c r="AG5" s="136"/>
      <c r="AH5" s="136"/>
    </row>
    <row r="6" spans="1:35" x14ac:dyDescent="0.3">
      <c r="A6" s="136" t="s">
        <v>41</v>
      </c>
      <c r="B6" s="136"/>
      <c r="C6" s="136"/>
      <c r="D6" s="136"/>
      <c r="E6" s="136"/>
      <c r="F6" s="136"/>
      <c r="H6" s="136" t="s">
        <v>41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T6" s="136" t="s">
        <v>41</v>
      </c>
      <c r="U6" s="136"/>
      <c r="V6" s="136"/>
      <c r="W6" s="136"/>
      <c r="X6" s="136"/>
      <c r="Y6" s="95"/>
      <c r="AA6" s="136" t="s">
        <v>41</v>
      </c>
      <c r="AB6" s="136"/>
      <c r="AC6" s="136"/>
      <c r="AD6" s="136"/>
      <c r="AE6" s="136"/>
      <c r="AF6" s="136"/>
      <c r="AG6" s="136"/>
      <c r="AH6" s="136"/>
    </row>
    <row r="7" spans="1:35" x14ac:dyDescent="0.3">
      <c r="A7" s="137" t="s">
        <v>2</v>
      </c>
      <c r="B7" s="137"/>
      <c r="C7" s="137"/>
      <c r="D7" s="137"/>
      <c r="E7" s="137"/>
      <c r="F7" s="137"/>
      <c r="H7" s="137" t="s">
        <v>2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  <c r="T7" s="137" t="s">
        <v>2</v>
      </c>
      <c r="U7" s="137"/>
      <c r="V7" s="137"/>
      <c r="W7" s="137"/>
      <c r="X7" s="137"/>
      <c r="Y7" s="29"/>
      <c r="AA7" s="137" t="s">
        <v>2</v>
      </c>
      <c r="AB7" s="137"/>
      <c r="AC7" s="137"/>
      <c r="AD7" s="137"/>
      <c r="AE7" s="137"/>
      <c r="AF7" s="137"/>
      <c r="AG7" s="137"/>
      <c r="AH7" s="137"/>
    </row>
    <row r="8" spans="1:35" x14ac:dyDescent="0.3">
      <c r="A8" s="44" t="s">
        <v>49</v>
      </c>
      <c r="B8" s="45"/>
      <c r="C8" s="46"/>
      <c r="D8" s="46"/>
      <c r="E8" s="46"/>
      <c r="F8" s="47"/>
      <c r="H8" s="44" t="s">
        <v>72</v>
      </c>
      <c r="I8" s="45"/>
      <c r="J8" s="46"/>
      <c r="K8" s="46"/>
      <c r="L8" s="46"/>
      <c r="M8" s="46"/>
      <c r="N8" s="46"/>
      <c r="O8" s="46"/>
      <c r="P8" s="46"/>
      <c r="Q8" s="46"/>
      <c r="R8" s="47"/>
      <c r="T8" s="44" t="s">
        <v>99</v>
      </c>
      <c r="U8" s="45"/>
      <c r="V8" s="46"/>
      <c r="W8" s="46"/>
      <c r="X8" s="47"/>
      <c r="AA8" s="44" t="s">
        <v>103</v>
      </c>
      <c r="AB8" s="45"/>
      <c r="AC8" s="46"/>
      <c r="AD8" s="46"/>
      <c r="AE8" s="46"/>
      <c r="AF8" s="46"/>
      <c r="AG8" s="46"/>
      <c r="AH8" s="47"/>
      <c r="AI8" s="12"/>
    </row>
    <row r="9" spans="1:35" x14ac:dyDescent="0.3">
      <c r="A9" s="48" t="s">
        <v>1</v>
      </c>
      <c r="B9" s="49"/>
      <c r="C9" s="11"/>
      <c r="D9" s="11"/>
      <c r="E9" s="11"/>
      <c r="F9" s="50"/>
      <c r="H9" s="48" t="s">
        <v>1</v>
      </c>
      <c r="I9" s="49"/>
      <c r="J9" s="11"/>
      <c r="K9" s="11"/>
      <c r="L9" s="11"/>
      <c r="M9" s="11"/>
      <c r="N9" s="11"/>
      <c r="O9" s="11"/>
      <c r="P9" s="11"/>
      <c r="Q9" s="11"/>
      <c r="R9" s="50"/>
      <c r="T9" s="48" t="s">
        <v>1</v>
      </c>
      <c r="U9" s="49"/>
      <c r="V9" s="11"/>
      <c r="W9" s="11"/>
      <c r="X9" s="50"/>
      <c r="AA9" s="48" t="s">
        <v>1</v>
      </c>
      <c r="AB9" s="49"/>
      <c r="AC9" s="11"/>
      <c r="AD9" s="11"/>
      <c r="AE9" s="11"/>
      <c r="AF9" s="11"/>
      <c r="AG9" s="11"/>
      <c r="AH9" s="50"/>
      <c r="AI9" s="12"/>
    </row>
    <row r="10" spans="1:35" x14ac:dyDescent="0.3">
      <c r="A10" s="51"/>
      <c r="B10" s="11"/>
      <c r="C10" s="11"/>
      <c r="D10" s="11"/>
      <c r="E10" s="11"/>
      <c r="F10" s="50"/>
      <c r="H10" s="51"/>
      <c r="I10" s="11"/>
      <c r="J10" s="11"/>
      <c r="K10" s="11"/>
      <c r="L10" s="11"/>
      <c r="M10" s="11"/>
      <c r="N10" s="11"/>
      <c r="O10" s="11"/>
      <c r="P10" s="11"/>
      <c r="Q10" s="11"/>
      <c r="R10" s="50"/>
      <c r="T10" s="51"/>
      <c r="U10" s="11"/>
      <c r="V10" s="11"/>
      <c r="W10" s="11"/>
      <c r="X10" s="50"/>
      <c r="AA10" s="51"/>
      <c r="AB10" s="11"/>
      <c r="AC10" s="11"/>
      <c r="AD10" s="11"/>
      <c r="AE10" s="11"/>
      <c r="AF10" s="11"/>
      <c r="AG10" s="11"/>
      <c r="AH10" s="50"/>
      <c r="AI10" s="12"/>
    </row>
    <row r="11" spans="1:35" x14ac:dyDescent="0.3">
      <c r="A11" s="52">
        <v>-1</v>
      </c>
      <c r="B11" s="53">
        <v>-2</v>
      </c>
      <c r="C11" s="53">
        <v>-3</v>
      </c>
      <c r="D11" s="53">
        <v>-4</v>
      </c>
      <c r="E11" s="53">
        <v>-5</v>
      </c>
      <c r="F11" s="54">
        <v>-6</v>
      </c>
      <c r="H11" s="52">
        <v>-1</v>
      </c>
      <c r="I11" s="53">
        <v>-2</v>
      </c>
      <c r="J11" s="53">
        <v>-3</v>
      </c>
      <c r="K11" s="53">
        <v>-4</v>
      </c>
      <c r="L11" s="53">
        <v>-5</v>
      </c>
      <c r="M11" s="53">
        <v>-6</v>
      </c>
      <c r="N11" s="53">
        <v>-7</v>
      </c>
      <c r="O11" s="53">
        <v>-8</v>
      </c>
      <c r="P11" s="53">
        <v>-9</v>
      </c>
      <c r="Q11" s="53">
        <v>-10</v>
      </c>
      <c r="R11" s="54">
        <v>-11</v>
      </c>
      <c r="T11" s="52">
        <v>-1</v>
      </c>
      <c r="U11" s="53">
        <v>-2</v>
      </c>
      <c r="V11" s="53">
        <v>-3</v>
      </c>
      <c r="W11" s="53">
        <v>-4</v>
      </c>
      <c r="X11" s="54">
        <v>-5</v>
      </c>
      <c r="AA11" s="52">
        <v>-1</v>
      </c>
      <c r="AB11" s="53">
        <v>-2</v>
      </c>
      <c r="AC11" s="53">
        <v>-3</v>
      </c>
      <c r="AD11" s="53">
        <v>-4</v>
      </c>
      <c r="AE11" s="53"/>
      <c r="AF11" s="53"/>
      <c r="AG11" s="53"/>
      <c r="AH11" s="54">
        <v>-5</v>
      </c>
      <c r="AI11" s="12"/>
    </row>
    <row r="12" spans="1:35" x14ac:dyDescent="0.3">
      <c r="A12" s="52"/>
      <c r="B12" s="53" t="s">
        <v>5</v>
      </c>
      <c r="C12" s="55" t="s">
        <v>0</v>
      </c>
      <c r="D12" s="53" t="s">
        <v>6</v>
      </c>
      <c r="E12" s="53" t="s">
        <v>3</v>
      </c>
      <c r="F12" s="54" t="s">
        <v>0</v>
      </c>
      <c r="H12" s="52"/>
      <c r="I12" s="55" t="s">
        <v>5</v>
      </c>
      <c r="J12" s="55" t="s">
        <v>0</v>
      </c>
      <c r="K12" s="55" t="s">
        <v>8</v>
      </c>
      <c r="L12" s="55" t="s">
        <v>9</v>
      </c>
      <c r="M12" s="55" t="s">
        <v>10</v>
      </c>
      <c r="N12" s="55" t="s">
        <v>11</v>
      </c>
      <c r="O12" s="55" t="s">
        <v>12</v>
      </c>
      <c r="P12" s="55" t="s">
        <v>13</v>
      </c>
      <c r="Q12" s="55" t="s">
        <v>14</v>
      </c>
      <c r="R12" s="56" t="s">
        <v>0</v>
      </c>
      <c r="T12" s="52"/>
      <c r="U12" s="55" t="s">
        <v>5</v>
      </c>
      <c r="V12" s="55" t="s">
        <v>0</v>
      </c>
      <c r="W12" s="55" t="s">
        <v>94</v>
      </c>
      <c r="X12" s="56" t="s">
        <v>0</v>
      </c>
      <c r="AA12" s="52"/>
      <c r="AB12" s="55" t="s">
        <v>5</v>
      </c>
      <c r="AC12" s="55" t="s">
        <v>0</v>
      </c>
      <c r="AD12" s="55" t="s">
        <v>8</v>
      </c>
      <c r="AE12" s="55" t="s">
        <v>104</v>
      </c>
      <c r="AF12" s="55" t="s">
        <v>11</v>
      </c>
      <c r="AG12" s="55" t="s">
        <v>12</v>
      </c>
      <c r="AH12" s="56" t="s">
        <v>0</v>
      </c>
      <c r="AI12" s="12"/>
    </row>
    <row r="13" spans="1:35" x14ac:dyDescent="0.3">
      <c r="A13" s="51" t="s">
        <v>53</v>
      </c>
      <c r="B13" s="11">
        <v>1013</v>
      </c>
      <c r="C13" s="57">
        <v>29316.48</v>
      </c>
      <c r="D13" s="57">
        <v>29316.48</v>
      </c>
      <c r="E13" s="57"/>
      <c r="F13" s="58">
        <f>SUM(D13:E13)</f>
        <v>29316.48</v>
      </c>
      <c r="H13" s="51" t="s">
        <v>26</v>
      </c>
      <c r="I13" s="57">
        <f>2821+59</f>
        <v>2880</v>
      </c>
      <c r="J13" s="57">
        <f>12356.84+74.51</f>
        <v>12431.35</v>
      </c>
      <c r="K13" s="57">
        <f>12356.84+74.51</f>
        <v>12431.35</v>
      </c>
      <c r="L13" s="57"/>
      <c r="M13" s="57"/>
      <c r="N13" s="57"/>
      <c r="O13" s="57"/>
      <c r="P13" s="57"/>
      <c r="Q13" s="57"/>
      <c r="R13" s="58">
        <f>SUM(K13:Q13)</f>
        <v>12431.35</v>
      </c>
      <c r="T13" s="51" t="s">
        <v>94</v>
      </c>
      <c r="U13" s="57">
        <v>3132</v>
      </c>
      <c r="V13" s="57">
        <v>84627.64</v>
      </c>
      <c r="W13" s="57">
        <v>84627.64</v>
      </c>
      <c r="X13" s="58">
        <f>SUM(W13:W13)</f>
        <v>84627.64</v>
      </c>
      <c r="AA13" s="51" t="s">
        <v>105</v>
      </c>
      <c r="AB13" s="57">
        <f>1041+16</f>
        <v>1057</v>
      </c>
      <c r="AC13" s="57">
        <f>12731.61</f>
        <v>12731.61</v>
      </c>
      <c r="AD13" s="57">
        <f>12731.61</f>
        <v>12731.61</v>
      </c>
      <c r="AE13" s="57"/>
      <c r="AF13" s="57"/>
      <c r="AG13" s="57"/>
      <c r="AH13" s="58">
        <f>SUM(AD13:AG13)</f>
        <v>12731.61</v>
      </c>
      <c r="AI13" s="12"/>
    </row>
    <row r="14" spans="1:35" x14ac:dyDescent="0.3">
      <c r="A14" s="51" t="s">
        <v>33</v>
      </c>
      <c r="B14" s="11">
        <v>11</v>
      </c>
      <c r="C14" s="90">
        <v>710.4</v>
      </c>
      <c r="D14" s="57">
        <v>0</v>
      </c>
      <c r="E14" s="57">
        <v>710.4</v>
      </c>
      <c r="F14" s="58">
        <f>SUM(D14:E14)</f>
        <v>710.4</v>
      </c>
      <c r="H14" s="51" t="s">
        <v>27</v>
      </c>
      <c r="I14" s="57">
        <v>1537</v>
      </c>
      <c r="J14" s="57">
        <v>20567.72</v>
      </c>
      <c r="K14" s="57">
        <v>18527.16</v>
      </c>
      <c r="L14" s="57">
        <v>2040.56</v>
      </c>
      <c r="M14" s="57"/>
      <c r="N14" s="57"/>
      <c r="O14" s="57"/>
      <c r="P14" s="57"/>
      <c r="Q14" s="57"/>
      <c r="R14" s="58">
        <f t="shared" ref="R14:R18" si="0">SUM(K14:Q14)</f>
        <v>20567.72</v>
      </c>
      <c r="T14" s="51"/>
      <c r="U14" s="57"/>
      <c r="V14" s="57"/>
      <c r="W14" s="57"/>
      <c r="X14" s="58"/>
      <c r="AA14" s="51" t="s">
        <v>106</v>
      </c>
      <c r="AB14" s="57">
        <v>1485</v>
      </c>
      <c r="AC14" s="57">
        <f>49198+18</f>
        <v>49216</v>
      </c>
      <c r="AD14" s="57">
        <v>30071</v>
      </c>
      <c r="AE14" s="57">
        <f>19127+18</f>
        <v>19145</v>
      </c>
      <c r="AF14" s="57"/>
      <c r="AG14" s="57"/>
      <c r="AH14" s="58">
        <f t="shared" ref="AH14:AH16" si="1">SUM(AD14:AG14)</f>
        <v>49216</v>
      </c>
      <c r="AI14" s="12"/>
    </row>
    <row r="15" spans="1:35" x14ac:dyDescent="0.3">
      <c r="A15" s="51"/>
      <c r="B15" s="11"/>
      <c r="C15" s="57"/>
      <c r="D15" s="57"/>
      <c r="E15" s="57"/>
      <c r="F15" s="58"/>
      <c r="H15" s="51" t="s">
        <v>28</v>
      </c>
      <c r="I15" s="57">
        <v>1035</v>
      </c>
      <c r="J15" s="57">
        <v>37007.279999999999</v>
      </c>
      <c r="K15" s="57">
        <v>25829.279999999999</v>
      </c>
      <c r="L15" s="57">
        <v>8303.9599999999991</v>
      </c>
      <c r="M15" s="57">
        <v>2874.04</v>
      </c>
      <c r="N15" s="57"/>
      <c r="O15" s="57"/>
      <c r="P15" s="57"/>
      <c r="Q15" s="57"/>
      <c r="R15" s="58">
        <f t="shared" si="0"/>
        <v>37007.279999999999</v>
      </c>
      <c r="T15" s="51"/>
      <c r="U15" s="57"/>
      <c r="V15" s="57"/>
      <c r="W15" s="57"/>
      <c r="X15" s="58"/>
      <c r="AA15" s="51" t="s">
        <v>107</v>
      </c>
      <c r="AB15" s="57">
        <v>298</v>
      </c>
      <c r="AC15" s="57">
        <v>19398</v>
      </c>
      <c r="AD15" s="57">
        <v>5956</v>
      </c>
      <c r="AE15" s="57">
        <v>8900</v>
      </c>
      <c r="AF15" s="57">
        <v>4542</v>
      </c>
      <c r="AG15" s="57"/>
      <c r="AH15" s="58">
        <f t="shared" si="1"/>
        <v>19398</v>
      </c>
      <c r="AI15" s="12"/>
    </row>
    <row r="16" spans="1:35" x14ac:dyDescent="0.3">
      <c r="A16" s="59" t="s">
        <v>4</v>
      </c>
      <c r="B16" s="72">
        <f>SUM(B13:B14)</f>
        <v>1024</v>
      </c>
      <c r="C16" s="60">
        <f t="shared" ref="C16:D16" si="2">SUM(C13:C14)</f>
        <v>30026.880000000001</v>
      </c>
      <c r="D16" s="60">
        <f t="shared" si="2"/>
        <v>29316.48</v>
      </c>
      <c r="E16" s="60">
        <f>SUM(E13:E14)</f>
        <v>710.4</v>
      </c>
      <c r="F16" s="61">
        <f>SUM(F13:F14)</f>
        <v>30026.880000000001</v>
      </c>
      <c r="H16" s="51" t="s">
        <v>29</v>
      </c>
      <c r="I16" s="57">
        <v>594</v>
      </c>
      <c r="J16" s="57">
        <f>58690.12-74.51</f>
        <v>58615.61</v>
      </c>
      <c r="K16" s="57">
        <f>27636.52-74.51</f>
        <v>27562.010000000002</v>
      </c>
      <c r="L16" s="57">
        <v>11661.6</v>
      </c>
      <c r="M16" s="57">
        <v>14045.68</v>
      </c>
      <c r="N16" s="57">
        <v>5346.32</v>
      </c>
      <c r="O16" s="57"/>
      <c r="P16" s="57"/>
      <c r="Q16" s="57"/>
      <c r="R16" s="58">
        <f t="shared" si="0"/>
        <v>58615.61</v>
      </c>
      <c r="T16" s="51"/>
      <c r="U16" s="57"/>
      <c r="V16" s="57"/>
      <c r="W16" s="57"/>
      <c r="X16" s="58"/>
      <c r="AA16" s="51" t="s">
        <v>108</v>
      </c>
      <c r="AB16" s="57">
        <v>50</v>
      </c>
      <c r="AC16" s="57">
        <v>12225</v>
      </c>
      <c r="AD16" s="57">
        <v>988</v>
      </c>
      <c r="AE16" s="57">
        <v>1435</v>
      </c>
      <c r="AF16" s="57">
        <v>2351</v>
      </c>
      <c r="AG16" s="57">
        <v>7451</v>
      </c>
      <c r="AH16" s="58">
        <f t="shared" si="1"/>
        <v>12225</v>
      </c>
      <c r="AI16" s="12"/>
    </row>
    <row r="17" spans="1:35" x14ac:dyDescent="0.3">
      <c r="H17" s="51" t="s">
        <v>30</v>
      </c>
      <c r="I17" s="57">
        <v>82</v>
      </c>
      <c r="J17" s="57">
        <v>24211.88</v>
      </c>
      <c r="K17" s="57">
        <v>7147</v>
      </c>
      <c r="L17" s="57">
        <v>3236.2</v>
      </c>
      <c r="M17" s="57">
        <v>5290.08</v>
      </c>
      <c r="N17" s="57">
        <v>6974.36</v>
      </c>
      <c r="O17" s="57">
        <v>1564.24</v>
      </c>
      <c r="P17" s="57"/>
      <c r="Q17" s="57"/>
      <c r="R17" s="58">
        <f t="shared" si="0"/>
        <v>24211.88</v>
      </c>
      <c r="T17" s="51"/>
      <c r="U17" s="57"/>
      <c r="V17" s="57"/>
      <c r="W17" s="57"/>
      <c r="X17" s="58"/>
      <c r="AA17" s="51"/>
      <c r="AB17" s="57"/>
      <c r="AC17" s="57"/>
      <c r="AD17" s="57"/>
      <c r="AE17" s="57"/>
      <c r="AF17" s="57"/>
      <c r="AG17" s="57"/>
      <c r="AH17" s="58"/>
      <c r="AI17" s="12"/>
    </row>
    <row r="18" spans="1:35" x14ac:dyDescent="0.3">
      <c r="H18" s="51" t="s">
        <v>31</v>
      </c>
      <c r="I18" s="57">
        <v>7</v>
      </c>
      <c r="J18" s="57">
        <v>3606.68</v>
      </c>
      <c r="K18" s="57">
        <v>1128.96</v>
      </c>
      <c r="L18" s="57">
        <v>425.92</v>
      </c>
      <c r="M18" s="57">
        <v>530.91999999999996</v>
      </c>
      <c r="N18" s="57">
        <v>556.84</v>
      </c>
      <c r="O18" s="57">
        <v>603.12</v>
      </c>
      <c r="P18" s="57">
        <v>360.92</v>
      </c>
      <c r="Q18" s="57"/>
      <c r="R18" s="58">
        <f t="shared" si="0"/>
        <v>3606.6800000000003</v>
      </c>
      <c r="T18" s="51"/>
      <c r="U18" s="57"/>
      <c r="V18" s="57"/>
      <c r="W18" s="57"/>
      <c r="X18" s="58"/>
      <c r="AA18" s="51"/>
      <c r="AB18" s="57"/>
      <c r="AC18" s="57"/>
      <c r="AD18" s="57"/>
      <c r="AE18" s="57"/>
      <c r="AF18" s="57"/>
      <c r="AG18" s="57"/>
      <c r="AH18" s="58"/>
      <c r="AI18" s="12"/>
    </row>
    <row r="19" spans="1:35" x14ac:dyDescent="0.3">
      <c r="H19" s="51" t="s">
        <v>32</v>
      </c>
      <c r="I19" s="57">
        <v>1</v>
      </c>
      <c r="J19" s="57">
        <v>2063.48</v>
      </c>
      <c r="K19" s="57">
        <v>508.92</v>
      </c>
      <c r="L19" s="57">
        <v>179.28</v>
      </c>
      <c r="M19" s="57">
        <v>204.64</v>
      </c>
      <c r="N19" s="57">
        <v>280.64</v>
      </c>
      <c r="O19" s="57">
        <v>235</v>
      </c>
      <c r="P19" s="57">
        <v>353</v>
      </c>
      <c r="Q19" s="57">
        <v>302</v>
      </c>
      <c r="R19" s="58">
        <f>SUM(K19:Q19)</f>
        <v>2063.48</v>
      </c>
      <c r="T19" s="51"/>
      <c r="U19" s="57"/>
      <c r="V19" s="57"/>
      <c r="W19" s="57"/>
      <c r="X19" s="58"/>
      <c r="AA19" s="51"/>
      <c r="AB19" s="57"/>
      <c r="AC19" s="57"/>
      <c r="AD19" s="57"/>
      <c r="AE19" s="57"/>
      <c r="AF19" s="57"/>
      <c r="AG19" s="57"/>
      <c r="AH19" s="58"/>
      <c r="AI19" s="12"/>
    </row>
    <row r="20" spans="1:35" x14ac:dyDescent="0.3">
      <c r="H20" s="51"/>
      <c r="I20" s="57"/>
      <c r="J20" s="57"/>
      <c r="K20" s="57"/>
      <c r="L20" s="57"/>
      <c r="M20" s="57"/>
      <c r="N20" s="57"/>
      <c r="O20" s="57"/>
      <c r="P20" s="57"/>
      <c r="Q20" s="57"/>
      <c r="R20" s="58"/>
      <c r="T20" s="51"/>
      <c r="U20" s="57"/>
      <c r="V20" s="57"/>
      <c r="W20" s="57"/>
      <c r="X20" s="58"/>
      <c r="AA20" s="51"/>
      <c r="AB20" s="57"/>
      <c r="AC20" s="57"/>
      <c r="AD20" s="57"/>
      <c r="AE20" s="57"/>
      <c r="AF20" s="57"/>
      <c r="AG20" s="57"/>
      <c r="AH20" s="58"/>
      <c r="AI20" s="12"/>
    </row>
    <row r="21" spans="1:35" x14ac:dyDescent="0.3">
      <c r="H21" s="59" t="s">
        <v>4</v>
      </c>
      <c r="I21" s="60">
        <f t="shared" ref="I21:R21" si="3">SUM(I13:I19)</f>
        <v>6136</v>
      </c>
      <c r="J21" s="60">
        <f t="shared" si="3"/>
        <v>158504</v>
      </c>
      <c r="K21" s="60">
        <f t="shared" si="3"/>
        <v>93134.680000000008</v>
      </c>
      <c r="L21" s="60">
        <f t="shared" si="3"/>
        <v>25847.519999999997</v>
      </c>
      <c r="M21" s="60">
        <f t="shared" si="3"/>
        <v>22945.360000000001</v>
      </c>
      <c r="N21" s="60">
        <f t="shared" si="3"/>
        <v>13158.16</v>
      </c>
      <c r="O21" s="60">
        <f t="shared" si="3"/>
        <v>2402.36</v>
      </c>
      <c r="P21" s="60">
        <f t="shared" si="3"/>
        <v>713.92000000000007</v>
      </c>
      <c r="Q21" s="60">
        <f t="shared" si="3"/>
        <v>302</v>
      </c>
      <c r="R21" s="61">
        <f t="shared" si="3"/>
        <v>158504</v>
      </c>
      <c r="T21" s="59" t="s">
        <v>4</v>
      </c>
      <c r="U21" s="60">
        <f t="shared" ref="U21:X21" si="4">SUM(U13:U19)</f>
        <v>3132</v>
      </c>
      <c r="V21" s="60">
        <f t="shared" si="4"/>
        <v>84627.64</v>
      </c>
      <c r="W21" s="60">
        <f t="shared" si="4"/>
        <v>84627.64</v>
      </c>
      <c r="X21" s="61">
        <f t="shared" si="4"/>
        <v>84627.64</v>
      </c>
      <c r="AA21" s="59" t="s">
        <v>4</v>
      </c>
      <c r="AB21" s="60">
        <f t="shared" ref="AB21:AH21" si="5">SUM(AB13:AB19)</f>
        <v>2890</v>
      </c>
      <c r="AC21" s="60">
        <f t="shared" si="5"/>
        <v>93570.61</v>
      </c>
      <c r="AD21" s="60">
        <f t="shared" si="5"/>
        <v>49746.61</v>
      </c>
      <c r="AE21" s="60">
        <f t="shared" si="5"/>
        <v>29480</v>
      </c>
      <c r="AF21" s="60">
        <f t="shared" si="5"/>
        <v>6893</v>
      </c>
      <c r="AG21" s="60">
        <f t="shared" si="5"/>
        <v>7451</v>
      </c>
      <c r="AH21" s="61">
        <f t="shared" si="5"/>
        <v>93570.61</v>
      </c>
      <c r="AI21" s="12"/>
    </row>
    <row r="22" spans="1:35" x14ac:dyDescent="0.3">
      <c r="H22" s="49"/>
      <c r="I22" s="62"/>
      <c r="J22" s="62"/>
      <c r="K22" s="62"/>
      <c r="L22" s="62"/>
      <c r="M22" s="62"/>
      <c r="N22" s="62"/>
      <c r="O22" s="62"/>
      <c r="P22" s="62"/>
      <c r="Q22" s="62"/>
      <c r="R22" s="62"/>
      <c r="T22" s="49"/>
      <c r="U22" s="62"/>
      <c r="V22" s="62"/>
      <c r="W22" s="62"/>
      <c r="X22" s="62"/>
      <c r="Y22" s="62"/>
      <c r="AA22" s="49"/>
      <c r="AB22" s="62"/>
      <c r="AC22" s="62"/>
      <c r="AD22" s="62"/>
      <c r="AE22" s="62"/>
      <c r="AF22" s="62"/>
    </row>
    <row r="23" spans="1:35" x14ac:dyDescent="0.3">
      <c r="H23" s="49"/>
      <c r="I23" s="62"/>
      <c r="J23" s="62"/>
      <c r="K23" s="62"/>
      <c r="L23" s="62"/>
      <c r="M23" s="62"/>
      <c r="N23" s="62"/>
      <c r="O23" s="62"/>
      <c r="P23" s="62"/>
      <c r="Q23" s="62"/>
      <c r="R23" s="62"/>
      <c r="T23" s="49"/>
      <c r="U23" s="62"/>
      <c r="V23" s="62"/>
      <c r="W23" s="62"/>
      <c r="X23" s="62"/>
      <c r="Y23" s="62"/>
      <c r="AA23" s="49"/>
      <c r="AB23" s="62"/>
      <c r="AC23" s="62"/>
      <c r="AD23" s="62"/>
      <c r="AE23" s="62"/>
      <c r="AF23" s="62"/>
    </row>
    <row r="24" spans="1:35" x14ac:dyDescent="0.3">
      <c r="A24" s="136" t="s">
        <v>50</v>
      </c>
      <c r="B24" s="136"/>
      <c r="C24" s="136"/>
      <c r="D24" s="136"/>
      <c r="E24" s="136"/>
      <c r="F24" s="136"/>
      <c r="H24" s="135" t="s">
        <v>70</v>
      </c>
      <c r="I24" s="135"/>
      <c r="J24" s="135"/>
      <c r="K24" s="135"/>
      <c r="L24" s="135"/>
      <c r="M24" s="135"/>
      <c r="N24" s="62"/>
      <c r="O24" s="62"/>
      <c r="P24" s="62"/>
      <c r="Q24" s="62"/>
      <c r="R24" s="62"/>
      <c r="T24" s="135" t="s">
        <v>93</v>
      </c>
      <c r="U24" s="135"/>
      <c r="V24" s="135"/>
      <c r="W24" s="135"/>
      <c r="X24" s="135"/>
      <c r="Y24" s="135"/>
      <c r="AA24" s="135" t="s">
        <v>102</v>
      </c>
      <c r="AB24" s="135"/>
      <c r="AC24" s="135"/>
      <c r="AD24" s="135"/>
      <c r="AE24" s="135"/>
      <c r="AF24" s="135"/>
    </row>
    <row r="25" spans="1:35" x14ac:dyDescent="0.3">
      <c r="A25" s="136" t="s">
        <v>46</v>
      </c>
      <c r="B25" s="136"/>
      <c r="C25" s="136"/>
      <c r="D25" s="136"/>
      <c r="E25" s="136"/>
      <c r="F25" s="136"/>
      <c r="H25" s="136" t="s">
        <v>46</v>
      </c>
      <c r="I25" s="136"/>
      <c r="J25" s="136"/>
      <c r="K25" s="136"/>
      <c r="L25" s="136"/>
      <c r="M25" s="136"/>
      <c r="T25" s="136" t="s">
        <v>46</v>
      </c>
      <c r="U25" s="136"/>
      <c r="V25" s="136"/>
      <c r="W25" s="136"/>
      <c r="X25" s="136"/>
      <c r="Y25" s="136"/>
      <c r="AA25" s="136" t="s">
        <v>46</v>
      </c>
      <c r="AB25" s="136"/>
      <c r="AC25" s="136"/>
      <c r="AD25" s="136"/>
      <c r="AE25" s="136"/>
      <c r="AF25" s="136"/>
    </row>
    <row r="26" spans="1:35" x14ac:dyDescent="0.3">
      <c r="A26" s="135" t="s">
        <v>42</v>
      </c>
      <c r="B26" s="135"/>
      <c r="C26" s="135"/>
      <c r="D26" s="135"/>
      <c r="E26" s="135"/>
      <c r="F26" s="135"/>
      <c r="H26" s="135" t="s">
        <v>42</v>
      </c>
      <c r="I26" s="135"/>
      <c r="J26" s="135"/>
      <c r="K26" s="135"/>
      <c r="L26" s="135"/>
      <c r="M26" s="135"/>
      <c r="T26" s="135" t="s">
        <v>42</v>
      </c>
      <c r="U26" s="135"/>
      <c r="V26" s="135"/>
      <c r="W26" s="135"/>
      <c r="X26" s="135"/>
      <c r="Y26" s="135"/>
      <c r="AA26" s="135" t="s">
        <v>42</v>
      </c>
      <c r="AB26" s="135"/>
      <c r="AC26" s="135"/>
      <c r="AD26" s="135"/>
      <c r="AE26" s="135"/>
      <c r="AF26" s="135"/>
    </row>
    <row r="27" spans="1:35" x14ac:dyDescent="0.3">
      <c r="A27" s="64">
        <v>-1</v>
      </c>
      <c r="B27" s="65">
        <v>-2</v>
      </c>
      <c r="C27" s="65">
        <v>-3</v>
      </c>
      <c r="D27" s="65">
        <v>-4</v>
      </c>
      <c r="E27" s="65">
        <v>-5</v>
      </c>
      <c r="F27" s="47"/>
      <c r="H27" s="64">
        <v>-1</v>
      </c>
      <c r="I27" s="65">
        <v>-2</v>
      </c>
      <c r="J27" s="65">
        <v>-3</v>
      </c>
      <c r="K27" s="65">
        <v>-4</v>
      </c>
      <c r="L27" s="65">
        <v>-5</v>
      </c>
      <c r="M27" s="47"/>
      <c r="T27" s="64">
        <v>-1</v>
      </c>
      <c r="U27" s="65">
        <v>-2</v>
      </c>
      <c r="V27" s="65">
        <v>-3</v>
      </c>
      <c r="W27" s="65">
        <v>-4</v>
      </c>
      <c r="X27" s="65">
        <v>-5</v>
      </c>
      <c r="Y27" s="47"/>
      <c r="AA27" s="64">
        <v>-1</v>
      </c>
      <c r="AB27" s="65">
        <v>-2</v>
      </c>
      <c r="AC27" s="65">
        <v>-3</v>
      </c>
      <c r="AD27" s="65">
        <v>-4</v>
      </c>
      <c r="AE27" s="65">
        <v>-5</v>
      </c>
      <c r="AF27" s="47"/>
    </row>
    <row r="28" spans="1:35" ht="14.1" customHeight="1" x14ac:dyDescent="0.3">
      <c r="A28" s="51"/>
      <c r="B28" s="83" t="s">
        <v>5</v>
      </c>
      <c r="C28" s="83" t="s">
        <v>0</v>
      </c>
      <c r="D28" s="83" t="s">
        <v>15</v>
      </c>
      <c r="E28" s="83" t="s">
        <v>16</v>
      </c>
      <c r="F28" s="10" t="s">
        <v>35</v>
      </c>
      <c r="H28" s="51"/>
      <c r="I28" s="83" t="s">
        <v>5</v>
      </c>
      <c r="J28" s="55" t="s">
        <v>0</v>
      </c>
      <c r="K28" s="83" t="s">
        <v>15</v>
      </c>
      <c r="L28" s="83" t="s">
        <v>16</v>
      </c>
      <c r="M28" s="10" t="s">
        <v>35</v>
      </c>
      <c r="T28" s="51"/>
      <c r="U28" s="83" t="s">
        <v>5</v>
      </c>
      <c r="V28" s="66" t="s">
        <v>0</v>
      </c>
      <c r="W28" s="83" t="s">
        <v>15</v>
      </c>
      <c r="X28" s="83" t="s">
        <v>16</v>
      </c>
      <c r="Y28" s="10" t="s">
        <v>35</v>
      </c>
      <c r="AA28" s="51"/>
      <c r="AB28" s="63" t="s">
        <v>5</v>
      </c>
      <c r="AC28" s="66" t="s">
        <v>0</v>
      </c>
      <c r="AD28" s="63" t="s">
        <v>15</v>
      </c>
      <c r="AE28" s="63" t="s">
        <v>16</v>
      </c>
      <c r="AF28" s="10" t="s">
        <v>35</v>
      </c>
    </row>
    <row r="29" spans="1:35" x14ac:dyDescent="0.3">
      <c r="A29" s="51" t="s">
        <v>53</v>
      </c>
      <c r="B29" s="67">
        <f>$B$16</f>
        <v>1024</v>
      </c>
      <c r="C29" s="67">
        <v>29316.48</v>
      </c>
      <c r="D29" s="125">
        <v>32.67</v>
      </c>
      <c r="E29" s="69">
        <f>B29*D29</f>
        <v>33454.080000000002</v>
      </c>
      <c r="F29" s="70" t="s">
        <v>24</v>
      </c>
      <c r="H29" s="51" t="s">
        <v>34</v>
      </c>
      <c r="I29" s="57">
        <f>$I$21</f>
        <v>6136</v>
      </c>
      <c r="J29" s="67">
        <f>$K$21</f>
        <v>93134.680000000008</v>
      </c>
      <c r="K29" s="125">
        <v>27.19</v>
      </c>
      <c r="L29" s="69">
        <f>I29*K29</f>
        <v>166837.84</v>
      </c>
      <c r="M29" s="70" t="s">
        <v>24</v>
      </c>
      <c r="T29" s="51"/>
      <c r="U29" s="57"/>
      <c r="V29" s="67"/>
      <c r="W29" s="68"/>
      <c r="X29" s="69"/>
      <c r="Y29" s="70"/>
      <c r="AA29" s="51" t="s">
        <v>105</v>
      </c>
      <c r="AB29" s="57">
        <f>AB21</f>
        <v>2890</v>
      </c>
      <c r="AC29" s="67">
        <f>AD21</f>
        <v>49746.61</v>
      </c>
      <c r="AD29" s="125">
        <v>23.99</v>
      </c>
      <c r="AE29" s="69">
        <f>AB29*AD29</f>
        <v>69331.099999999991</v>
      </c>
      <c r="AF29" s="70" t="s">
        <v>24</v>
      </c>
    </row>
    <row r="30" spans="1:35" x14ac:dyDescent="0.3">
      <c r="A30" s="51" t="s">
        <v>33</v>
      </c>
      <c r="B30" s="11"/>
      <c r="C30" s="67">
        <f>$E$16</f>
        <v>710.4</v>
      </c>
      <c r="D30" s="126">
        <v>0.27200000000000002</v>
      </c>
      <c r="E30" s="91">
        <f>C30*D30</f>
        <v>193.22880000000001</v>
      </c>
      <c r="F30" s="70" t="s">
        <v>36</v>
      </c>
      <c r="H30" s="51" t="s">
        <v>27</v>
      </c>
      <c r="I30" s="11"/>
      <c r="J30" s="67">
        <f>$L$21</f>
        <v>25847.519999999997</v>
      </c>
      <c r="K30" s="126">
        <v>1.2350000000000001</v>
      </c>
      <c r="L30" s="71">
        <f>J30*K30</f>
        <v>31921.6872</v>
      </c>
      <c r="M30" s="70" t="s">
        <v>36</v>
      </c>
      <c r="T30" s="51" t="s">
        <v>94</v>
      </c>
      <c r="U30" s="57">
        <f>U21</f>
        <v>3132</v>
      </c>
      <c r="V30" s="67">
        <f>V21</f>
        <v>84627.64</v>
      </c>
      <c r="W30" s="126">
        <v>1.1599999999999999</v>
      </c>
      <c r="X30" s="69">
        <f>V30*W30</f>
        <v>98168.062399999995</v>
      </c>
      <c r="Y30" s="70" t="s">
        <v>36</v>
      </c>
      <c r="AA30" s="51" t="s">
        <v>106</v>
      </c>
      <c r="AB30" s="57"/>
      <c r="AC30" s="67">
        <f>AE21</f>
        <v>29480</v>
      </c>
      <c r="AD30" s="126">
        <v>1.012</v>
      </c>
      <c r="AE30" s="71">
        <f>AC30*AD30</f>
        <v>29833.760000000002</v>
      </c>
      <c r="AF30" s="70" t="s">
        <v>36</v>
      </c>
    </row>
    <row r="31" spans="1:35" x14ac:dyDescent="0.3">
      <c r="A31" s="51"/>
      <c r="B31" s="11"/>
      <c r="C31" s="11"/>
      <c r="D31" s="11"/>
      <c r="E31" s="11"/>
      <c r="F31" s="50"/>
      <c r="H31" s="51" t="s">
        <v>28</v>
      </c>
      <c r="I31" s="11"/>
      <c r="J31" s="67">
        <f>$M$21</f>
        <v>22945.360000000001</v>
      </c>
      <c r="K31" s="126">
        <v>0.97199999999999998</v>
      </c>
      <c r="L31" s="71">
        <f t="shared" ref="L31:L35" si="6">J31*K31</f>
        <v>22302.889920000001</v>
      </c>
      <c r="M31" s="70" t="s">
        <v>36</v>
      </c>
      <c r="T31" s="51"/>
      <c r="U31" s="11"/>
      <c r="V31" s="67"/>
      <c r="W31" s="68"/>
      <c r="X31" s="71"/>
      <c r="Y31" s="70"/>
      <c r="AA31" s="51" t="s">
        <v>107</v>
      </c>
      <c r="AB31" s="11"/>
      <c r="AC31" s="67">
        <f>AF21</f>
        <v>6893</v>
      </c>
      <c r="AD31" s="126">
        <v>0.877</v>
      </c>
      <c r="AE31" s="71">
        <f t="shared" ref="AE31:AE32" si="7">AC31*AD31</f>
        <v>6045.1610000000001</v>
      </c>
      <c r="AF31" s="70" t="s">
        <v>36</v>
      </c>
    </row>
    <row r="32" spans="1:35" x14ac:dyDescent="0.3">
      <c r="A32" s="59" t="s">
        <v>4</v>
      </c>
      <c r="B32" s="72">
        <f>SUM(B29:B31)</f>
        <v>1024</v>
      </c>
      <c r="C32" s="73">
        <f>SUM(C29:C31)</f>
        <v>30026.880000000001</v>
      </c>
      <c r="D32" s="74"/>
      <c r="E32" s="75">
        <f>SUM(E29:E31)</f>
        <v>33647.308799999999</v>
      </c>
      <c r="F32" s="76"/>
      <c r="H32" s="51" t="s">
        <v>29</v>
      </c>
      <c r="I32" s="11"/>
      <c r="J32" s="67">
        <f>$N$21</f>
        <v>13158.16</v>
      </c>
      <c r="K32" s="126">
        <v>0.88</v>
      </c>
      <c r="L32" s="71">
        <f t="shared" si="6"/>
        <v>11579.1808</v>
      </c>
      <c r="M32" s="70" t="s">
        <v>36</v>
      </c>
      <c r="T32" s="51"/>
      <c r="U32" s="11"/>
      <c r="V32" s="67"/>
      <c r="W32" s="68"/>
      <c r="X32" s="71"/>
      <c r="Y32" s="70"/>
      <c r="AA32" s="51" t="s">
        <v>108</v>
      </c>
      <c r="AB32" s="11"/>
      <c r="AC32" s="67">
        <f>AG21</f>
        <v>7451</v>
      </c>
      <c r="AD32" s="126">
        <v>0.72799999999999998</v>
      </c>
      <c r="AE32" s="71">
        <f t="shared" si="7"/>
        <v>5424.3279999999995</v>
      </c>
      <c r="AF32" s="70" t="s">
        <v>36</v>
      </c>
    </row>
    <row r="33" spans="1:32" x14ac:dyDescent="0.3">
      <c r="H33" s="51" t="s">
        <v>30</v>
      </c>
      <c r="I33" s="11"/>
      <c r="J33" s="67">
        <f>$O$21</f>
        <v>2402.36</v>
      </c>
      <c r="K33" s="126">
        <v>0.78700000000000003</v>
      </c>
      <c r="L33" s="71">
        <f t="shared" si="6"/>
        <v>1890.6573200000003</v>
      </c>
      <c r="M33" s="70" t="s">
        <v>36</v>
      </c>
      <c r="T33" s="51"/>
      <c r="U33" s="11"/>
      <c r="V33" s="67"/>
      <c r="W33" s="68"/>
      <c r="X33" s="71"/>
      <c r="Y33" s="70"/>
      <c r="AA33" s="51"/>
      <c r="AB33" s="11"/>
      <c r="AC33" s="67"/>
      <c r="AD33" s="68"/>
      <c r="AE33" s="71"/>
      <c r="AF33" s="70"/>
    </row>
    <row r="34" spans="1:32" x14ac:dyDescent="0.3">
      <c r="D34" s="11"/>
      <c r="E34" s="69"/>
      <c r="F34" s="11"/>
      <c r="H34" s="51" t="s">
        <v>31</v>
      </c>
      <c r="I34" s="11"/>
      <c r="J34" s="67">
        <f>$P$21</f>
        <v>713.92000000000007</v>
      </c>
      <c r="K34" s="126">
        <v>0.69399999999999995</v>
      </c>
      <c r="L34" s="71">
        <f t="shared" si="6"/>
        <v>495.46048000000002</v>
      </c>
      <c r="M34" s="70" t="s">
        <v>36</v>
      </c>
      <c r="T34" s="51"/>
      <c r="U34" s="11"/>
      <c r="V34" s="67"/>
      <c r="W34" s="68"/>
      <c r="X34" s="71"/>
      <c r="Y34" s="70"/>
      <c r="AA34" s="51"/>
      <c r="AB34" s="11"/>
      <c r="AC34" s="67"/>
      <c r="AD34" s="68"/>
      <c r="AE34" s="71"/>
      <c r="AF34" s="70"/>
    </row>
    <row r="35" spans="1:32" x14ac:dyDescent="0.3">
      <c r="D35" s="11"/>
      <c r="E35" s="11"/>
      <c r="F35" s="11"/>
      <c r="H35" s="51" t="s">
        <v>32</v>
      </c>
      <c r="I35" s="11"/>
      <c r="J35" s="67">
        <f>$Q$21</f>
        <v>302</v>
      </c>
      <c r="K35" s="126">
        <v>0.66200000000000003</v>
      </c>
      <c r="L35" s="71">
        <f t="shared" si="6"/>
        <v>199.92400000000001</v>
      </c>
      <c r="M35" s="70" t="s">
        <v>36</v>
      </c>
      <c r="T35" s="51"/>
      <c r="U35" s="11"/>
      <c r="V35" s="67"/>
      <c r="W35" s="68"/>
      <c r="X35" s="71"/>
      <c r="Y35" s="70"/>
      <c r="AA35" s="51"/>
      <c r="AB35" s="11"/>
      <c r="AC35" s="67"/>
      <c r="AD35" s="68"/>
      <c r="AE35" s="71"/>
      <c r="AF35" s="70"/>
    </row>
    <row r="36" spans="1:32" x14ac:dyDescent="0.3">
      <c r="D36" s="11"/>
      <c r="E36" s="92"/>
      <c r="F36" s="11"/>
      <c r="H36" s="51"/>
      <c r="I36" s="11"/>
      <c r="J36" s="11"/>
      <c r="K36" s="11"/>
      <c r="L36" s="11"/>
      <c r="M36" s="50"/>
      <c r="T36" s="51"/>
      <c r="U36" s="11"/>
      <c r="V36" s="11"/>
      <c r="W36" s="11"/>
      <c r="X36" s="11"/>
      <c r="Y36" s="50"/>
      <c r="AA36" s="51"/>
      <c r="AB36" s="11"/>
      <c r="AC36" s="11"/>
      <c r="AD36" s="11"/>
      <c r="AE36" s="11"/>
      <c r="AF36" s="50"/>
    </row>
    <row r="37" spans="1:32" x14ac:dyDescent="0.3">
      <c r="B37" s="77"/>
      <c r="D37" s="11"/>
      <c r="E37" s="93"/>
      <c r="F37" s="11"/>
      <c r="H37" s="59" t="s">
        <v>4</v>
      </c>
      <c r="I37" s="72">
        <f>SUM(I29:I36)</f>
        <v>6136</v>
      </c>
      <c r="J37" s="73">
        <f>SUM(J29:J36)</f>
        <v>158504</v>
      </c>
      <c r="K37" s="74"/>
      <c r="L37" s="75">
        <f>SUM(L29:L36)</f>
        <v>235227.63972000001</v>
      </c>
      <c r="M37" s="76"/>
      <c r="T37" s="59" t="s">
        <v>4</v>
      </c>
      <c r="U37" s="72">
        <f>SUM(U29:U36)</f>
        <v>3132</v>
      </c>
      <c r="V37" s="73">
        <f>SUM(V30:V36)</f>
        <v>84627.64</v>
      </c>
      <c r="W37" s="74"/>
      <c r="X37" s="75">
        <f>SUM(X29:X36)</f>
        <v>98168.062399999995</v>
      </c>
      <c r="Y37" s="76"/>
      <c r="AA37" s="59" t="s">
        <v>4</v>
      </c>
      <c r="AB37" s="72">
        <f>SUM(AB29:AB36)</f>
        <v>2890</v>
      </c>
      <c r="AC37" s="73">
        <f>SUM(AC29:AC36)</f>
        <v>93570.61</v>
      </c>
      <c r="AD37" s="74"/>
      <c r="AE37" s="75">
        <f>SUM(AE29:AE36)</f>
        <v>110634.34899999997</v>
      </c>
      <c r="AF37" s="76"/>
    </row>
    <row r="38" spans="1:32" x14ac:dyDescent="0.3">
      <c r="D38" s="11"/>
      <c r="E38" s="11"/>
      <c r="F38" s="11"/>
    </row>
    <row r="39" spans="1:32" x14ac:dyDescent="0.3">
      <c r="D39" s="11"/>
      <c r="E39" s="11"/>
      <c r="F39" s="11"/>
      <c r="I39" s="77"/>
      <c r="L39" s="78"/>
      <c r="U39" s="77"/>
      <c r="X39" s="78"/>
      <c r="AB39" s="77"/>
      <c r="AE39" s="78"/>
    </row>
    <row r="40" spans="1:32" x14ac:dyDescent="0.3">
      <c r="D40" s="11"/>
      <c r="E40" s="94"/>
      <c r="F40" s="11"/>
    </row>
    <row r="41" spans="1:32" x14ac:dyDescent="0.3">
      <c r="A41" s="136" t="s">
        <v>50</v>
      </c>
      <c r="B41" s="136"/>
      <c r="C41" s="136"/>
      <c r="D41" s="136"/>
      <c r="E41" s="136"/>
      <c r="F41" s="136"/>
      <c r="H41" s="135" t="s">
        <v>70</v>
      </c>
      <c r="I41" s="135"/>
      <c r="J41" s="135"/>
      <c r="K41" s="135"/>
      <c r="L41" s="135"/>
      <c r="M41" s="135"/>
      <c r="N41" s="62"/>
      <c r="O41" s="62"/>
      <c r="P41" s="62"/>
      <c r="Q41" s="62"/>
      <c r="R41" s="62"/>
      <c r="T41" s="135" t="s">
        <v>93</v>
      </c>
      <c r="U41" s="135"/>
      <c r="V41" s="135"/>
      <c r="W41" s="135"/>
      <c r="X41" s="135"/>
      <c r="Y41" s="135"/>
      <c r="AA41" s="135" t="s">
        <v>102</v>
      </c>
      <c r="AB41" s="135"/>
      <c r="AC41" s="135"/>
      <c r="AD41" s="135"/>
      <c r="AE41" s="135"/>
      <c r="AF41" s="135"/>
    </row>
    <row r="42" spans="1:32" x14ac:dyDescent="0.3">
      <c r="A42" s="136" t="s">
        <v>45</v>
      </c>
      <c r="B42" s="136"/>
      <c r="C42" s="136"/>
      <c r="D42" s="136"/>
      <c r="E42" s="136"/>
      <c r="F42" s="136"/>
      <c r="H42" s="136" t="s">
        <v>45</v>
      </c>
      <c r="I42" s="136"/>
      <c r="J42" s="136"/>
      <c r="K42" s="136"/>
      <c r="L42" s="136"/>
      <c r="M42" s="136"/>
      <c r="T42" s="136" t="s">
        <v>45</v>
      </c>
      <c r="U42" s="136"/>
      <c r="V42" s="136"/>
      <c r="W42" s="136"/>
      <c r="X42" s="136"/>
      <c r="Y42" s="136"/>
      <c r="AA42" s="136" t="s">
        <v>45</v>
      </c>
      <c r="AB42" s="136"/>
      <c r="AC42" s="136"/>
      <c r="AD42" s="136"/>
      <c r="AE42" s="136"/>
      <c r="AF42" s="136"/>
    </row>
    <row r="43" spans="1:32" x14ac:dyDescent="0.3">
      <c r="A43" s="135" t="s">
        <v>42</v>
      </c>
      <c r="B43" s="135"/>
      <c r="C43" s="135"/>
      <c r="D43" s="135"/>
      <c r="E43" s="135"/>
      <c r="F43" s="135"/>
      <c r="H43" s="135" t="s">
        <v>42</v>
      </c>
      <c r="I43" s="135"/>
      <c r="J43" s="135"/>
      <c r="K43" s="135"/>
      <c r="L43" s="135"/>
      <c r="M43" s="135"/>
      <c r="T43" s="135" t="s">
        <v>42</v>
      </c>
      <c r="U43" s="135"/>
      <c r="V43" s="135"/>
      <c r="W43" s="135"/>
      <c r="X43" s="135"/>
      <c r="Y43" s="135"/>
      <c r="AA43" s="135" t="s">
        <v>42</v>
      </c>
      <c r="AB43" s="135"/>
      <c r="AC43" s="135"/>
      <c r="AD43" s="135"/>
      <c r="AE43" s="135"/>
      <c r="AF43" s="135"/>
    </row>
    <row r="44" spans="1:32" x14ac:dyDescent="0.3">
      <c r="A44" s="64">
        <v>-1</v>
      </c>
      <c r="B44" s="65">
        <v>-2</v>
      </c>
      <c r="C44" s="65">
        <v>-3</v>
      </c>
      <c r="D44" s="65">
        <v>-4</v>
      </c>
      <c r="E44" s="65">
        <v>-5</v>
      </c>
      <c r="F44" s="47"/>
      <c r="H44" s="64">
        <v>-1</v>
      </c>
      <c r="I44" s="65">
        <v>-2</v>
      </c>
      <c r="J44" s="65">
        <v>-3</v>
      </c>
      <c r="K44" s="65">
        <v>-4</v>
      </c>
      <c r="L44" s="65">
        <v>-5</v>
      </c>
      <c r="M44" s="47"/>
      <c r="T44" s="64">
        <v>-1</v>
      </c>
      <c r="U44" s="65">
        <v>-2</v>
      </c>
      <c r="V44" s="65">
        <v>-3</v>
      </c>
      <c r="W44" s="65">
        <v>-4</v>
      </c>
      <c r="X44" s="65">
        <v>-5</v>
      </c>
      <c r="Y44" s="47"/>
      <c r="AA44" s="64">
        <v>-1</v>
      </c>
      <c r="AB44" s="65">
        <v>-2</v>
      </c>
      <c r="AC44" s="65">
        <v>-3</v>
      </c>
      <c r="AD44" s="65">
        <v>-4</v>
      </c>
      <c r="AE44" s="65">
        <v>-5</v>
      </c>
      <c r="AF44" s="47"/>
    </row>
    <row r="45" spans="1:32" ht="12.9" customHeight="1" x14ac:dyDescent="0.3">
      <c r="A45" s="51"/>
      <c r="B45" s="83" t="s">
        <v>5</v>
      </c>
      <c r="C45" s="83" t="s">
        <v>0</v>
      </c>
      <c r="D45" s="83" t="s">
        <v>15</v>
      </c>
      <c r="E45" s="83" t="s">
        <v>16</v>
      </c>
      <c r="F45" s="10" t="s">
        <v>35</v>
      </c>
      <c r="H45" s="51"/>
      <c r="I45" s="83" t="s">
        <v>5</v>
      </c>
      <c r="J45" s="55" t="s">
        <v>0</v>
      </c>
      <c r="K45" s="83" t="s">
        <v>15</v>
      </c>
      <c r="L45" s="83" t="s">
        <v>16</v>
      </c>
      <c r="M45" s="10" t="s">
        <v>35</v>
      </c>
      <c r="T45" s="51"/>
      <c r="U45" s="83" t="s">
        <v>5</v>
      </c>
      <c r="V45" s="66" t="s">
        <v>0</v>
      </c>
      <c r="W45" s="83" t="s">
        <v>15</v>
      </c>
      <c r="X45" s="83" t="s">
        <v>16</v>
      </c>
      <c r="Y45" s="10" t="s">
        <v>35</v>
      </c>
      <c r="AA45" s="51"/>
      <c r="AB45" s="63" t="s">
        <v>5</v>
      </c>
      <c r="AC45" s="66" t="s">
        <v>0</v>
      </c>
      <c r="AD45" s="63" t="s">
        <v>15</v>
      </c>
      <c r="AE45" s="63" t="s">
        <v>16</v>
      </c>
      <c r="AF45" s="10" t="s">
        <v>35</v>
      </c>
    </row>
    <row r="46" spans="1:32" x14ac:dyDescent="0.3">
      <c r="A46" s="51" t="s">
        <v>85</v>
      </c>
      <c r="B46" s="67">
        <v>1024</v>
      </c>
      <c r="C46" s="67"/>
      <c r="D46" s="125">
        <v>34.33</v>
      </c>
      <c r="E46" s="69">
        <f>B46*D46</f>
        <v>35153.919999999998</v>
      </c>
      <c r="F46" s="70" t="s">
        <v>24</v>
      </c>
      <c r="H46" s="51" t="s">
        <v>85</v>
      </c>
      <c r="I46" s="79">
        <v>6124</v>
      </c>
      <c r="J46" s="66"/>
      <c r="K46" s="125">
        <v>30.17</v>
      </c>
      <c r="L46" s="69">
        <f>I46*K46</f>
        <v>184761.08000000002</v>
      </c>
      <c r="M46" s="81" t="s">
        <v>24</v>
      </c>
      <c r="T46" s="51" t="s">
        <v>85</v>
      </c>
      <c r="U46" s="79">
        <v>3132</v>
      </c>
      <c r="V46" s="66"/>
      <c r="W46" s="125">
        <v>7.22</v>
      </c>
      <c r="X46" s="69">
        <f>U46*W46</f>
        <v>22613.040000000001</v>
      </c>
      <c r="Y46" s="81" t="s">
        <v>24</v>
      </c>
      <c r="AA46" s="51" t="s">
        <v>85</v>
      </c>
      <c r="AB46" s="79">
        <v>2890</v>
      </c>
      <c r="AC46" s="66"/>
      <c r="AD46" s="125">
        <v>27.25</v>
      </c>
      <c r="AE46" s="69">
        <f>AB46*AD46</f>
        <v>78752.5</v>
      </c>
      <c r="AF46" s="81" t="s">
        <v>24</v>
      </c>
    </row>
    <row r="47" spans="1:32" x14ac:dyDescent="0.3">
      <c r="A47" s="51" t="s">
        <v>89</v>
      </c>
      <c r="B47" s="67"/>
      <c r="C47" s="67"/>
      <c r="D47" s="125">
        <v>66.19</v>
      </c>
      <c r="E47" s="71">
        <f>B47*D47</f>
        <v>0</v>
      </c>
      <c r="F47" s="70" t="s">
        <v>24</v>
      </c>
      <c r="H47" s="51" t="s">
        <v>89</v>
      </c>
      <c r="I47" s="79">
        <v>12</v>
      </c>
      <c r="J47" s="66"/>
      <c r="K47" s="125">
        <v>68.400000000000006</v>
      </c>
      <c r="L47" s="71">
        <f>I47*K47</f>
        <v>820.80000000000007</v>
      </c>
      <c r="M47" s="81" t="s">
        <v>24</v>
      </c>
      <c r="T47" s="51" t="s">
        <v>89</v>
      </c>
      <c r="U47" s="79"/>
      <c r="V47" s="66"/>
      <c r="W47" s="125">
        <v>42.27</v>
      </c>
      <c r="X47" s="71">
        <f>U47*W47</f>
        <v>0</v>
      </c>
      <c r="Y47" s="81" t="s">
        <v>24</v>
      </c>
      <c r="AA47" s="51" t="s">
        <v>89</v>
      </c>
      <c r="AB47" s="79"/>
      <c r="AC47" s="66"/>
      <c r="AD47" s="125">
        <v>62.3</v>
      </c>
      <c r="AE47" s="71">
        <f>AB47*AD47</f>
        <v>0</v>
      </c>
      <c r="AF47" s="81" t="s">
        <v>24</v>
      </c>
    </row>
    <row r="48" spans="1:32" x14ac:dyDescent="0.3">
      <c r="A48" s="51" t="s">
        <v>34</v>
      </c>
      <c r="B48" s="67"/>
      <c r="C48" s="67">
        <v>16976.72</v>
      </c>
      <c r="D48" s="126">
        <v>0.28899999999999998</v>
      </c>
      <c r="E48" s="91">
        <f>C48*D48</f>
        <v>4906.2720799999997</v>
      </c>
      <c r="F48" s="70" t="s">
        <v>36</v>
      </c>
      <c r="H48" s="51" t="s">
        <v>26</v>
      </c>
      <c r="I48" s="67"/>
      <c r="J48" s="67">
        <f>$K$21</f>
        <v>93134.680000000008</v>
      </c>
      <c r="K48" s="126">
        <v>0.34699999999999998</v>
      </c>
      <c r="L48" s="71">
        <f>J48*K48</f>
        <v>32317.733960000001</v>
      </c>
      <c r="M48" s="70" t="s">
        <v>36</v>
      </c>
      <c r="T48" s="51" t="s">
        <v>34</v>
      </c>
      <c r="U48" s="67"/>
      <c r="V48" s="67">
        <v>50387.12</v>
      </c>
      <c r="W48" s="126">
        <v>1.286</v>
      </c>
      <c r="X48" s="71">
        <f>V48*W48</f>
        <v>64797.836320000002</v>
      </c>
      <c r="Y48" s="70" t="s">
        <v>36</v>
      </c>
      <c r="AA48" s="51" t="s">
        <v>34</v>
      </c>
      <c r="AB48" s="67"/>
      <c r="AC48" s="67">
        <f>AC29</f>
        <v>49746.61</v>
      </c>
      <c r="AD48" s="126">
        <v>0.318</v>
      </c>
      <c r="AE48" s="71">
        <f>AC48*AD48</f>
        <v>15819.421980000001</v>
      </c>
      <c r="AF48" s="70" t="s">
        <v>36</v>
      </c>
    </row>
    <row r="49" spans="1:32" x14ac:dyDescent="0.3">
      <c r="A49" s="51" t="s">
        <v>83</v>
      </c>
      <c r="B49" s="67"/>
      <c r="C49" s="67">
        <v>9331.32</v>
      </c>
      <c r="D49" s="126">
        <v>0.17299999999999999</v>
      </c>
      <c r="E49" s="91">
        <f t="shared" ref="E49:E51" si="8">C49*D49</f>
        <v>1614.3183599999998</v>
      </c>
      <c r="F49" s="70" t="s">
        <v>36</v>
      </c>
      <c r="H49" s="51" t="s">
        <v>27</v>
      </c>
      <c r="I49" s="67"/>
      <c r="J49" s="67">
        <f>$L$21</f>
        <v>25847.519999999997</v>
      </c>
      <c r="K49" s="126">
        <v>1.2210000000000001</v>
      </c>
      <c r="L49" s="71">
        <f>J49*K49</f>
        <v>31559.821919999998</v>
      </c>
      <c r="M49" s="70" t="s">
        <v>36</v>
      </c>
      <c r="T49" s="51" t="s">
        <v>83</v>
      </c>
      <c r="U49" s="67"/>
      <c r="V49" s="67">
        <v>25742.12</v>
      </c>
      <c r="W49" s="126">
        <v>1.159</v>
      </c>
      <c r="X49" s="71">
        <f>V49*W49</f>
        <v>29835.11708</v>
      </c>
      <c r="Y49" s="70" t="s">
        <v>36</v>
      </c>
      <c r="AA49" s="51" t="s">
        <v>83</v>
      </c>
      <c r="AB49" s="67"/>
      <c r="AC49" s="67">
        <f>AC30</f>
        <v>29480</v>
      </c>
      <c r="AD49" s="126">
        <v>1.036</v>
      </c>
      <c r="AE49" s="71">
        <f>AC49*AD49</f>
        <v>30541.280000000002</v>
      </c>
      <c r="AF49" s="70" t="s">
        <v>36</v>
      </c>
    </row>
    <row r="50" spans="1:32" x14ac:dyDescent="0.3">
      <c r="A50" s="51" t="s">
        <v>29</v>
      </c>
      <c r="B50" s="67"/>
      <c r="C50" s="67">
        <v>2695.56</v>
      </c>
      <c r="D50" s="126">
        <v>0.14399999999999999</v>
      </c>
      <c r="E50" s="91">
        <f t="shared" si="8"/>
        <v>388.16063999999994</v>
      </c>
      <c r="F50" s="70" t="s">
        <v>36</v>
      </c>
      <c r="H50" s="51" t="s">
        <v>28</v>
      </c>
      <c r="I50" s="67"/>
      <c r="J50" s="67">
        <f>$M$21</f>
        <v>22945.360000000001</v>
      </c>
      <c r="K50" s="126">
        <v>1.0049999999999999</v>
      </c>
      <c r="L50" s="71">
        <f t="shared" ref="L50:L54" si="9">J50*K50</f>
        <v>23060.086799999997</v>
      </c>
      <c r="M50" s="70" t="s">
        <v>36</v>
      </c>
      <c r="T50" s="51" t="s">
        <v>29</v>
      </c>
      <c r="U50" s="67"/>
      <c r="V50" s="67">
        <v>5286.72</v>
      </c>
      <c r="W50" s="126">
        <v>1.127</v>
      </c>
      <c r="X50" s="71">
        <f t="shared" ref="X50:X51" si="10">V50*W50</f>
        <v>5958.1334400000005</v>
      </c>
      <c r="Y50" s="70" t="s">
        <v>36</v>
      </c>
      <c r="AA50" s="51" t="s">
        <v>29</v>
      </c>
      <c r="AB50" s="67"/>
      <c r="AC50" s="67">
        <f t="shared" ref="AC50:AC51" si="11">AC31</f>
        <v>6893</v>
      </c>
      <c r="AD50" s="126">
        <v>0.89100000000000001</v>
      </c>
      <c r="AE50" s="71">
        <f t="shared" ref="AE50:AE51" si="12">AC50*AD50</f>
        <v>6141.6630000000005</v>
      </c>
      <c r="AF50" s="70" t="s">
        <v>36</v>
      </c>
    </row>
    <row r="51" spans="1:32" x14ac:dyDescent="0.3">
      <c r="A51" s="51" t="s">
        <v>84</v>
      </c>
      <c r="B51" s="67"/>
      <c r="C51" s="67">
        <v>1023.28</v>
      </c>
      <c r="D51" s="126">
        <v>0.33200000000000002</v>
      </c>
      <c r="E51" s="91">
        <f t="shared" si="8"/>
        <v>339.72896000000003</v>
      </c>
      <c r="F51" s="70" t="s">
        <v>36</v>
      </c>
      <c r="H51" s="51" t="s">
        <v>29</v>
      </c>
      <c r="I51" s="67"/>
      <c r="J51" s="67">
        <f>$N$21</f>
        <v>13158.16</v>
      </c>
      <c r="K51" s="126">
        <v>0.89500000000000002</v>
      </c>
      <c r="L51" s="71">
        <f t="shared" si="9"/>
        <v>11776.5532</v>
      </c>
      <c r="M51" s="70" t="s">
        <v>36</v>
      </c>
      <c r="T51" s="51" t="s">
        <v>84</v>
      </c>
      <c r="U51" s="67"/>
      <c r="V51" s="67">
        <v>3211.68</v>
      </c>
      <c r="W51" s="126">
        <v>1.08</v>
      </c>
      <c r="X51" s="71">
        <f t="shared" si="10"/>
        <v>3468.6143999999999</v>
      </c>
      <c r="Y51" s="70" t="s">
        <v>36</v>
      </c>
      <c r="AA51" s="51" t="s">
        <v>84</v>
      </c>
      <c r="AB51" s="67"/>
      <c r="AC51" s="67">
        <f t="shared" si="11"/>
        <v>7451</v>
      </c>
      <c r="AD51" s="126">
        <v>0.71899999999999997</v>
      </c>
      <c r="AE51" s="71">
        <f t="shared" si="12"/>
        <v>5357.2690000000002</v>
      </c>
      <c r="AF51" s="70" t="s">
        <v>36</v>
      </c>
    </row>
    <row r="52" spans="1:32" x14ac:dyDescent="0.3">
      <c r="A52" s="51"/>
      <c r="B52" s="67"/>
      <c r="C52" s="11"/>
      <c r="D52" s="11"/>
      <c r="E52" s="11"/>
      <c r="F52" s="50"/>
      <c r="H52" s="51" t="s">
        <v>30</v>
      </c>
      <c r="I52" s="67"/>
      <c r="J52" s="67">
        <f>$O$21</f>
        <v>2402.36</v>
      </c>
      <c r="K52" s="126">
        <v>0.76700000000000002</v>
      </c>
      <c r="L52" s="71">
        <f t="shared" si="9"/>
        <v>1842.6101200000001</v>
      </c>
      <c r="M52" s="70" t="s">
        <v>36</v>
      </c>
      <c r="T52" s="51"/>
      <c r="U52" s="67"/>
      <c r="V52" s="67"/>
      <c r="W52" s="68"/>
      <c r="X52" s="71"/>
      <c r="Y52" s="70"/>
      <c r="AA52" s="51"/>
      <c r="AB52" s="67"/>
      <c r="AC52" s="67"/>
      <c r="AD52" s="68"/>
      <c r="AE52" s="71"/>
      <c r="AF52" s="70"/>
    </row>
    <row r="53" spans="1:32" x14ac:dyDescent="0.3">
      <c r="A53" s="59" t="s">
        <v>4</v>
      </c>
      <c r="B53" s="72">
        <f>SUM(B46:B52)</f>
        <v>1024</v>
      </c>
      <c r="C53" s="73">
        <f>SUM(C46:C52)</f>
        <v>30026.880000000001</v>
      </c>
      <c r="D53" s="74"/>
      <c r="E53" s="75">
        <f>SUM(E46:E52)</f>
        <v>42402.40004</v>
      </c>
      <c r="F53" s="76"/>
      <c r="H53" s="51" t="s">
        <v>31</v>
      </c>
      <c r="I53" s="67"/>
      <c r="J53" s="67">
        <f>$P$21</f>
        <v>713.92000000000007</v>
      </c>
      <c r="K53" s="126">
        <v>0.69</v>
      </c>
      <c r="L53" s="71">
        <f t="shared" si="9"/>
        <v>492.60480000000001</v>
      </c>
      <c r="M53" s="70" t="s">
        <v>36</v>
      </c>
      <c r="T53" s="51"/>
      <c r="U53" s="67"/>
      <c r="V53" s="67"/>
      <c r="W53" s="68"/>
      <c r="X53" s="71"/>
      <c r="Y53" s="70"/>
      <c r="AA53" s="51"/>
      <c r="AB53" s="67"/>
      <c r="AC53" s="67"/>
      <c r="AD53" s="68"/>
      <c r="AE53" s="71"/>
      <c r="AF53" s="70"/>
    </row>
    <row r="54" spans="1:32" x14ac:dyDescent="0.3">
      <c r="D54" s="11"/>
      <c r="E54" s="92"/>
      <c r="F54" s="11"/>
      <c r="H54" s="51" t="s">
        <v>32</v>
      </c>
      <c r="I54" s="67"/>
      <c r="J54" s="67">
        <f>$Q$21</f>
        <v>302</v>
      </c>
      <c r="K54" s="126">
        <v>0.66400000000000003</v>
      </c>
      <c r="L54" s="71">
        <f t="shared" si="9"/>
        <v>200.52800000000002</v>
      </c>
      <c r="M54" s="70" t="s">
        <v>36</v>
      </c>
      <c r="T54" s="51"/>
      <c r="U54" s="67"/>
      <c r="V54" s="67"/>
      <c r="W54" s="68"/>
      <c r="X54" s="71"/>
      <c r="Y54" s="70"/>
      <c r="AA54" s="51"/>
      <c r="AB54" s="67"/>
      <c r="AC54" s="67"/>
      <c r="AD54" s="68"/>
      <c r="AE54" s="71"/>
      <c r="AF54" s="70"/>
    </row>
    <row r="55" spans="1:32" x14ac:dyDescent="0.3">
      <c r="D55" s="11"/>
      <c r="E55" s="93"/>
      <c r="F55" s="11"/>
      <c r="H55" s="51"/>
      <c r="I55" s="67"/>
      <c r="J55" s="11"/>
      <c r="K55" s="11"/>
      <c r="L55" s="11"/>
      <c r="M55" s="50"/>
      <c r="T55" s="51"/>
      <c r="U55" s="67"/>
      <c r="V55" s="11"/>
      <c r="W55" s="11"/>
      <c r="X55" s="11"/>
      <c r="Y55" s="50"/>
      <c r="AA55" s="51"/>
      <c r="AB55" s="67"/>
      <c r="AC55" s="11"/>
      <c r="AD55" s="11"/>
      <c r="AE55" s="11"/>
      <c r="AF55" s="50"/>
    </row>
    <row r="56" spans="1:32" x14ac:dyDescent="0.3">
      <c r="H56" s="59" t="s">
        <v>4</v>
      </c>
      <c r="I56" s="72">
        <f>SUM(I46:I55)</f>
        <v>6136</v>
      </c>
      <c r="J56" s="72">
        <f>SUM(J46:J55)</f>
        <v>158504</v>
      </c>
      <c r="K56" s="74"/>
      <c r="L56" s="75">
        <f>SUM(L46:L55)</f>
        <v>286831.81880000001</v>
      </c>
      <c r="M56" s="76"/>
      <c r="T56" s="59" t="s">
        <v>4</v>
      </c>
      <c r="U56" s="72">
        <f>SUM(U46:U55)</f>
        <v>3132</v>
      </c>
      <c r="V56" s="72">
        <f>SUM(V46:V55)</f>
        <v>84627.64</v>
      </c>
      <c r="W56" s="74"/>
      <c r="X56" s="75">
        <f>SUM(X46:X55)</f>
        <v>126672.74124000002</v>
      </c>
      <c r="Y56" s="76"/>
      <c r="AA56" s="59" t="s">
        <v>4</v>
      </c>
      <c r="AB56" s="72">
        <f>SUM(AB46:AB55)</f>
        <v>2890</v>
      </c>
      <c r="AC56" s="72">
        <f>SUM(AC46:AC55)</f>
        <v>93570.61</v>
      </c>
      <c r="AD56" s="74"/>
      <c r="AE56" s="75">
        <f>SUM(AE46:AE55)</f>
        <v>136612.13398000001</v>
      </c>
      <c r="AF56" s="76"/>
    </row>
    <row r="58" spans="1:32" x14ac:dyDescent="0.3">
      <c r="A58" s="136"/>
      <c r="B58" s="136"/>
      <c r="C58" s="136"/>
      <c r="D58" s="136"/>
      <c r="E58" s="136"/>
      <c r="F58" s="136"/>
      <c r="N58" s="62"/>
      <c r="O58" s="62"/>
      <c r="P58" s="62"/>
      <c r="Q58" s="62"/>
      <c r="R58" s="62"/>
    </row>
    <row r="59" spans="1:32" x14ac:dyDescent="0.3">
      <c r="A59" s="136" t="s">
        <v>50</v>
      </c>
      <c r="B59" s="136"/>
      <c r="C59" s="136"/>
      <c r="D59" s="136"/>
      <c r="E59" s="136"/>
      <c r="F59" s="136"/>
      <c r="H59" s="135" t="s">
        <v>70</v>
      </c>
      <c r="I59" s="135"/>
      <c r="J59" s="135"/>
      <c r="K59" s="135"/>
      <c r="L59" s="135"/>
      <c r="M59" s="135"/>
      <c r="T59" s="135" t="s">
        <v>93</v>
      </c>
      <c r="U59" s="135"/>
      <c r="V59" s="135"/>
      <c r="W59" s="135"/>
      <c r="X59" s="135"/>
      <c r="Y59" s="135"/>
      <c r="AA59" s="135" t="s">
        <v>102</v>
      </c>
      <c r="AB59" s="135"/>
      <c r="AC59" s="135"/>
      <c r="AD59" s="135"/>
      <c r="AE59" s="135"/>
      <c r="AF59" s="135"/>
    </row>
    <row r="60" spans="1:32" x14ac:dyDescent="0.3">
      <c r="A60" s="136" t="s">
        <v>47</v>
      </c>
      <c r="B60" s="136"/>
      <c r="C60" s="136"/>
      <c r="D60" s="136"/>
      <c r="E60" s="136"/>
      <c r="F60" s="136"/>
      <c r="H60" s="136" t="s">
        <v>47</v>
      </c>
      <c r="I60" s="136"/>
      <c r="J60" s="136"/>
      <c r="K60" s="136"/>
      <c r="L60" s="136"/>
      <c r="M60" s="136"/>
      <c r="T60" s="136" t="s">
        <v>47</v>
      </c>
      <c r="U60" s="136"/>
      <c r="V60" s="136"/>
      <c r="W60" s="136"/>
      <c r="X60" s="136"/>
      <c r="Y60" s="136"/>
      <c r="AA60" s="136" t="s">
        <v>47</v>
      </c>
      <c r="AB60" s="136"/>
      <c r="AC60" s="136"/>
      <c r="AD60" s="136"/>
      <c r="AE60" s="136"/>
      <c r="AF60" s="136"/>
    </row>
    <row r="61" spans="1:32" x14ac:dyDescent="0.3">
      <c r="A61" s="137" t="s">
        <v>42</v>
      </c>
      <c r="B61" s="137"/>
      <c r="C61" s="137"/>
      <c r="D61" s="137"/>
      <c r="E61" s="137"/>
      <c r="F61" s="137"/>
      <c r="H61" s="135" t="s">
        <v>42</v>
      </c>
      <c r="I61" s="135"/>
      <c r="J61" s="135"/>
      <c r="K61" s="135"/>
      <c r="L61" s="135"/>
      <c r="M61" s="135"/>
      <c r="T61" s="135" t="s">
        <v>42</v>
      </c>
      <c r="U61" s="135"/>
      <c r="V61" s="135"/>
      <c r="W61" s="135"/>
      <c r="X61" s="135"/>
      <c r="Y61" s="135"/>
      <c r="AA61" s="135" t="s">
        <v>42</v>
      </c>
      <c r="AB61" s="135"/>
      <c r="AC61" s="135"/>
      <c r="AD61" s="135"/>
      <c r="AE61" s="135"/>
      <c r="AF61" s="135"/>
    </row>
    <row r="62" spans="1:32" ht="35.1" customHeight="1" x14ac:dyDescent="0.3">
      <c r="A62" s="64">
        <v>-1</v>
      </c>
      <c r="B62" s="65">
        <v>-2</v>
      </c>
      <c r="C62" s="65">
        <v>-3</v>
      </c>
      <c r="D62" s="65">
        <v>-4</v>
      </c>
      <c r="E62" s="65">
        <v>-5</v>
      </c>
      <c r="F62" s="47"/>
      <c r="H62" s="64">
        <v>-1</v>
      </c>
      <c r="I62" s="65">
        <v>-2</v>
      </c>
      <c r="J62" s="65">
        <v>-3</v>
      </c>
      <c r="K62" s="65">
        <v>-4</v>
      </c>
      <c r="L62" s="65">
        <v>-5</v>
      </c>
      <c r="M62" s="47"/>
      <c r="T62" s="64">
        <v>-1</v>
      </c>
      <c r="U62" s="65">
        <v>-2</v>
      </c>
      <c r="V62" s="65">
        <v>-3</v>
      </c>
      <c r="W62" s="65">
        <v>-4</v>
      </c>
      <c r="X62" s="65">
        <v>-5</v>
      </c>
      <c r="Y62" s="47"/>
      <c r="AA62" s="64">
        <v>-1</v>
      </c>
      <c r="AB62" s="65">
        <v>-2</v>
      </c>
      <c r="AC62" s="65">
        <v>-3</v>
      </c>
      <c r="AD62" s="65">
        <v>-4</v>
      </c>
      <c r="AE62" s="65">
        <v>-5</v>
      </c>
      <c r="AF62" s="47"/>
    </row>
    <row r="63" spans="1:32" x14ac:dyDescent="0.3">
      <c r="A63" s="51"/>
      <c r="B63" s="83" t="s">
        <v>5</v>
      </c>
      <c r="C63" s="83" t="s">
        <v>0</v>
      </c>
      <c r="D63" s="83" t="s">
        <v>15</v>
      </c>
      <c r="E63" s="83" t="s">
        <v>16</v>
      </c>
      <c r="F63" s="10" t="s">
        <v>35</v>
      </c>
      <c r="H63" s="51"/>
      <c r="I63" s="83" t="s">
        <v>5</v>
      </c>
      <c r="J63" s="55" t="s">
        <v>0</v>
      </c>
      <c r="K63" s="66" t="s">
        <v>15</v>
      </c>
      <c r="L63" s="66" t="s">
        <v>16</v>
      </c>
      <c r="M63" s="10" t="s">
        <v>35</v>
      </c>
      <c r="T63" s="51"/>
      <c r="U63" s="83" t="s">
        <v>5</v>
      </c>
      <c r="V63" s="66" t="s">
        <v>0</v>
      </c>
      <c r="W63" s="66" t="s">
        <v>15</v>
      </c>
      <c r="X63" s="66" t="s">
        <v>16</v>
      </c>
      <c r="Y63" s="10" t="s">
        <v>35</v>
      </c>
      <c r="AA63" s="51"/>
      <c r="AB63" s="63" t="s">
        <v>5</v>
      </c>
      <c r="AC63" s="66" t="s">
        <v>0</v>
      </c>
      <c r="AD63" s="66" t="s">
        <v>15</v>
      </c>
      <c r="AE63" s="66" t="s">
        <v>16</v>
      </c>
      <c r="AF63" s="10" t="s">
        <v>35</v>
      </c>
    </row>
    <row r="64" spans="1:32" x14ac:dyDescent="0.3">
      <c r="A64" s="51" t="s">
        <v>85</v>
      </c>
      <c r="B64" s="67">
        <f>B46</f>
        <v>1024</v>
      </c>
      <c r="C64" s="67"/>
      <c r="D64" s="125">
        <v>36.54</v>
      </c>
      <c r="E64" s="69">
        <f>B64*D64</f>
        <v>37416.959999999999</v>
      </c>
      <c r="F64" s="70" t="s">
        <v>24</v>
      </c>
      <c r="H64" s="51" t="s">
        <v>85</v>
      </c>
      <c r="I64" s="82">
        <f>I46</f>
        <v>6124</v>
      </c>
      <c r="J64" s="66"/>
      <c r="K64" s="125">
        <v>33.81</v>
      </c>
      <c r="L64" s="69">
        <f>I64*K64</f>
        <v>207052.44</v>
      </c>
      <c r="M64" s="70" t="s">
        <v>24</v>
      </c>
      <c r="T64" s="51" t="s">
        <v>85</v>
      </c>
      <c r="U64" s="82">
        <f>U46</f>
        <v>3132</v>
      </c>
      <c r="V64" s="66"/>
      <c r="W64" s="125">
        <v>16.62</v>
      </c>
      <c r="X64" s="69">
        <f>U64*W64</f>
        <v>52053.840000000004</v>
      </c>
      <c r="Y64" s="70" t="s">
        <v>24</v>
      </c>
      <c r="AA64" s="51" t="s">
        <v>85</v>
      </c>
      <c r="AB64" s="82">
        <f>AB46</f>
        <v>2890</v>
      </c>
      <c r="AC64" s="66"/>
      <c r="AD64" s="125">
        <v>31.49</v>
      </c>
      <c r="AE64" s="69">
        <f>AB64*AD64</f>
        <v>91006.099999999991</v>
      </c>
      <c r="AF64" s="70" t="s">
        <v>24</v>
      </c>
    </row>
    <row r="65" spans="1:32" x14ac:dyDescent="0.3">
      <c r="A65" s="51" t="s">
        <v>89</v>
      </c>
      <c r="B65" s="67">
        <f>B47</f>
        <v>0</v>
      </c>
      <c r="C65" s="67"/>
      <c r="D65" s="125">
        <v>110.89</v>
      </c>
      <c r="E65" s="71">
        <f>B65*D65</f>
        <v>0</v>
      </c>
      <c r="F65" s="70" t="s">
        <v>24</v>
      </c>
      <c r="H65" s="51" t="s">
        <v>89</v>
      </c>
      <c r="I65" s="82">
        <f>I47</f>
        <v>12</v>
      </c>
      <c r="J65" s="66"/>
      <c r="K65" s="125">
        <v>118.78</v>
      </c>
      <c r="L65" s="71">
        <f>I65*K65</f>
        <v>1425.3600000000001</v>
      </c>
      <c r="M65" s="70" t="s">
        <v>24</v>
      </c>
      <c r="T65" s="51" t="s">
        <v>89</v>
      </c>
      <c r="U65" s="82">
        <f>U47</f>
        <v>0</v>
      </c>
      <c r="V65" s="66"/>
      <c r="W65" s="125">
        <v>97.34</v>
      </c>
      <c r="X65" s="71">
        <f>U65*W65</f>
        <v>0</v>
      </c>
      <c r="Y65" s="70" t="s">
        <v>24</v>
      </c>
      <c r="AA65" s="51" t="s">
        <v>89</v>
      </c>
      <c r="AB65" s="82">
        <f>AB47</f>
        <v>0</v>
      </c>
      <c r="AC65" s="66"/>
      <c r="AD65" s="125">
        <v>112.21</v>
      </c>
      <c r="AE65" s="71">
        <f>AB65*AD65</f>
        <v>0</v>
      </c>
      <c r="AF65" s="70" t="s">
        <v>24</v>
      </c>
    </row>
    <row r="66" spans="1:32" x14ac:dyDescent="0.3">
      <c r="A66" s="51" t="s">
        <v>34</v>
      </c>
      <c r="B66" s="67"/>
      <c r="C66" s="67">
        <f>C48</f>
        <v>16976.72</v>
      </c>
      <c r="D66" s="126">
        <v>0.67400000000000004</v>
      </c>
      <c r="E66" s="91">
        <f>C66*D66</f>
        <v>11442.309280000001</v>
      </c>
      <c r="F66" s="70" t="s">
        <v>36</v>
      </c>
      <c r="H66" s="51" t="s">
        <v>26</v>
      </c>
      <c r="I66" s="57"/>
      <c r="J66" s="67">
        <f>$K$21</f>
        <v>93134.680000000008</v>
      </c>
      <c r="K66" s="126">
        <v>0.77</v>
      </c>
      <c r="L66" s="71">
        <f>J66*K66</f>
        <v>71713.703600000008</v>
      </c>
      <c r="M66" s="70" t="s">
        <v>36</v>
      </c>
      <c r="T66" s="51" t="s">
        <v>34</v>
      </c>
      <c r="U66" s="57"/>
      <c r="V66" s="67">
        <f>V48</f>
        <v>50387.12</v>
      </c>
      <c r="W66" s="126">
        <v>1.4510000000000001</v>
      </c>
      <c r="X66" s="71">
        <f>V66*W66</f>
        <v>73111.711120000007</v>
      </c>
      <c r="Y66" s="70" t="s">
        <v>36</v>
      </c>
      <c r="AA66" s="51" t="s">
        <v>34</v>
      </c>
      <c r="AB66" s="57"/>
      <c r="AC66" s="67">
        <f>AC48</f>
        <v>49746.61</v>
      </c>
      <c r="AD66" s="126">
        <v>0.73199999999999998</v>
      </c>
      <c r="AE66" s="71">
        <f>AC66*AD66</f>
        <v>36414.518519999998</v>
      </c>
      <c r="AF66" s="70" t="s">
        <v>36</v>
      </c>
    </row>
    <row r="67" spans="1:32" x14ac:dyDescent="0.3">
      <c r="A67" s="51" t="s">
        <v>83</v>
      </c>
      <c r="B67" s="67"/>
      <c r="C67" s="67">
        <f t="shared" ref="C67:C69" si="13">C49</f>
        <v>9331.32</v>
      </c>
      <c r="D67" s="126">
        <v>0.40500000000000003</v>
      </c>
      <c r="E67" s="91">
        <f t="shared" ref="E67:E69" si="14">C67*D67</f>
        <v>3779.1846</v>
      </c>
      <c r="F67" s="70" t="s">
        <v>36</v>
      </c>
      <c r="H67" s="51" t="s">
        <v>27</v>
      </c>
      <c r="I67" s="11"/>
      <c r="J67" s="67">
        <f>$L$21</f>
        <v>25847.519999999997</v>
      </c>
      <c r="K67" s="126">
        <v>1.2030000000000001</v>
      </c>
      <c r="L67" s="71">
        <f>J67*K67</f>
        <v>31094.566559999999</v>
      </c>
      <c r="M67" s="70" t="s">
        <v>36</v>
      </c>
      <c r="T67" s="51" t="s">
        <v>83</v>
      </c>
      <c r="U67" s="11"/>
      <c r="V67" s="67">
        <f t="shared" ref="V67:V69" si="15">V49</f>
        <v>25742.12</v>
      </c>
      <c r="W67" s="126">
        <v>1.1579999999999999</v>
      </c>
      <c r="X67" s="71">
        <f>V67*W67</f>
        <v>29809.374959999997</v>
      </c>
      <c r="Y67" s="70" t="s">
        <v>36</v>
      </c>
      <c r="AA67" s="51" t="s">
        <v>83</v>
      </c>
      <c r="AB67" s="11"/>
      <c r="AC67" s="67">
        <f t="shared" ref="AC67:AC69" si="16">AC49</f>
        <v>29480</v>
      </c>
      <c r="AD67" s="126">
        <v>1.0669999999999999</v>
      </c>
      <c r="AE67" s="71">
        <f>AC67*AD67</f>
        <v>31455.16</v>
      </c>
      <c r="AF67" s="70" t="s">
        <v>36</v>
      </c>
    </row>
    <row r="68" spans="1:32" x14ac:dyDescent="0.3">
      <c r="A68" s="51" t="s">
        <v>29</v>
      </c>
      <c r="B68" s="67"/>
      <c r="C68" s="67">
        <f t="shared" si="13"/>
        <v>2695.56</v>
      </c>
      <c r="D68" s="126">
        <v>0.33700000000000002</v>
      </c>
      <c r="E68" s="91">
        <f t="shared" si="14"/>
        <v>908.40372000000002</v>
      </c>
      <c r="F68" s="70" t="s">
        <v>36</v>
      </c>
      <c r="H68" s="51" t="s">
        <v>28</v>
      </c>
      <c r="I68" s="11"/>
      <c r="J68" s="67">
        <f>$M$21</f>
        <v>22945.360000000001</v>
      </c>
      <c r="K68" s="126">
        <v>1.046</v>
      </c>
      <c r="L68" s="71">
        <f t="shared" ref="L68:L72" si="17">J68*K68</f>
        <v>24000.846560000002</v>
      </c>
      <c r="M68" s="70" t="s">
        <v>36</v>
      </c>
      <c r="T68" s="51" t="s">
        <v>29</v>
      </c>
      <c r="U68" s="11"/>
      <c r="V68" s="67">
        <f t="shared" si="15"/>
        <v>5286.72</v>
      </c>
      <c r="W68" s="126">
        <v>1.085</v>
      </c>
      <c r="X68" s="71">
        <f t="shared" ref="X68:X69" si="18">V68*W68</f>
        <v>5736.0911999999998</v>
      </c>
      <c r="Y68" s="70" t="s">
        <v>36</v>
      </c>
      <c r="AA68" s="51" t="s">
        <v>29</v>
      </c>
      <c r="AB68" s="11"/>
      <c r="AC68" s="67">
        <f t="shared" si="16"/>
        <v>6893</v>
      </c>
      <c r="AD68" s="126">
        <v>0.91</v>
      </c>
      <c r="AE68" s="71">
        <f t="shared" ref="AE68:AE69" si="19">AC68*AD68</f>
        <v>6272.63</v>
      </c>
      <c r="AF68" s="70" t="s">
        <v>36</v>
      </c>
    </row>
    <row r="69" spans="1:32" x14ac:dyDescent="0.3">
      <c r="A69" s="51" t="s">
        <v>84</v>
      </c>
      <c r="B69" s="67"/>
      <c r="C69" s="67">
        <f t="shared" si="13"/>
        <v>1023.28</v>
      </c>
      <c r="D69" s="126">
        <v>0.41299999999999998</v>
      </c>
      <c r="E69" s="91">
        <f t="shared" si="14"/>
        <v>422.61463999999995</v>
      </c>
      <c r="F69" s="70" t="s">
        <v>36</v>
      </c>
      <c r="H69" s="51" t="s">
        <v>29</v>
      </c>
      <c r="I69" s="11"/>
      <c r="J69" s="67">
        <f>$N$21</f>
        <v>13158.16</v>
      </c>
      <c r="K69" s="126">
        <v>0.91300000000000003</v>
      </c>
      <c r="L69" s="71">
        <f t="shared" si="17"/>
        <v>12013.400079999999</v>
      </c>
      <c r="M69" s="70" t="s">
        <v>36</v>
      </c>
      <c r="T69" s="51" t="s">
        <v>84</v>
      </c>
      <c r="U69" s="11"/>
      <c r="V69" s="67">
        <f t="shared" si="15"/>
        <v>3211.68</v>
      </c>
      <c r="W69" s="126">
        <v>0.97499999999999998</v>
      </c>
      <c r="X69" s="71">
        <f t="shared" si="18"/>
        <v>3131.3879999999999</v>
      </c>
      <c r="Y69" s="70" t="s">
        <v>36</v>
      </c>
      <c r="AA69" s="51" t="s">
        <v>84</v>
      </c>
      <c r="AB69" s="11"/>
      <c r="AC69" s="67">
        <f t="shared" si="16"/>
        <v>7451</v>
      </c>
      <c r="AD69" s="126">
        <v>0.70699999999999996</v>
      </c>
      <c r="AE69" s="71">
        <f t="shared" si="19"/>
        <v>5267.857</v>
      </c>
      <c r="AF69" s="70" t="s">
        <v>36</v>
      </c>
    </row>
    <row r="70" spans="1:32" x14ac:dyDescent="0.3">
      <c r="A70" s="51"/>
      <c r="B70" s="67"/>
      <c r="C70" s="11"/>
      <c r="D70" s="11"/>
      <c r="E70" s="11"/>
      <c r="F70" s="50"/>
      <c r="H70" s="51" t="s">
        <v>30</v>
      </c>
      <c r="I70" s="11"/>
      <c r="J70" s="67">
        <f>$O$21</f>
        <v>2402.36</v>
      </c>
      <c r="K70" s="126">
        <v>0.74199999999999999</v>
      </c>
      <c r="L70" s="71">
        <f t="shared" si="17"/>
        <v>1782.5511200000001</v>
      </c>
      <c r="M70" s="70" t="s">
        <v>36</v>
      </c>
      <c r="T70" s="51"/>
      <c r="U70" s="11"/>
      <c r="V70" s="67"/>
      <c r="W70" s="68"/>
      <c r="X70" s="71"/>
      <c r="Y70" s="70"/>
      <c r="AA70" s="51"/>
      <c r="AB70" s="11"/>
      <c r="AC70" s="67"/>
      <c r="AD70" s="68"/>
      <c r="AE70" s="71"/>
      <c r="AF70" s="70"/>
    </row>
    <row r="71" spans="1:32" x14ac:dyDescent="0.3">
      <c r="A71" s="59" t="s">
        <v>4</v>
      </c>
      <c r="B71" s="72">
        <f>SUM(B64:B70)</f>
        <v>1024</v>
      </c>
      <c r="C71" s="73">
        <f>SUM(C64:C70)</f>
        <v>30026.880000000001</v>
      </c>
      <c r="D71" s="74"/>
      <c r="E71" s="75">
        <f>SUM(E64:E70)</f>
        <v>53969.472240000003</v>
      </c>
      <c r="F71" s="76"/>
      <c r="H71" s="51" t="s">
        <v>31</v>
      </c>
      <c r="I71" s="11"/>
      <c r="J71" s="67">
        <f>$P$21</f>
        <v>713.92000000000007</v>
      </c>
      <c r="K71" s="126">
        <v>0.68600000000000005</v>
      </c>
      <c r="L71" s="71">
        <f t="shared" si="17"/>
        <v>489.74912000000006</v>
      </c>
      <c r="M71" s="70" t="s">
        <v>36</v>
      </c>
      <c r="T71" s="51"/>
      <c r="U71" s="11"/>
      <c r="V71" s="67"/>
      <c r="W71" s="68"/>
      <c r="X71" s="71"/>
      <c r="Y71" s="70"/>
      <c r="AA71" s="51"/>
      <c r="AB71" s="11"/>
      <c r="AC71" s="67"/>
      <c r="AD71" s="68"/>
      <c r="AE71" s="71"/>
      <c r="AF71" s="70"/>
    </row>
    <row r="72" spans="1:32" x14ac:dyDescent="0.3">
      <c r="D72" s="11"/>
      <c r="E72" s="69"/>
      <c r="F72" s="11"/>
      <c r="H72" s="51" t="s">
        <v>32</v>
      </c>
      <c r="I72" s="11"/>
      <c r="J72" s="67">
        <f>$Q$21</f>
        <v>302</v>
      </c>
      <c r="K72" s="126">
        <v>0.66700000000000004</v>
      </c>
      <c r="L72" s="71">
        <f t="shared" si="17"/>
        <v>201.434</v>
      </c>
      <c r="M72" s="70" t="s">
        <v>36</v>
      </c>
      <c r="T72" s="51"/>
      <c r="U72" s="11"/>
      <c r="V72" s="67"/>
      <c r="W72" s="68"/>
      <c r="X72" s="71"/>
      <c r="Y72" s="70"/>
      <c r="AA72" s="51"/>
      <c r="AB72" s="11"/>
      <c r="AC72" s="67"/>
      <c r="AD72" s="68"/>
      <c r="AE72" s="71"/>
      <c r="AF72" s="70"/>
    </row>
    <row r="73" spans="1:32" x14ac:dyDescent="0.3">
      <c r="D73" s="11"/>
      <c r="E73" s="11"/>
      <c r="F73" s="11"/>
      <c r="H73" s="51"/>
      <c r="I73" s="11"/>
      <c r="J73" s="11"/>
      <c r="K73" s="11"/>
      <c r="L73" s="11"/>
      <c r="M73" s="50"/>
      <c r="T73" s="51"/>
      <c r="U73" s="11"/>
      <c r="V73" s="11"/>
      <c r="W73" s="11"/>
      <c r="X73" s="11"/>
      <c r="Y73" s="50"/>
      <c r="AA73" s="51"/>
      <c r="AB73" s="11"/>
      <c r="AC73" s="11"/>
      <c r="AD73" s="11"/>
      <c r="AE73" s="11"/>
      <c r="AF73" s="50"/>
    </row>
    <row r="74" spans="1:32" x14ac:dyDescent="0.3">
      <c r="D74" s="11"/>
      <c r="E74" s="92"/>
      <c r="F74" s="11"/>
      <c r="H74" s="59" t="s">
        <v>4</v>
      </c>
      <c r="I74" s="73">
        <f>SUM(I64:I73)</f>
        <v>6136</v>
      </c>
      <c r="J74" s="73">
        <f>SUM(J64:J73)</f>
        <v>158504</v>
      </c>
      <c r="K74" s="74"/>
      <c r="L74" s="75">
        <f>SUM(L64:L73)</f>
        <v>349774.05103999999</v>
      </c>
      <c r="M74" s="76"/>
      <c r="T74" s="59" t="s">
        <v>4</v>
      </c>
      <c r="U74" s="73">
        <f>SUM(U64:U73)</f>
        <v>3132</v>
      </c>
      <c r="V74" s="73">
        <f>SUM(V64:V73)</f>
        <v>84627.64</v>
      </c>
      <c r="W74" s="74"/>
      <c r="X74" s="75">
        <f>SUM(X64:X73)</f>
        <v>163842.40528000001</v>
      </c>
      <c r="Y74" s="76"/>
      <c r="AA74" s="59" t="s">
        <v>4</v>
      </c>
      <c r="AB74" s="73">
        <f>SUM(AB64:AB73)</f>
        <v>2890</v>
      </c>
      <c r="AC74" s="73">
        <f>SUM(AC64:AC73)</f>
        <v>93570.61</v>
      </c>
      <c r="AD74" s="74"/>
      <c r="AE74" s="75">
        <f>SUM(AE64:AE73)</f>
        <v>170416.26551999999</v>
      </c>
      <c r="AF74" s="76"/>
    </row>
    <row r="75" spans="1:32" x14ac:dyDescent="0.3">
      <c r="D75" s="11"/>
      <c r="E75" s="93"/>
      <c r="F75" s="11"/>
    </row>
    <row r="76" spans="1:32" x14ac:dyDescent="0.3">
      <c r="A76" s="136"/>
      <c r="B76" s="136"/>
      <c r="C76" s="136"/>
      <c r="D76" s="136"/>
      <c r="E76" s="136"/>
      <c r="F76" s="136"/>
    </row>
    <row r="77" spans="1:32" x14ac:dyDescent="0.3">
      <c r="A77" s="136"/>
      <c r="B77" s="136"/>
      <c r="C77" s="136"/>
      <c r="D77" s="136"/>
      <c r="E77" s="136"/>
      <c r="F77" s="136"/>
    </row>
    <row r="78" spans="1:32" x14ac:dyDescent="0.3">
      <c r="A78" s="136" t="s">
        <v>50</v>
      </c>
      <c r="B78" s="136"/>
      <c r="C78" s="136"/>
      <c r="D78" s="136"/>
      <c r="E78" s="136"/>
      <c r="F78" s="136"/>
      <c r="H78" s="135" t="s">
        <v>70</v>
      </c>
      <c r="I78" s="135"/>
      <c r="J78" s="135"/>
      <c r="K78" s="135"/>
      <c r="L78" s="135"/>
      <c r="M78" s="135"/>
      <c r="T78" s="135" t="s">
        <v>93</v>
      </c>
      <c r="U78" s="135"/>
      <c r="V78" s="135"/>
      <c r="W78" s="135"/>
      <c r="X78" s="135"/>
      <c r="Y78" s="135"/>
      <c r="AA78" s="135" t="s">
        <v>102</v>
      </c>
      <c r="AB78" s="135"/>
      <c r="AC78" s="135"/>
      <c r="AD78" s="135"/>
      <c r="AE78" s="135"/>
      <c r="AF78" s="135"/>
    </row>
    <row r="79" spans="1:32" x14ac:dyDescent="0.3">
      <c r="A79" s="136" t="s">
        <v>73</v>
      </c>
      <c r="B79" s="136"/>
      <c r="C79" s="136"/>
      <c r="D79" s="136"/>
      <c r="E79" s="136"/>
      <c r="F79" s="136"/>
      <c r="H79" s="136" t="s">
        <v>73</v>
      </c>
      <c r="I79" s="136"/>
      <c r="J79" s="136"/>
      <c r="K79" s="136"/>
      <c r="L79" s="136"/>
      <c r="M79" s="136"/>
      <c r="T79" s="136" t="s">
        <v>73</v>
      </c>
      <c r="U79" s="136"/>
      <c r="V79" s="136"/>
      <c r="W79" s="136"/>
      <c r="X79" s="136"/>
      <c r="Y79" s="136"/>
      <c r="AA79" s="136" t="s">
        <v>73</v>
      </c>
      <c r="AB79" s="136"/>
      <c r="AC79" s="136"/>
      <c r="AD79" s="136"/>
      <c r="AE79" s="136"/>
      <c r="AF79" s="136"/>
    </row>
    <row r="80" spans="1:32" x14ac:dyDescent="0.3">
      <c r="A80" s="137" t="s">
        <v>42</v>
      </c>
      <c r="B80" s="137"/>
      <c r="C80" s="137"/>
      <c r="D80" s="137"/>
      <c r="E80" s="137"/>
      <c r="F80" s="137"/>
      <c r="H80" s="135" t="s">
        <v>42</v>
      </c>
      <c r="I80" s="135"/>
      <c r="J80" s="135"/>
      <c r="K80" s="135"/>
      <c r="L80" s="135"/>
      <c r="M80" s="135"/>
      <c r="T80" s="135" t="s">
        <v>42</v>
      </c>
      <c r="U80" s="135"/>
      <c r="V80" s="135"/>
      <c r="W80" s="135"/>
      <c r="X80" s="135"/>
      <c r="Y80" s="135"/>
      <c r="AA80" s="135" t="s">
        <v>42</v>
      </c>
      <c r="AB80" s="135"/>
      <c r="AC80" s="135"/>
      <c r="AD80" s="135"/>
      <c r="AE80" s="135"/>
      <c r="AF80" s="135"/>
    </row>
    <row r="81" spans="1:32" x14ac:dyDescent="0.3">
      <c r="A81" s="64">
        <v>-1</v>
      </c>
      <c r="B81" s="65">
        <v>-2</v>
      </c>
      <c r="C81" s="65">
        <v>-3</v>
      </c>
      <c r="D81" s="65">
        <v>-4</v>
      </c>
      <c r="E81" s="65">
        <v>-5</v>
      </c>
      <c r="F81" s="47"/>
      <c r="H81" s="64">
        <v>-1</v>
      </c>
      <c r="I81" s="65">
        <v>-2</v>
      </c>
      <c r="J81" s="65">
        <v>-3</v>
      </c>
      <c r="K81" s="65">
        <v>-4</v>
      </c>
      <c r="L81" s="65">
        <v>-5</v>
      </c>
      <c r="M81" s="47"/>
      <c r="T81" s="64">
        <v>-1</v>
      </c>
      <c r="U81" s="65">
        <v>-2</v>
      </c>
      <c r="V81" s="65">
        <v>-3</v>
      </c>
      <c r="W81" s="65">
        <v>-4</v>
      </c>
      <c r="X81" s="65">
        <v>-5</v>
      </c>
      <c r="Y81" s="47"/>
      <c r="AA81" s="64">
        <v>-1</v>
      </c>
      <c r="AB81" s="65">
        <v>-2</v>
      </c>
      <c r="AC81" s="65">
        <v>-3</v>
      </c>
      <c r="AD81" s="65">
        <v>-4</v>
      </c>
      <c r="AE81" s="65">
        <v>-5</v>
      </c>
      <c r="AF81" s="47"/>
    </row>
    <row r="82" spans="1:32" x14ac:dyDescent="0.3">
      <c r="A82" s="51"/>
      <c r="B82" s="83" t="s">
        <v>5</v>
      </c>
      <c r="C82" s="83" t="s">
        <v>0</v>
      </c>
      <c r="D82" s="83" t="s">
        <v>15</v>
      </c>
      <c r="E82" s="83" t="s">
        <v>16</v>
      </c>
      <c r="F82" s="10" t="s">
        <v>35</v>
      </c>
      <c r="H82" s="51"/>
      <c r="I82" s="83" t="s">
        <v>5</v>
      </c>
      <c r="J82" s="55" t="s">
        <v>0</v>
      </c>
      <c r="K82" s="66" t="s">
        <v>15</v>
      </c>
      <c r="L82" s="66" t="s">
        <v>16</v>
      </c>
      <c r="M82" s="10" t="s">
        <v>35</v>
      </c>
      <c r="T82" s="51"/>
      <c r="U82" s="83" t="s">
        <v>5</v>
      </c>
      <c r="V82" s="66" t="s">
        <v>0</v>
      </c>
      <c r="W82" s="66" t="s">
        <v>15</v>
      </c>
      <c r="X82" s="66" t="s">
        <v>16</v>
      </c>
      <c r="Y82" s="10" t="s">
        <v>35</v>
      </c>
      <c r="AA82" s="51"/>
      <c r="AB82" s="63" t="s">
        <v>5</v>
      </c>
      <c r="AC82" s="66" t="s">
        <v>0</v>
      </c>
      <c r="AD82" s="66" t="s">
        <v>15</v>
      </c>
      <c r="AE82" s="66" t="s">
        <v>16</v>
      </c>
      <c r="AF82" s="10" t="s">
        <v>35</v>
      </c>
    </row>
    <row r="83" spans="1:32" x14ac:dyDescent="0.3">
      <c r="A83" s="51" t="s">
        <v>85</v>
      </c>
      <c r="B83" s="67">
        <f>B64</f>
        <v>1024</v>
      </c>
      <c r="C83" s="67"/>
      <c r="D83" s="125">
        <v>39.64</v>
      </c>
      <c r="E83" s="69">
        <f>B83*D83</f>
        <v>40591.360000000001</v>
      </c>
      <c r="F83" s="70" t="s">
        <v>24</v>
      </c>
      <c r="H83" s="51" t="s">
        <v>85</v>
      </c>
      <c r="I83" s="82">
        <f>I64</f>
        <v>6124</v>
      </c>
      <c r="J83" s="66"/>
      <c r="K83" s="125">
        <v>38.22</v>
      </c>
      <c r="L83" s="69">
        <f>I83*K83</f>
        <v>234059.28</v>
      </c>
      <c r="M83" s="70" t="s">
        <v>24</v>
      </c>
      <c r="T83" s="51" t="s">
        <v>85</v>
      </c>
      <c r="U83" s="82">
        <f>U64</f>
        <v>3132</v>
      </c>
      <c r="V83" s="66"/>
      <c r="W83" s="125">
        <v>28.42</v>
      </c>
      <c r="X83" s="69">
        <f>U83*W83</f>
        <v>89011.44</v>
      </c>
      <c r="Y83" s="70" t="s">
        <v>24</v>
      </c>
      <c r="AA83" s="51" t="s">
        <v>85</v>
      </c>
      <c r="AB83" s="82">
        <f>AB64</f>
        <v>2890</v>
      </c>
      <c r="AC83" s="66"/>
      <c r="AD83" s="125">
        <v>37.020000000000003</v>
      </c>
      <c r="AE83" s="69">
        <f>AB83*AD83</f>
        <v>106987.8</v>
      </c>
      <c r="AF83" s="70" t="s">
        <v>24</v>
      </c>
    </row>
    <row r="84" spans="1:32" x14ac:dyDescent="0.3">
      <c r="A84" s="51" t="s">
        <v>89</v>
      </c>
      <c r="B84" s="67">
        <f>B65</f>
        <v>0</v>
      </c>
      <c r="C84" s="67"/>
      <c r="D84" s="125">
        <v>173.47</v>
      </c>
      <c r="E84" s="71">
        <f>B84*D84</f>
        <v>0</v>
      </c>
      <c r="F84" s="70" t="s">
        <v>24</v>
      </c>
      <c r="H84" s="51" t="s">
        <v>89</v>
      </c>
      <c r="I84" s="82">
        <f>I65</f>
        <v>12</v>
      </c>
      <c r="J84" s="66"/>
      <c r="K84" s="125">
        <v>179.91</v>
      </c>
      <c r="L84" s="71">
        <f>I84*K84</f>
        <v>2158.92</v>
      </c>
      <c r="M84" s="70" t="s">
        <v>24</v>
      </c>
      <c r="T84" s="51" t="s">
        <v>89</v>
      </c>
      <c r="U84" s="82">
        <f>U65</f>
        <v>0</v>
      </c>
      <c r="V84" s="66"/>
      <c r="W84" s="125">
        <v>166.5</v>
      </c>
      <c r="X84" s="71">
        <f>U84*W84</f>
        <v>0</v>
      </c>
      <c r="Y84" s="70" t="s">
        <v>24</v>
      </c>
      <c r="AA84" s="51" t="s">
        <v>89</v>
      </c>
      <c r="AB84" s="82">
        <f>AB65</f>
        <v>0</v>
      </c>
      <c r="AC84" s="66"/>
      <c r="AD84" s="125">
        <v>177.22</v>
      </c>
      <c r="AE84" s="71">
        <f>AB84*AD84</f>
        <v>0</v>
      </c>
      <c r="AF84" s="70" t="s">
        <v>24</v>
      </c>
    </row>
    <row r="85" spans="1:32" x14ac:dyDescent="0.3">
      <c r="A85" s="51" t="s">
        <v>34</v>
      </c>
      <c r="B85" s="67"/>
      <c r="C85" s="67">
        <f>C66</f>
        <v>16976.72</v>
      </c>
      <c r="D85" s="126">
        <v>1.2130000000000001</v>
      </c>
      <c r="E85" s="91">
        <f>C85*D85</f>
        <v>20592.761360000004</v>
      </c>
      <c r="F85" s="70" t="s">
        <v>36</v>
      </c>
      <c r="H85" s="51" t="s">
        <v>26</v>
      </c>
      <c r="I85" s="57"/>
      <c r="J85" s="67">
        <f>$K$21</f>
        <v>93134.680000000008</v>
      </c>
      <c r="K85" s="126">
        <v>1.2849999999999999</v>
      </c>
      <c r="L85" s="71">
        <f>J85*K85</f>
        <v>119678.0638</v>
      </c>
      <c r="M85" s="70" t="s">
        <v>36</v>
      </c>
      <c r="T85" s="51" t="s">
        <v>34</v>
      </c>
      <c r="U85" s="57"/>
      <c r="V85" s="67">
        <f>V66</f>
        <v>50387.12</v>
      </c>
      <c r="W85" s="126">
        <v>1.6579999999999999</v>
      </c>
      <c r="X85" s="71">
        <f>V85*W85</f>
        <v>83541.844960000002</v>
      </c>
      <c r="Y85" s="70" t="s">
        <v>36</v>
      </c>
      <c r="AA85" s="51" t="s">
        <v>34</v>
      </c>
      <c r="AB85" s="57"/>
      <c r="AC85" s="67">
        <f>AC66</f>
        <v>49746.61</v>
      </c>
      <c r="AD85" s="126">
        <v>1.2709999999999999</v>
      </c>
      <c r="AE85" s="71">
        <f>AC85*AD85</f>
        <v>63227.941309999995</v>
      </c>
      <c r="AF85" s="70" t="s">
        <v>36</v>
      </c>
    </row>
    <row r="86" spans="1:32" x14ac:dyDescent="0.3">
      <c r="A86" s="51" t="s">
        <v>83</v>
      </c>
      <c r="B86" s="67"/>
      <c r="C86" s="67">
        <f t="shared" ref="C86:C88" si="20">C67</f>
        <v>9331.32</v>
      </c>
      <c r="D86" s="126">
        <v>0.72799999999999998</v>
      </c>
      <c r="E86" s="91">
        <f t="shared" ref="E86:E88" si="21">C86*D86</f>
        <v>6793.2009599999992</v>
      </c>
      <c r="F86" s="70" t="s">
        <v>36</v>
      </c>
      <c r="H86" s="51" t="s">
        <v>27</v>
      </c>
      <c r="I86" s="11"/>
      <c r="J86" s="67">
        <f>$L$21</f>
        <v>25847.519999999997</v>
      </c>
      <c r="K86" s="126">
        <v>1.1819999999999999</v>
      </c>
      <c r="L86" s="71">
        <f>J86*K86</f>
        <v>30551.768639999995</v>
      </c>
      <c r="M86" s="70" t="s">
        <v>36</v>
      </c>
      <c r="T86" s="51" t="s">
        <v>83</v>
      </c>
      <c r="U86" s="11"/>
      <c r="V86" s="67">
        <f t="shared" ref="V86:V88" si="22">V67</f>
        <v>25742.12</v>
      </c>
      <c r="W86" s="126">
        <v>1.157</v>
      </c>
      <c r="X86" s="71">
        <f>V86*W86</f>
        <v>29783.632839999998</v>
      </c>
      <c r="Y86" s="70" t="s">
        <v>36</v>
      </c>
      <c r="AA86" s="51" t="s">
        <v>83</v>
      </c>
      <c r="AB86" s="11"/>
      <c r="AC86" s="67">
        <f t="shared" ref="AC86:AC88" si="23">AC67</f>
        <v>29480</v>
      </c>
      <c r="AD86" s="126">
        <v>1.107</v>
      </c>
      <c r="AE86" s="71">
        <f>AC86*AD86</f>
        <v>32634.36</v>
      </c>
      <c r="AF86" s="70" t="s">
        <v>36</v>
      </c>
    </row>
    <row r="87" spans="1:32" x14ac:dyDescent="0.3">
      <c r="A87" s="51" t="s">
        <v>29</v>
      </c>
      <c r="B87" s="67"/>
      <c r="C87" s="67">
        <f t="shared" si="20"/>
        <v>2695.56</v>
      </c>
      <c r="D87" s="126">
        <v>0.60699999999999998</v>
      </c>
      <c r="E87" s="91">
        <f t="shared" si="21"/>
        <v>1636.2049199999999</v>
      </c>
      <c r="F87" s="70" t="s">
        <v>36</v>
      </c>
      <c r="H87" s="51" t="s">
        <v>28</v>
      </c>
      <c r="I87" s="11"/>
      <c r="J87" s="67">
        <f>$M$21</f>
        <v>22945.360000000001</v>
      </c>
      <c r="K87" s="126">
        <v>1.095</v>
      </c>
      <c r="L87" s="71">
        <f t="shared" ref="L87:L91" si="24">J87*K87</f>
        <v>25125.1692</v>
      </c>
      <c r="M87" s="70" t="s">
        <v>36</v>
      </c>
      <c r="T87" s="51" t="s">
        <v>29</v>
      </c>
      <c r="U87" s="11"/>
      <c r="V87" s="67">
        <f t="shared" si="22"/>
        <v>5286.72</v>
      </c>
      <c r="W87" s="126">
        <v>1.032</v>
      </c>
      <c r="X87" s="71">
        <f t="shared" ref="X87:X91" si="25">V87*W87</f>
        <v>5455.8950400000003</v>
      </c>
      <c r="Y87" s="70" t="s">
        <v>36</v>
      </c>
      <c r="AA87" s="51" t="s">
        <v>29</v>
      </c>
      <c r="AB87" s="11"/>
      <c r="AC87" s="67">
        <f t="shared" si="23"/>
        <v>6893</v>
      </c>
      <c r="AD87" s="126">
        <v>0.93400000000000005</v>
      </c>
      <c r="AE87" s="71">
        <f t="shared" ref="AE87:AE88" si="26">AC87*AD87</f>
        <v>6438.0620000000008</v>
      </c>
      <c r="AF87" s="70" t="s">
        <v>36</v>
      </c>
    </row>
    <row r="88" spans="1:32" x14ac:dyDescent="0.3">
      <c r="A88" s="51" t="s">
        <v>84</v>
      </c>
      <c r="B88" s="67"/>
      <c r="C88" s="67">
        <f t="shared" si="20"/>
        <v>1023.28</v>
      </c>
      <c r="D88" s="126">
        <v>0.52500000000000002</v>
      </c>
      <c r="E88" s="91">
        <f t="shared" si="21"/>
        <v>537.22199999999998</v>
      </c>
      <c r="F88" s="70" t="s">
        <v>36</v>
      </c>
      <c r="H88" s="51" t="s">
        <v>29</v>
      </c>
      <c r="I88" s="11"/>
      <c r="J88" s="67">
        <f>$N$21</f>
        <v>13158.16</v>
      </c>
      <c r="K88" s="126">
        <v>0.93500000000000005</v>
      </c>
      <c r="L88" s="71">
        <f t="shared" si="24"/>
        <v>12302.8796</v>
      </c>
      <c r="M88" s="70" t="s">
        <v>36</v>
      </c>
      <c r="T88" s="51" t="s">
        <v>84</v>
      </c>
      <c r="U88" s="11"/>
      <c r="V88" s="67">
        <f t="shared" si="22"/>
        <v>3211.68</v>
      </c>
      <c r="W88" s="126">
        <v>0.84399999999999997</v>
      </c>
      <c r="X88" s="71">
        <f t="shared" si="25"/>
        <v>2710.6579199999996</v>
      </c>
      <c r="Y88" s="70" t="s">
        <v>36</v>
      </c>
      <c r="AA88" s="51" t="s">
        <v>84</v>
      </c>
      <c r="AB88" s="11"/>
      <c r="AC88" s="67">
        <f t="shared" si="23"/>
        <v>7451</v>
      </c>
      <c r="AD88" s="126">
        <v>0.69199999999999995</v>
      </c>
      <c r="AE88" s="71">
        <f t="shared" si="26"/>
        <v>5156.0919999999996</v>
      </c>
      <c r="AF88" s="70" t="s">
        <v>36</v>
      </c>
    </row>
    <row r="89" spans="1:32" x14ac:dyDescent="0.3">
      <c r="A89" s="51"/>
      <c r="B89" s="67"/>
      <c r="C89" s="11"/>
      <c r="D89" s="11"/>
      <c r="E89" s="11"/>
      <c r="F89" s="50"/>
      <c r="H89" s="51" t="s">
        <v>30</v>
      </c>
      <c r="I89" s="11"/>
      <c r="J89" s="67">
        <f>$O$21</f>
        <v>2402.36</v>
      </c>
      <c r="K89" s="126">
        <v>0.71199999999999997</v>
      </c>
      <c r="L89" s="71">
        <f t="shared" si="24"/>
        <v>1710.4803200000001</v>
      </c>
      <c r="M89" s="70" t="s">
        <v>36</v>
      </c>
      <c r="T89" s="51"/>
      <c r="U89" s="11"/>
      <c r="V89" s="67"/>
      <c r="W89" s="68"/>
      <c r="X89" s="71">
        <f t="shared" si="25"/>
        <v>0</v>
      </c>
      <c r="Y89" s="70" t="s">
        <v>36</v>
      </c>
      <c r="AA89" s="51"/>
      <c r="AB89" s="11"/>
      <c r="AC89" s="67"/>
      <c r="AD89" s="68"/>
      <c r="AE89" s="71"/>
      <c r="AF89" s="70"/>
    </row>
    <row r="90" spans="1:32" x14ac:dyDescent="0.3">
      <c r="A90" s="59" t="s">
        <v>4</v>
      </c>
      <c r="B90" s="72">
        <f>SUM(B83:B89)</f>
        <v>1024</v>
      </c>
      <c r="C90" s="73">
        <f>SUM(C83:C89)</f>
        <v>30026.880000000001</v>
      </c>
      <c r="D90" s="74"/>
      <c r="E90" s="75">
        <f>SUM(E83:E89)</f>
        <v>70150.749240000005</v>
      </c>
      <c r="F90" s="76"/>
      <c r="H90" s="51" t="s">
        <v>31</v>
      </c>
      <c r="I90" s="11"/>
      <c r="J90" s="67">
        <f>$P$21</f>
        <v>713.92000000000007</v>
      </c>
      <c r="K90" s="126">
        <v>0.68100000000000005</v>
      </c>
      <c r="L90" s="71">
        <f t="shared" si="24"/>
        <v>486.17952000000008</v>
      </c>
      <c r="M90" s="70" t="s">
        <v>36</v>
      </c>
      <c r="T90" s="51"/>
      <c r="U90" s="11"/>
      <c r="V90" s="67"/>
      <c r="W90" s="68"/>
      <c r="X90" s="71">
        <f t="shared" si="25"/>
        <v>0</v>
      </c>
      <c r="Y90" s="70" t="s">
        <v>36</v>
      </c>
      <c r="AA90" s="51"/>
      <c r="AB90" s="11"/>
      <c r="AC90" s="67"/>
      <c r="AD90" s="68"/>
      <c r="AE90" s="71"/>
      <c r="AF90" s="70"/>
    </row>
    <row r="91" spans="1:32" x14ac:dyDescent="0.3">
      <c r="H91" s="51" t="s">
        <v>32</v>
      </c>
      <c r="I91" s="11"/>
      <c r="J91" s="67">
        <f>$Q$21</f>
        <v>302</v>
      </c>
      <c r="K91" s="126">
        <v>0.67</v>
      </c>
      <c r="L91" s="71">
        <f t="shared" si="24"/>
        <v>202.34</v>
      </c>
      <c r="M91" s="70" t="s">
        <v>36</v>
      </c>
      <c r="T91" s="51"/>
      <c r="U91" s="11"/>
      <c r="V91" s="67"/>
      <c r="W91" s="68"/>
      <c r="X91" s="71">
        <f t="shared" si="25"/>
        <v>0</v>
      </c>
      <c r="Y91" s="70" t="s">
        <v>36</v>
      </c>
      <c r="AA91" s="51"/>
      <c r="AB91" s="11"/>
      <c r="AC91" s="67"/>
      <c r="AD91" s="68"/>
      <c r="AE91" s="71"/>
      <c r="AF91" s="70"/>
    </row>
    <row r="92" spans="1:32" x14ac:dyDescent="0.3">
      <c r="H92" s="51"/>
      <c r="I92" s="11"/>
      <c r="J92" s="11"/>
      <c r="K92" s="11"/>
      <c r="L92" s="11"/>
      <c r="M92" s="50"/>
      <c r="T92" s="51"/>
      <c r="U92" s="11"/>
      <c r="V92" s="11"/>
      <c r="W92" s="11"/>
      <c r="X92" s="11"/>
      <c r="Y92" s="50"/>
      <c r="AA92" s="51"/>
      <c r="AB92" s="11"/>
      <c r="AC92" s="11"/>
      <c r="AD92" s="11"/>
      <c r="AE92" s="11"/>
      <c r="AF92" s="50"/>
    </row>
    <row r="93" spans="1:32" x14ac:dyDescent="0.3">
      <c r="H93" s="59" t="s">
        <v>4</v>
      </c>
      <c r="I93" s="73">
        <f>SUM(I83:I92)</f>
        <v>6136</v>
      </c>
      <c r="J93" s="73">
        <f>SUM(J83:J92)</f>
        <v>158504</v>
      </c>
      <c r="K93" s="74"/>
      <c r="L93" s="75">
        <f>SUM(L83:L92)</f>
        <v>426275.08107999997</v>
      </c>
      <c r="M93" s="76"/>
      <c r="T93" s="59" t="s">
        <v>4</v>
      </c>
      <c r="U93" s="73">
        <f>SUM(U83:U92)</f>
        <v>3132</v>
      </c>
      <c r="V93" s="73">
        <f>SUM(V83:V92)</f>
        <v>84627.64</v>
      </c>
      <c r="W93" s="74"/>
      <c r="X93" s="75">
        <f>SUM(X83:X92)</f>
        <v>210503.47076000003</v>
      </c>
      <c r="Y93" s="76"/>
      <c r="AA93" s="59" t="s">
        <v>4</v>
      </c>
      <c r="AB93" s="73">
        <f>SUM(AB83:AB92)</f>
        <v>2890</v>
      </c>
      <c r="AC93" s="73">
        <f>SUM(AC83:AC92)</f>
        <v>93570.61</v>
      </c>
      <c r="AD93" s="74"/>
      <c r="AE93" s="75">
        <f>SUM(AE83:AE92)</f>
        <v>214444.25531000001</v>
      </c>
      <c r="AF93" s="76"/>
    </row>
    <row r="94" spans="1:32" x14ac:dyDescent="0.3">
      <c r="A94" s="136"/>
      <c r="B94" s="136"/>
      <c r="C94" s="136"/>
      <c r="D94" s="136"/>
      <c r="E94" s="136"/>
      <c r="F94" s="136"/>
    </row>
    <row r="95" spans="1:32" x14ac:dyDescent="0.3">
      <c r="A95" s="136"/>
      <c r="B95" s="136"/>
      <c r="C95" s="136"/>
      <c r="D95" s="136"/>
      <c r="E95" s="136"/>
      <c r="F95" s="136"/>
    </row>
    <row r="96" spans="1:32" x14ac:dyDescent="0.3">
      <c r="A96" s="135"/>
      <c r="B96" s="135"/>
      <c r="C96" s="135"/>
      <c r="D96" s="135"/>
      <c r="E96" s="135"/>
      <c r="F96" s="135"/>
    </row>
    <row r="97" spans="1:32" x14ac:dyDescent="0.3">
      <c r="A97" s="136" t="s">
        <v>50</v>
      </c>
      <c r="B97" s="136"/>
      <c r="C97" s="136"/>
      <c r="D97" s="136"/>
      <c r="E97" s="136"/>
      <c r="F97" s="136"/>
      <c r="H97" s="135" t="s">
        <v>70</v>
      </c>
      <c r="I97" s="135"/>
      <c r="J97" s="135"/>
      <c r="K97" s="135"/>
      <c r="L97" s="135"/>
      <c r="M97" s="135"/>
      <c r="T97" s="135" t="s">
        <v>93</v>
      </c>
      <c r="U97" s="135"/>
      <c r="V97" s="135"/>
      <c r="W97" s="135"/>
      <c r="X97" s="135"/>
      <c r="Y97" s="135"/>
      <c r="AA97" s="135" t="s">
        <v>102</v>
      </c>
      <c r="AB97" s="135"/>
      <c r="AC97" s="135"/>
      <c r="AD97" s="135"/>
      <c r="AE97" s="135"/>
      <c r="AF97" s="135"/>
    </row>
    <row r="98" spans="1:32" x14ac:dyDescent="0.3">
      <c r="A98" s="136" t="s">
        <v>74</v>
      </c>
      <c r="B98" s="136"/>
      <c r="C98" s="136"/>
      <c r="D98" s="136"/>
      <c r="E98" s="136"/>
      <c r="F98" s="136"/>
      <c r="H98" s="136" t="s">
        <v>74</v>
      </c>
      <c r="I98" s="136"/>
      <c r="J98" s="136"/>
      <c r="K98" s="136"/>
      <c r="L98" s="136"/>
      <c r="M98" s="136"/>
      <c r="T98" s="136" t="s">
        <v>74</v>
      </c>
      <c r="U98" s="136"/>
      <c r="V98" s="136"/>
      <c r="W98" s="136"/>
      <c r="X98" s="136"/>
      <c r="Y98" s="136"/>
      <c r="AA98" s="136" t="s">
        <v>74</v>
      </c>
      <c r="AB98" s="136"/>
      <c r="AC98" s="136"/>
      <c r="AD98" s="136"/>
      <c r="AE98" s="136"/>
      <c r="AF98" s="136"/>
    </row>
    <row r="99" spans="1:32" x14ac:dyDescent="0.3">
      <c r="A99" s="135" t="s">
        <v>42</v>
      </c>
      <c r="B99" s="135"/>
      <c r="C99" s="135"/>
      <c r="D99" s="135"/>
      <c r="E99" s="135"/>
      <c r="F99" s="135"/>
      <c r="H99" s="135" t="s">
        <v>42</v>
      </c>
      <c r="I99" s="135"/>
      <c r="J99" s="135"/>
      <c r="K99" s="135"/>
      <c r="L99" s="135"/>
      <c r="M99" s="135"/>
      <c r="T99" s="135" t="s">
        <v>42</v>
      </c>
      <c r="U99" s="135"/>
      <c r="V99" s="135"/>
      <c r="W99" s="135"/>
      <c r="X99" s="135"/>
      <c r="Y99" s="135"/>
      <c r="AA99" s="135" t="s">
        <v>42</v>
      </c>
      <c r="AB99" s="135"/>
      <c r="AC99" s="135"/>
      <c r="AD99" s="135"/>
      <c r="AE99" s="135"/>
      <c r="AF99" s="135"/>
    </row>
    <row r="100" spans="1:32" x14ac:dyDescent="0.3">
      <c r="A100" s="64">
        <v>-1</v>
      </c>
      <c r="B100" s="65">
        <v>-2</v>
      </c>
      <c r="C100" s="65">
        <v>-3</v>
      </c>
      <c r="D100" s="65">
        <v>-4</v>
      </c>
      <c r="E100" s="65">
        <v>-5</v>
      </c>
      <c r="F100" s="47"/>
      <c r="H100" s="64">
        <v>-1</v>
      </c>
      <c r="I100" s="65">
        <v>-2</v>
      </c>
      <c r="J100" s="65">
        <v>-3</v>
      </c>
      <c r="K100" s="65">
        <v>-4</v>
      </c>
      <c r="L100" s="65">
        <v>-5</v>
      </c>
      <c r="M100" s="47"/>
      <c r="T100" s="64">
        <v>-1</v>
      </c>
      <c r="U100" s="65">
        <v>-2</v>
      </c>
      <c r="V100" s="65">
        <v>-3</v>
      </c>
      <c r="W100" s="65">
        <v>-4</v>
      </c>
      <c r="X100" s="65">
        <v>-5</v>
      </c>
      <c r="Y100" s="47"/>
      <c r="AA100" s="64">
        <v>-1</v>
      </c>
      <c r="AB100" s="65">
        <v>-2</v>
      </c>
      <c r="AC100" s="65">
        <v>-3</v>
      </c>
      <c r="AD100" s="65">
        <v>-4</v>
      </c>
      <c r="AE100" s="65">
        <v>-5</v>
      </c>
      <c r="AF100" s="47"/>
    </row>
    <row r="101" spans="1:32" x14ac:dyDescent="0.3">
      <c r="A101" s="51"/>
      <c r="B101" s="83" t="s">
        <v>5</v>
      </c>
      <c r="C101" s="83" t="s">
        <v>0</v>
      </c>
      <c r="D101" s="83" t="s">
        <v>15</v>
      </c>
      <c r="E101" s="83" t="s">
        <v>16</v>
      </c>
      <c r="F101" s="10" t="s">
        <v>35</v>
      </c>
      <c r="H101" s="51"/>
      <c r="I101" s="83" t="s">
        <v>5</v>
      </c>
      <c r="J101" s="55" t="s">
        <v>0</v>
      </c>
      <c r="K101" s="66" t="s">
        <v>15</v>
      </c>
      <c r="L101" s="66" t="s">
        <v>16</v>
      </c>
      <c r="M101" s="10" t="s">
        <v>35</v>
      </c>
      <c r="T101" s="51"/>
      <c r="U101" s="83" t="s">
        <v>5</v>
      </c>
      <c r="V101" s="66" t="s">
        <v>0</v>
      </c>
      <c r="W101" s="66" t="s">
        <v>15</v>
      </c>
      <c r="X101" s="66" t="s">
        <v>16</v>
      </c>
      <c r="Y101" s="10" t="s">
        <v>35</v>
      </c>
      <c r="AA101" s="51"/>
      <c r="AB101" s="63" t="s">
        <v>5</v>
      </c>
      <c r="AC101" s="66" t="s">
        <v>0</v>
      </c>
      <c r="AD101" s="66" t="s">
        <v>15</v>
      </c>
      <c r="AE101" s="66" t="s">
        <v>16</v>
      </c>
      <c r="AF101" s="10" t="s">
        <v>35</v>
      </c>
    </row>
    <row r="102" spans="1:32" x14ac:dyDescent="0.3">
      <c r="A102" s="51" t="s">
        <v>85</v>
      </c>
      <c r="B102" s="67">
        <f>B83</f>
        <v>1024</v>
      </c>
      <c r="C102" s="67"/>
      <c r="D102" s="125">
        <v>43.73</v>
      </c>
      <c r="E102" s="69">
        <f>B102*D102</f>
        <v>44779.519999999997</v>
      </c>
      <c r="F102" s="70" t="s">
        <v>24</v>
      </c>
      <c r="H102" s="51" t="s">
        <v>85</v>
      </c>
      <c r="I102" s="82">
        <f>I83</f>
        <v>6124</v>
      </c>
      <c r="J102" s="66"/>
      <c r="K102" s="125">
        <v>43.73</v>
      </c>
      <c r="L102" s="69">
        <f>I102*K102</f>
        <v>267802.51999999996</v>
      </c>
      <c r="M102" s="70" t="s">
        <v>24</v>
      </c>
      <c r="T102" s="51" t="s">
        <v>85</v>
      </c>
      <c r="U102" s="82">
        <f>U83</f>
        <v>3132</v>
      </c>
      <c r="V102" s="66"/>
      <c r="W102" s="125">
        <v>43.73</v>
      </c>
      <c r="X102" s="69">
        <f>U102*W102</f>
        <v>136962.35999999999</v>
      </c>
      <c r="Y102" s="70" t="s">
        <v>24</v>
      </c>
      <c r="AA102" s="51" t="s">
        <v>85</v>
      </c>
      <c r="AB102" s="82">
        <f>AB83</f>
        <v>2890</v>
      </c>
      <c r="AC102" s="66"/>
      <c r="AD102" s="125">
        <v>43.73</v>
      </c>
      <c r="AE102" s="69">
        <f>AB102*AD102</f>
        <v>126379.7</v>
      </c>
      <c r="AF102" s="70" t="s">
        <v>24</v>
      </c>
    </row>
    <row r="103" spans="1:32" x14ac:dyDescent="0.3">
      <c r="A103" s="51" t="s">
        <v>89</v>
      </c>
      <c r="B103" s="67">
        <f>B84</f>
        <v>0</v>
      </c>
      <c r="C103" s="67"/>
      <c r="D103" s="125">
        <v>256.16000000000003</v>
      </c>
      <c r="E103" s="71">
        <f>B103*D103</f>
        <v>0</v>
      </c>
      <c r="F103" s="70" t="s">
        <v>24</v>
      </c>
      <c r="H103" s="51" t="s">
        <v>89</v>
      </c>
      <c r="I103" s="82">
        <f>I84</f>
        <v>12</v>
      </c>
      <c r="J103" s="66"/>
      <c r="K103" s="125">
        <v>256.16000000000003</v>
      </c>
      <c r="L103" s="71">
        <f>I103*K103</f>
        <v>3073.92</v>
      </c>
      <c r="M103" s="70" t="s">
        <v>24</v>
      </c>
      <c r="T103" s="51" t="s">
        <v>89</v>
      </c>
      <c r="U103" s="82">
        <f>U84</f>
        <v>0</v>
      </c>
      <c r="V103" s="66"/>
      <c r="W103" s="125">
        <v>256.16000000000003</v>
      </c>
      <c r="X103" s="71">
        <f>U103*W103</f>
        <v>0</v>
      </c>
      <c r="Y103" s="70" t="s">
        <v>24</v>
      </c>
      <c r="AA103" s="51" t="s">
        <v>89</v>
      </c>
      <c r="AB103" s="82">
        <f>AB84</f>
        <v>0</v>
      </c>
      <c r="AC103" s="66"/>
      <c r="AD103" s="125">
        <v>256.16000000000003</v>
      </c>
      <c r="AE103" s="71">
        <f>AB103*AD103</f>
        <v>0</v>
      </c>
      <c r="AF103" s="70" t="s">
        <v>24</v>
      </c>
    </row>
    <row r="104" spans="1:32" x14ac:dyDescent="0.3">
      <c r="A104" s="51" t="s">
        <v>34</v>
      </c>
      <c r="B104" s="67"/>
      <c r="C104" s="67">
        <f>C85</f>
        <v>16976.72</v>
      </c>
      <c r="D104" s="126">
        <v>1.9259999999999999</v>
      </c>
      <c r="E104" s="91">
        <f>C104*D104</f>
        <v>32697.16272</v>
      </c>
      <c r="F104" s="70" t="s">
        <v>36</v>
      </c>
      <c r="H104" s="51" t="s">
        <v>34</v>
      </c>
      <c r="I104" s="57"/>
      <c r="J104" s="67">
        <v>92895.192727272719</v>
      </c>
      <c r="K104" s="126">
        <v>1.9259999999999999</v>
      </c>
      <c r="L104" s="71">
        <f>J104*K104</f>
        <v>178916.14119272726</v>
      </c>
      <c r="M104" s="70" t="s">
        <v>36</v>
      </c>
      <c r="T104" s="51" t="s">
        <v>34</v>
      </c>
      <c r="U104" s="57"/>
      <c r="V104" s="67">
        <f>V85</f>
        <v>50387.12</v>
      </c>
      <c r="W104" s="126">
        <v>1.9259999999999999</v>
      </c>
      <c r="X104" s="71">
        <f>V104*W104</f>
        <v>97045.593120000005</v>
      </c>
      <c r="Y104" s="70" t="s">
        <v>36</v>
      </c>
      <c r="AA104" s="51" t="s">
        <v>34</v>
      </c>
      <c r="AB104" s="57"/>
      <c r="AC104" s="67">
        <f>AC85</f>
        <v>49746.61</v>
      </c>
      <c r="AD104" s="126">
        <v>1.9259999999999999</v>
      </c>
      <c r="AE104" s="71">
        <f>AC104*AD104</f>
        <v>95811.970860000001</v>
      </c>
      <c r="AF104" s="70" t="s">
        <v>36</v>
      </c>
    </row>
    <row r="105" spans="1:32" x14ac:dyDescent="0.3">
      <c r="A105" s="51" t="s">
        <v>83</v>
      </c>
      <c r="B105" s="67"/>
      <c r="C105" s="67">
        <f t="shared" ref="C105:C107" si="27">C86</f>
        <v>9331.32</v>
      </c>
      <c r="D105" s="126">
        <v>1.1559999999999999</v>
      </c>
      <c r="E105" s="91">
        <f t="shared" ref="E105:E107" si="28">C105*D105</f>
        <v>10787.00592</v>
      </c>
      <c r="F105" s="70" t="s">
        <v>36</v>
      </c>
      <c r="H105" s="51" t="s">
        <v>83</v>
      </c>
      <c r="I105" s="11"/>
      <c r="J105" s="67">
        <v>48710.439999999981</v>
      </c>
      <c r="K105" s="126">
        <v>1.1559999999999999</v>
      </c>
      <c r="L105" s="71">
        <f>J105*K105</f>
        <v>56309.268639999973</v>
      </c>
      <c r="M105" s="70" t="s">
        <v>36</v>
      </c>
      <c r="T105" s="51" t="s">
        <v>83</v>
      </c>
      <c r="U105" s="11"/>
      <c r="V105" s="67">
        <f t="shared" ref="V105:V107" si="29">V86</f>
        <v>25742.12</v>
      </c>
      <c r="W105" s="126">
        <v>1.1559999999999999</v>
      </c>
      <c r="X105" s="71">
        <f>V105*W105</f>
        <v>29757.890719999996</v>
      </c>
      <c r="Y105" s="70" t="s">
        <v>36</v>
      </c>
      <c r="AA105" s="51" t="s">
        <v>83</v>
      </c>
      <c r="AB105" s="11"/>
      <c r="AC105" s="67">
        <f t="shared" ref="AC105:AC107" si="30">AC86</f>
        <v>29480</v>
      </c>
      <c r="AD105" s="126">
        <v>1.1559999999999999</v>
      </c>
      <c r="AE105" s="71">
        <f>AC105*AD105</f>
        <v>34078.879999999997</v>
      </c>
      <c r="AF105" s="70" t="s">
        <v>36</v>
      </c>
    </row>
    <row r="106" spans="1:32" x14ac:dyDescent="0.3">
      <c r="A106" s="51" t="s">
        <v>29</v>
      </c>
      <c r="B106" s="67"/>
      <c r="C106" s="67">
        <f t="shared" si="27"/>
        <v>2695.56</v>
      </c>
      <c r="D106" s="126">
        <v>0.96299999999999997</v>
      </c>
      <c r="E106" s="91">
        <f t="shared" si="28"/>
        <v>2595.8242799999998</v>
      </c>
      <c r="F106" s="70" t="s">
        <v>36</v>
      </c>
      <c r="H106" s="51" t="s">
        <v>29</v>
      </c>
      <c r="I106" s="11"/>
      <c r="J106" s="67">
        <v>13378.52000000001</v>
      </c>
      <c r="K106" s="126">
        <v>0.96299999999999997</v>
      </c>
      <c r="L106" s="71">
        <f t="shared" ref="L106:L107" si="31">J106*K106</f>
        <v>12883.514760000009</v>
      </c>
      <c r="M106" s="70" t="s">
        <v>36</v>
      </c>
      <c r="T106" s="51" t="s">
        <v>29</v>
      </c>
      <c r="U106" s="11"/>
      <c r="V106" s="67">
        <f t="shared" si="29"/>
        <v>5286.72</v>
      </c>
      <c r="W106" s="126">
        <v>0.96299999999999997</v>
      </c>
      <c r="X106" s="71">
        <f t="shared" ref="X106:X107" si="32">V106*W106</f>
        <v>5091.1113599999999</v>
      </c>
      <c r="Y106" s="70" t="s">
        <v>36</v>
      </c>
      <c r="AA106" s="51" t="s">
        <v>29</v>
      </c>
      <c r="AB106" s="11"/>
      <c r="AC106" s="67">
        <f t="shared" si="30"/>
        <v>6893</v>
      </c>
      <c r="AD106" s="126">
        <v>0.96299999999999997</v>
      </c>
      <c r="AE106" s="71">
        <f t="shared" ref="AE106:AE107" si="33">AC106*AD106</f>
        <v>6637.9589999999998</v>
      </c>
      <c r="AF106" s="70" t="s">
        <v>36</v>
      </c>
    </row>
    <row r="107" spans="1:32" x14ac:dyDescent="0.3">
      <c r="A107" s="51" t="s">
        <v>84</v>
      </c>
      <c r="B107" s="67"/>
      <c r="C107" s="67">
        <f t="shared" si="27"/>
        <v>1023.28</v>
      </c>
      <c r="D107" s="126">
        <v>0.67400000000000004</v>
      </c>
      <c r="E107" s="91">
        <f t="shared" si="28"/>
        <v>689.69072000000006</v>
      </c>
      <c r="F107" s="70" t="s">
        <v>36</v>
      </c>
      <c r="H107" s="51" t="s">
        <v>84</v>
      </c>
      <c r="I107" s="11"/>
      <c r="J107" s="67">
        <f>3594.36-74.51</f>
        <v>3519.85</v>
      </c>
      <c r="K107" s="126">
        <v>0.67400000000000004</v>
      </c>
      <c r="L107" s="71">
        <f t="shared" si="31"/>
        <v>2372.3789000000002</v>
      </c>
      <c r="M107" s="70" t="s">
        <v>36</v>
      </c>
      <c r="T107" s="51" t="s">
        <v>84</v>
      </c>
      <c r="U107" s="11"/>
      <c r="V107" s="67">
        <f t="shared" si="29"/>
        <v>3211.68</v>
      </c>
      <c r="W107" s="126">
        <v>0.67400000000000004</v>
      </c>
      <c r="X107" s="71">
        <f t="shared" si="32"/>
        <v>2164.6723200000001</v>
      </c>
      <c r="Y107" s="70" t="s">
        <v>36</v>
      </c>
      <c r="AA107" s="51" t="s">
        <v>84</v>
      </c>
      <c r="AB107" s="11"/>
      <c r="AC107" s="67">
        <f t="shared" si="30"/>
        <v>7451</v>
      </c>
      <c r="AD107" s="126">
        <v>0.67400000000000004</v>
      </c>
      <c r="AE107" s="71">
        <f t="shared" si="33"/>
        <v>5021.9740000000002</v>
      </c>
      <c r="AF107" s="70" t="s">
        <v>36</v>
      </c>
    </row>
    <row r="108" spans="1:32" x14ac:dyDescent="0.3">
      <c r="A108" s="51"/>
      <c r="B108" s="67"/>
      <c r="C108" s="11"/>
      <c r="D108" s="11"/>
      <c r="E108" s="11"/>
      <c r="F108" s="50"/>
      <c r="H108" s="51"/>
      <c r="I108" s="11"/>
      <c r="J108" s="11"/>
      <c r="K108" s="11"/>
      <c r="L108" s="11"/>
      <c r="M108" s="50"/>
      <c r="T108" s="51"/>
      <c r="U108" s="11"/>
      <c r="V108" s="11"/>
      <c r="W108" s="11"/>
      <c r="X108" s="11"/>
      <c r="Y108" s="50"/>
      <c r="AA108" s="51"/>
      <c r="AB108" s="11"/>
      <c r="AC108" s="11"/>
      <c r="AD108" s="11"/>
      <c r="AE108" s="11"/>
      <c r="AF108" s="50"/>
    </row>
    <row r="109" spans="1:32" x14ac:dyDescent="0.3">
      <c r="A109" s="59" t="s">
        <v>4</v>
      </c>
      <c r="B109" s="72">
        <f>SUM(B102:B108)</f>
        <v>1024</v>
      </c>
      <c r="C109" s="73">
        <f>SUM(C102:C108)</f>
        <v>30026.880000000001</v>
      </c>
      <c r="D109" s="74"/>
      <c r="E109" s="75">
        <f>SUM(E102:E108)</f>
        <v>91549.203639999992</v>
      </c>
      <c r="F109" s="76"/>
      <c r="H109" s="59" t="s">
        <v>4</v>
      </c>
      <c r="I109" s="73">
        <f>SUM(I102:I108)</f>
        <v>6136</v>
      </c>
      <c r="J109" s="73">
        <f>SUM(J102:J108)</f>
        <v>158504.00272727272</v>
      </c>
      <c r="K109" s="74"/>
      <c r="L109" s="75">
        <f>SUM(L102:L108)</f>
        <v>521357.74349272717</v>
      </c>
      <c r="M109" s="76"/>
      <c r="T109" s="59" t="s">
        <v>4</v>
      </c>
      <c r="U109" s="73">
        <f>SUM(U102:U108)</f>
        <v>3132</v>
      </c>
      <c r="V109" s="73">
        <f>SUM(V102:V108)</f>
        <v>84627.64</v>
      </c>
      <c r="W109" s="74"/>
      <c r="X109" s="75">
        <f>SUM(X102:X108)</f>
        <v>271021.62751999998</v>
      </c>
      <c r="Y109" s="76"/>
      <c r="AA109" s="59" t="s">
        <v>4</v>
      </c>
      <c r="AB109" s="73">
        <f>SUM(AB102:AB108)</f>
        <v>2890</v>
      </c>
      <c r="AC109" s="73">
        <f>SUM(AC102:AC108)</f>
        <v>93570.61</v>
      </c>
      <c r="AD109" s="74"/>
      <c r="AE109" s="75">
        <f>SUM(AE102:AE108)</f>
        <v>267930.48385999998</v>
      </c>
      <c r="AF109" s="76"/>
    </row>
  </sheetData>
  <mergeCells count="78">
    <mergeCell ref="AA99:AF99"/>
    <mergeCell ref="AA5:AH5"/>
    <mergeCell ref="AA6:AH6"/>
    <mergeCell ref="AA7:AH7"/>
    <mergeCell ref="AA78:AF78"/>
    <mergeCell ref="AA79:AF79"/>
    <mergeCell ref="AA80:AF80"/>
    <mergeCell ref="AA97:AF97"/>
    <mergeCell ref="AA98:AF98"/>
    <mergeCell ref="AA43:AF43"/>
    <mergeCell ref="AA59:AF59"/>
    <mergeCell ref="AA60:AF60"/>
    <mergeCell ref="AA61:AF61"/>
    <mergeCell ref="A42:F42"/>
    <mergeCell ref="H42:M42"/>
    <mergeCell ref="T42:Y42"/>
    <mergeCell ref="AA24:AF24"/>
    <mergeCell ref="AA25:AF25"/>
    <mergeCell ref="AA26:AF26"/>
    <mergeCell ref="AA41:AF41"/>
    <mergeCell ref="AA42:AF42"/>
    <mergeCell ref="T24:Y24"/>
    <mergeCell ref="A41:F41"/>
    <mergeCell ref="H41:M41"/>
    <mergeCell ref="T41:Y41"/>
    <mergeCell ref="A25:F25"/>
    <mergeCell ref="A26:F26"/>
    <mergeCell ref="H25:M25"/>
    <mergeCell ref="H26:M26"/>
    <mergeCell ref="A99:F99"/>
    <mergeCell ref="A98:F98"/>
    <mergeCell ref="A97:F97"/>
    <mergeCell ref="T5:X5"/>
    <mergeCell ref="T6:X6"/>
    <mergeCell ref="T7:X7"/>
    <mergeCell ref="T25:Y25"/>
    <mergeCell ref="T26:Y26"/>
    <mergeCell ref="H99:M99"/>
    <mergeCell ref="A76:F76"/>
    <mergeCell ref="A77:F77"/>
    <mergeCell ref="A78:F78"/>
    <mergeCell ref="A94:F94"/>
    <mergeCell ref="A95:F95"/>
    <mergeCell ref="A96:F96"/>
    <mergeCell ref="H78:M78"/>
    <mergeCell ref="H79:M79"/>
    <mergeCell ref="H80:M80"/>
    <mergeCell ref="H97:M97"/>
    <mergeCell ref="H98:M98"/>
    <mergeCell ref="A79:F79"/>
    <mergeCell ref="A80:F80"/>
    <mergeCell ref="A5:F5"/>
    <mergeCell ref="H7:R7"/>
    <mergeCell ref="H5:R5"/>
    <mergeCell ref="A24:F24"/>
    <mergeCell ref="H24:M24"/>
    <mergeCell ref="A7:F7"/>
    <mergeCell ref="A6:F6"/>
    <mergeCell ref="H6:R6"/>
    <mergeCell ref="A43:F43"/>
    <mergeCell ref="H43:M43"/>
    <mergeCell ref="T43:Y43"/>
    <mergeCell ref="A58:F58"/>
    <mergeCell ref="H59:M59"/>
    <mergeCell ref="A59:F59"/>
    <mergeCell ref="H60:M60"/>
    <mergeCell ref="T59:Y59"/>
    <mergeCell ref="A60:F60"/>
    <mergeCell ref="H61:M61"/>
    <mergeCell ref="T60:Y60"/>
    <mergeCell ref="T61:Y61"/>
    <mergeCell ref="A61:F61"/>
    <mergeCell ref="T99:Y99"/>
    <mergeCell ref="T78:Y78"/>
    <mergeCell ref="T79:Y79"/>
    <mergeCell ref="T80:Y80"/>
    <mergeCell ref="T97:Y97"/>
    <mergeCell ref="T98:Y98"/>
  </mergeCells>
  <printOptions horizontalCentered="1"/>
  <pageMargins left="0.25" right="0.25" top="0.75" bottom="0.75" header="0.3" footer="0.3"/>
  <pageSetup scale="75" fitToWidth="2" orientation="portrait" r:id="rId1"/>
  <rowBreaks count="1" manualBreakCount="1">
    <brk id="58" max="33" man="1"/>
  </rowBreaks>
  <colBreaks count="3" manualBreakCount="3">
    <brk id="7" max="108" man="1"/>
    <brk id="18" max="108" man="1"/>
    <brk id="26" max="108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1"/>
  <sheetViews>
    <sheetView topLeftCell="A21" zoomScale="80" zoomScaleNormal="80" zoomScaleSheetLayoutView="40" workbookViewId="0">
      <selection activeCell="K36" sqref="K36"/>
    </sheetView>
  </sheetViews>
  <sheetFormatPr defaultRowHeight="14.4" x14ac:dyDescent="0.3"/>
  <cols>
    <col min="1" max="1" width="24.5546875" style="12" bestFit="1" customWidth="1"/>
    <col min="2" max="2" width="8.88671875" style="12"/>
    <col min="3" max="3" width="11.44140625" style="12" customWidth="1"/>
    <col min="4" max="4" width="13.109375" style="12" customWidth="1"/>
    <col min="5" max="5" width="13.5546875" style="12" bestFit="1" customWidth="1"/>
    <col min="6" max="6" width="15.109375" style="12" bestFit="1" customWidth="1"/>
    <col min="7" max="7" width="1.5546875" customWidth="1"/>
    <col min="8" max="8" width="29.44140625" style="12" customWidth="1"/>
    <col min="9" max="9" width="10" style="12" bestFit="1" customWidth="1"/>
    <col min="10" max="10" width="12.5546875" style="12" customWidth="1"/>
    <col min="11" max="11" width="11.5546875" style="12" customWidth="1"/>
    <col min="12" max="12" width="13.33203125" style="12" customWidth="1"/>
    <col min="13" max="13" width="14.44140625" style="12" customWidth="1"/>
    <col min="14" max="18" width="10" style="12" customWidth="1"/>
    <col min="19" max="19" width="1.5546875" customWidth="1"/>
    <col min="20" max="20" width="24.5546875" style="12" bestFit="1" customWidth="1"/>
    <col min="21" max="21" width="8.88671875" style="12"/>
    <col min="22" max="22" width="11.109375" style="12" customWidth="1"/>
    <col min="23" max="23" width="12.109375" style="12" customWidth="1"/>
    <col min="24" max="24" width="13.5546875" style="12" bestFit="1" customWidth="1"/>
    <col min="25" max="25" width="15.109375" style="12" bestFit="1" customWidth="1"/>
    <col min="26" max="26" width="1.5546875" customWidth="1"/>
    <col min="27" max="27" width="24.44140625" style="12" customWidth="1"/>
    <col min="28" max="28" width="7.109375" style="12" bestFit="1" customWidth="1"/>
    <col min="29" max="29" width="11.109375" style="12" bestFit="1" customWidth="1"/>
    <col min="30" max="30" width="9.44140625" style="12" bestFit="1" customWidth="1"/>
    <col min="31" max="31" width="13.33203125" style="12" customWidth="1"/>
    <col min="32" max="32" width="15.44140625" style="12" customWidth="1"/>
    <col min="33" max="33" width="8.44140625" bestFit="1" customWidth="1"/>
    <col min="34" max="34" width="7.88671875" bestFit="1" customWidth="1"/>
  </cols>
  <sheetData>
    <row r="1" spans="1:34" x14ac:dyDescent="0.3">
      <c r="A1" s="43" t="s">
        <v>17</v>
      </c>
      <c r="H1" s="43" t="s">
        <v>17</v>
      </c>
      <c r="T1" s="43" t="s">
        <v>17</v>
      </c>
      <c r="AA1" s="43" t="s">
        <v>17</v>
      </c>
    </row>
    <row r="2" spans="1:34" x14ac:dyDescent="0.3">
      <c r="A2" s="43" t="s">
        <v>65</v>
      </c>
      <c r="H2" s="43" t="s">
        <v>65</v>
      </c>
      <c r="T2" s="43" t="s">
        <v>65</v>
      </c>
      <c r="AA2" s="43" t="s">
        <v>65</v>
      </c>
    </row>
    <row r="3" spans="1:34" x14ac:dyDescent="0.3">
      <c r="A3" s="43" t="s">
        <v>71</v>
      </c>
      <c r="H3" s="43" t="s">
        <v>71</v>
      </c>
      <c r="T3" s="43" t="s">
        <v>71</v>
      </c>
      <c r="AA3" s="43" t="s">
        <v>71</v>
      </c>
    </row>
    <row r="4" spans="1:34" x14ac:dyDescent="0.3">
      <c r="A4" s="43" t="s">
        <v>38</v>
      </c>
      <c r="H4" s="43" t="s">
        <v>38</v>
      </c>
      <c r="T4" s="43" t="s">
        <v>38</v>
      </c>
      <c r="AA4" s="43" t="s">
        <v>38</v>
      </c>
    </row>
    <row r="5" spans="1:34" x14ac:dyDescent="0.3">
      <c r="A5" s="136" t="s">
        <v>51</v>
      </c>
      <c r="B5" s="136"/>
      <c r="C5" s="136"/>
      <c r="D5" s="136"/>
      <c r="E5" s="136"/>
      <c r="F5" s="136"/>
      <c r="H5" s="136" t="s">
        <v>75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T5" s="136" t="s">
        <v>98</v>
      </c>
      <c r="U5" s="136"/>
      <c r="V5" s="136"/>
      <c r="W5" s="136"/>
      <c r="X5" s="136"/>
      <c r="Y5" s="95"/>
      <c r="AA5" s="136" t="s">
        <v>109</v>
      </c>
      <c r="AB5" s="136"/>
      <c r="AC5" s="136"/>
      <c r="AD5" s="136"/>
      <c r="AE5" s="136"/>
      <c r="AF5" s="136"/>
      <c r="AG5" s="136"/>
      <c r="AH5" s="136"/>
    </row>
    <row r="6" spans="1:34" x14ac:dyDescent="0.3">
      <c r="A6" s="136" t="s">
        <v>41</v>
      </c>
      <c r="B6" s="136"/>
      <c r="C6" s="136"/>
      <c r="D6" s="136"/>
      <c r="E6" s="136"/>
      <c r="F6" s="136"/>
      <c r="H6" s="136" t="s">
        <v>41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T6" s="136" t="s">
        <v>41</v>
      </c>
      <c r="U6" s="136"/>
      <c r="V6" s="136"/>
      <c r="W6" s="136"/>
      <c r="X6" s="136"/>
      <c r="Y6" s="95"/>
      <c r="AA6" s="136" t="s">
        <v>41</v>
      </c>
      <c r="AB6" s="136"/>
      <c r="AC6" s="136"/>
      <c r="AD6" s="136"/>
      <c r="AE6" s="136"/>
      <c r="AF6" s="136"/>
      <c r="AG6" s="136"/>
      <c r="AH6" s="136"/>
    </row>
    <row r="7" spans="1:34" x14ac:dyDescent="0.3">
      <c r="A7" s="137" t="s">
        <v>2</v>
      </c>
      <c r="B7" s="137"/>
      <c r="C7" s="137"/>
      <c r="D7" s="137"/>
      <c r="E7" s="137"/>
      <c r="F7" s="137"/>
      <c r="H7" s="137" t="s">
        <v>2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  <c r="T7" s="137" t="s">
        <v>2</v>
      </c>
      <c r="U7" s="137"/>
      <c r="V7" s="137"/>
      <c r="W7" s="137"/>
      <c r="X7" s="137"/>
      <c r="Y7" s="29"/>
      <c r="AA7" s="137" t="s">
        <v>2</v>
      </c>
      <c r="AB7" s="137"/>
      <c r="AC7" s="137"/>
      <c r="AD7" s="137"/>
      <c r="AE7" s="137"/>
      <c r="AF7" s="137"/>
      <c r="AG7" s="137"/>
      <c r="AH7" s="137"/>
    </row>
    <row r="8" spans="1:34" x14ac:dyDescent="0.3">
      <c r="A8" s="44" t="s">
        <v>49</v>
      </c>
      <c r="B8" s="45"/>
      <c r="C8" s="46"/>
      <c r="D8" s="46"/>
      <c r="E8" s="46"/>
      <c r="F8" s="47"/>
      <c r="H8" s="44" t="s">
        <v>72</v>
      </c>
      <c r="I8" s="45"/>
      <c r="J8" s="46"/>
      <c r="K8" s="46"/>
      <c r="L8" s="46"/>
      <c r="M8" s="46"/>
      <c r="N8" s="46"/>
      <c r="O8" s="46"/>
      <c r="P8" s="46"/>
      <c r="Q8" s="46"/>
      <c r="R8" s="47"/>
      <c r="T8" s="44" t="s">
        <v>99</v>
      </c>
      <c r="U8" s="45"/>
      <c r="V8" s="46"/>
      <c r="W8" s="46"/>
      <c r="X8" s="47"/>
      <c r="Y8" s="11"/>
      <c r="AA8" s="44" t="s">
        <v>103</v>
      </c>
      <c r="AB8" s="45"/>
      <c r="AC8" s="46"/>
      <c r="AD8" s="46"/>
      <c r="AE8" s="46"/>
      <c r="AF8" s="46"/>
      <c r="AG8" s="46"/>
      <c r="AH8" s="47"/>
    </row>
    <row r="9" spans="1:34" x14ac:dyDescent="0.3">
      <c r="A9" s="48" t="s">
        <v>7</v>
      </c>
      <c r="B9" s="49"/>
      <c r="C9" s="11"/>
      <c r="D9" s="11"/>
      <c r="E9" s="11"/>
      <c r="F9" s="50"/>
      <c r="H9" s="48" t="s">
        <v>7</v>
      </c>
      <c r="I9" s="49"/>
      <c r="J9" s="11"/>
      <c r="K9" s="11"/>
      <c r="L9" s="11"/>
      <c r="M9" s="11"/>
      <c r="N9" s="11"/>
      <c r="O9" s="11"/>
      <c r="P9" s="11"/>
      <c r="Q9" s="11"/>
      <c r="R9" s="50"/>
      <c r="T9" s="48" t="s">
        <v>7</v>
      </c>
      <c r="U9" s="49"/>
      <c r="V9" s="11"/>
      <c r="W9" s="11"/>
      <c r="X9" s="50"/>
      <c r="AA9" s="48" t="s">
        <v>7</v>
      </c>
      <c r="AB9" s="49"/>
      <c r="AC9" s="11"/>
      <c r="AD9" s="11"/>
      <c r="AE9" s="11"/>
      <c r="AF9" s="11"/>
      <c r="AG9" s="11"/>
      <c r="AH9" s="50"/>
    </row>
    <row r="10" spans="1:34" x14ac:dyDescent="0.3">
      <c r="A10" s="51"/>
      <c r="B10" s="11"/>
      <c r="C10" s="11"/>
      <c r="D10" s="11"/>
      <c r="E10" s="11"/>
      <c r="F10" s="50"/>
      <c r="H10" s="51"/>
      <c r="I10" s="11"/>
      <c r="J10" s="11"/>
      <c r="K10" s="11"/>
      <c r="L10" s="11"/>
      <c r="M10" s="11"/>
      <c r="N10" s="11"/>
      <c r="O10" s="11"/>
      <c r="P10" s="11"/>
      <c r="Q10" s="11"/>
      <c r="R10" s="50"/>
      <c r="T10" s="51"/>
      <c r="U10" s="11"/>
      <c r="V10" s="11"/>
      <c r="W10" s="11"/>
      <c r="X10" s="50"/>
      <c r="AA10" s="51"/>
      <c r="AB10" s="11"/>
      <c r="AC10" s="11"/>
      <c r="AD10" s="11"/>
      <c r="AE10" s="11"/>
      <c r="AF10" s="11"/>
      <c r="AG10" s="11"/>
      <c r="AH10" s="50"/>
    </row>
    <row r="11" spans="1:34" x14ac:dyDescent="0.3">
      <c r="A11" s="52">
        <v>-1</v>
      </c>
      <c r="B11" s="53">
        <v>-2</v>
      </c>
      <c r="C11" s="53">
        <v>-3</v>
      </c>
      <c r="D11" s="53">
        <v>-4</v>
      </c>
      <c r="E11" s="53">
        <v>-5</v>
      </c>
      <c r="F11" s="54">
        <v>-6</v>
      </c>
      <c r="H11" s="52">
        <v>-1</v>
      </c>
      <c r="I11" s="53">
        <v>-2</v>
      </c>
      <c r="J11" s="53">
        <v>-3</v>
      </c>
      <c r="K11" s="53">
        <v>-4</v>
      </c>
      <c r="L11" s="53">
        <v>-5</v>
      </c>
      <c r="M11" s="53">
        <v>-6</v>
      </c>
      <c r="N11" s="53">
        <v>-7</v>
      </c>
      <c r="O11" s="53">
        <v>-8</v>
      </c>
      <c r="P11" s="53">
        <v>-9</v>
      </c>
      <c r="Q11" s="53">
        <v>-10</v>
      </c>
      <c r="R11" s="54">
        <v>-11</v>
      </c>
      <c r="T11" s="52">
        <v>-1</v>
      </c>
      <c r="U11" s="53">
        <v>-2</v>
      </c>
      <c r="V11" s="53">
        <v>-3</v>
      </c>
      <c r="W11" s="53">
        <v>-4</v>
      </c>
      <c r="X11" s="54">
        <v>-5</v>
      </c>
      <c r="AA11" s="52">
        <v>-1</v>
      </c>
      <c r="AB11" s="53">
        <v>-2</v>
      </c>
      <c r="AC11" s="53">
        <v>-3</v>
      </c>
      <c r="AD11" s="53">
        <v>-4</v>
      </c>
      <c r="AE11" s="53"/>
      <c r="AF11" s="53"/>
      <c r="AG11" s="53"/>
      <c r="AH11" s="54">
        <v>-5</v>
      </c>
    </row>
    <row r="12" spans="1:34" x14ac:dyDescent="0.3">
      <c r="A12" s="52"/>
      <c r="B12" s="53" t="s">
        <v>5</v>
      </c>
      <c r="C12" s="55" t="s">
        <v>0</v>
      </c>
      <c r="D12" s="53" t="s">
        <v>6</v>
      </c>
      <c r="E12" s="53" t="s">
        <v>3</v>
      </c>
      <c r="F12" s="54" t="s">
        <v>0</v>
      </c>
      <c r="H12" s="96"/>
      <c r="I12" s="53" t="s">
        <v>5</v>
      </c>
      <c r="J12" s="55" t="s">
        <v>0</v>
      </c>
      <c r="K12" s="53" t="s">
        <v>8</v>
      </c>
      <c r="L12" s="53" t="s">
        <v>9</v>
      </c>
      <c r="M12" s="53" t="s">
        <v>10</v>
      </c>
      <c r="N12" s="53" t="s">
        <v>11</v>
      </c>
      <c r="O12" s="53" t="s">
        <v>12</v>
      </c>
      <c r="P12" s="53" t="s">
        <v>13</v>
      </c>
      <c r="Q12" s="53" t="s">
        <v>14</v>
      </c>
      <c r="R12" s="54" t="s">
        <v>0</v>
      </c>
      <c r="T12" s="52"/>
      <c r="U12" s="53" t="s">
        <v>5</v>
      </c>
      <c r="V12" s="55" t="s">
        <v>0</v>
      </c>
      <c r="W12" s="53" t="s">
        <v>6</v>
      </c>
      <c r="X12" s="54" t="s">
        <v>0</v>
      </c>
      <c r="AA12" s="52"/>
      <c r="AB12" s="55" t="s">
        <v>5</v>
      </c>
      <c r="AC12" s="55" t="s">
        <v>0</v>
      </c>
      <c r="AD12" s="55" t="s">
        <v>8</v>
      </c>
      <c r="AE12" s="55" t="s">
        <v>104</v>
      </c>
      <c r="AF12" s="55" t="s">
        <v>11</v>
      </c>
      <c r="AG12" s="55" t="s">
        <v>12</v>
      </c>
      <c r="AH12" s="56" t="s">
        <v>0</v>
      </c>
    </row>
    <row r="13" spans="1:34" x14ac:dyDescent="0.3">
      <c r="A13" s="51" t="s">
        <v>53</v>
      </c>
      <c r="B13" s="11">
        <v>33</v>
      </c>
      <c r="C13" s="57">
        <v>890.12</v>
      </c>
      <c r="D13" s="57">
        <v>890.12</v>
      </c>
      <c r="E13" s="57"/>
      <c r="F13" s="58">
        <f>SUM(D13:E13)</f>
        <v>890.12</v>
      </c>
      <c r="H13" s="51" t="s">
        <v>34</v>
      </c>
      <c r="I13" s="57">
        <f>473+38</f>
        <v>511</v>
      </c>
      <c r="J13" s="57">
        <v>3078.04</v>
      </c>
      <c r="K13" s="57">
        <v>3078.04</v>
      </c>
      <c r="L13" s="57"/>
      <c r="M13" s="57"/>
      <c r="N13" s="57"/>
      <c r="O13" s="57"/>
      <c r="P13" s="57"/>
      <c r="Q13" s="57"/>
      <c r="R13" s="58">
        <f>SUM(K13:Q13)</f>
        <v>3078.04</v>
      </c>
      <c r="T13" s="51" t="s">
        <v>94</v>
      </c>
      <c r="U13" s="11">
        <v>186</v>
      </c>
      <c r="V13" s="57">
        <v>20386.080000000002</v>
      </c>
      <c r="W13" s="57">
        <v>20386.080000000002</v>
      </c>
      <c r="X13" s="58">
        <f>SUM(W13:W13)</f>
        <v>20386.080000000002</v>
      </c>
      <c r="AA13" s="51" t="s">
        <v>105</v>
      </c>
      <c r="AB13" s="57">
        <f>47+18</f>
        <v>65</v>
      </c>
      <c r="AC13" s="57">
        <v>313.22000000000003</v>
      </c>
      <c r="AD13" s="57">
        <v>313.22000000000003</v>
      </c>
      <c r="AE13" s="57"/>
      <c r="AF13" s="57"/>
      <c r="AG13" s="57"/>
      <c r="AH13" s="58">
        <f>SUM(AD13:AG13)</f>
        <v>313.22000000000003</v>
      </c>
    </row>
    <row r="14" spans="1:34" x14ac:dyDescent="0.3">
      <c r="A14" s="51" t="s">
        <v>33</v>
      </c>
      <c r="B14" s="11">
        <v>15</v>
      </c>
      <c r="C14" s="90">
        <v>9656.68</v>
      </c>
      <c r="D14" s="57">
        <v>1800</v>
      </c>
      <c r="E14" s="57">
        <v>7856.68</v>
      </c>
      <c r="F14" s="58">
        <f>SUM(D14:E14)</f>
        <v>9656.68</v>
      </c>
      <c r="H14" s="51" t="s">
        <v>27</v>
      </c>
      <c r="I14" s="57">
        <v>116</v>
      </c>
      <c r="J14" s="57">
        <v>3203.88</v>
      </c>
      <c r="K14" s="57">
        <v>2515.36</v>
      </c>
      <c r="L14" s="57">
        <v>688.52</v>
      </c>
      <c r="M14" s="57"/>
      <c r="N14" s="57"/>
      <c r="O14" s="57"/>
      <c r="P14" s="57"/>
      <c r="Q14" s="57"/>
      <c r="R14" s="58">
        <f t="shared" ref="R14:R18" si="0">SUM(K14:Q14)</f>
        <v>3203.88</v>
      </c>
      <c r="T14" s="51"/>
      <c r="U14" s="11"/>
      <c r="V14" s="90"/>
      <c r="W14" s="57"/>
      <c r="X14" s="58">
        <f>SUM(W14:W14)</f>
        <v>0</v>
      </c>
      <c r="AA14" s="51" t="s">
        <v>106</v>
      </c>
      <c r="AB14" s="57">
        <v>41</v>
      </c>
      <c r="AC14" s="57">
        <v>1356.87</v>
      </c>
      <c r="AD14" s="57">
        <v>878</v>
      </c>
      <c r="AE14" s="57">
        <v>478.87</v>
      </c>
      <c r="AF14" s="57"/>
      <c r="AG14" s="57"/>
      <c r="AH14" s="58">
        <f t="shared" ref="AH14:AH16" si="1">SUM(AD14:AG14)</f>
        <v>1356.87</v>
      </c>
    </row>
    <row r="15" spans="1:34" x14ac:dyDescent="0.3">
      <c r="A15" s="51"/>
      <c r="B15" s="11"/>
      <c r="C15" s="57"/>
      <c r="D15" s="57"/>
      <c r="E15" s="57"/>
      <c r="F15" s="58"/>
      <c r="H15" s="51" t="s">
        <v>28</v>
      </c>
      <c r="I15" s="57">
        <v>64</v>
      </c>
      <c r="J15" s="57">
        <v>2527.56</v>
      </c>
      <c r="K15" s="57">
        <v>1280</v>
      </c>
      <c r="L15" s="57">
        <v>640</v>
      </c>
      <c r="M15" s="57">
        <v>607.55999999999995</v>
      </c>
      <c r="N15" s="57"/>
      <c r="O15" s="57"/>
      <c r="P15" s="57"/>
      <c r="Q15" s="57"/>
      <c r="R15" s="58">
        <f t="shared" si="0"/>
        <v>2527.56</v>
      </c>
      <c r="T15" s="51"/>
      <c r="U15" s="11"/>
      <c r="V15" s="57"/>
      <c r="W15" s="57"/>
      <c r="X15" s="58"/>
      <c r="AA15" s="51" t="s">
        <v>107</v>
      </c>
      <c r="AB15" s="57">
        <v>16</v>
      </c>
      <c r="AC15" s="57">
        <v>1133.32</v>
      </c>
      <c r="AD15" s="57">
        <v>417</v>
      </c>
      <c r="AE15" s="57">
        <v>480</v>
      </c>
      <c r="AF15" s="57">
        <v>236.32</v>
      </c>
      <c r="AG15" s="57"/>
      <c r="AH15" s="58">
        <f t="shared" si="1"/>
        <v>1133.32</v>
      </c>
    </row>
    <row r="16" spans="1:34" x14ac:dyDescent="0.3">
      <c r="A16" s="59" t="s">
        <v>4</v>
      </c>
      <c r="B16" s="72">
        <f>SUM(B13:B14)</f>
        <v>48</v>
      </c>
      <c r="C16" s="60">
        <f t="shared" ref="C16:D16" si="2">SUM(C13:C14)</f>
        <v>10546.800000000001</v>
      </c>
      <c r="D16" s="60">
        <f t="shared" si="2"/>
        <v>2690.12</v>
      </c>
      <c r="E16" s="60">
        <f>SUM(E13:E14)</f>
        <v>7856.68</v>
      </c>
      <c r="F16" s="61">
        <f>SUM(F13:F14)</f>
        <v>10546.800000000001</v>
      </c>
      <c r="H16" s="51" t="s">
        <v>29</v>
      </c>
      <c r="I16" s="57">
        <v>107</v>
      </c>
      <c r="J16" s="57">
        <v>7911.12</v>
      </c>
      <c r="K16" s="57">
        <v>2220</v>
      </c>
      <c r="L16" s="57">
        <v>1102.28</v>
      </c>
      <c r="M16" s="57">
        <v>2154.88</v>
      </c>
      <c r="N16" s="57">
        <v>2433.96</v>
      </c>
      <c r="O16" s="57"/>
      <c r="P16" s="57"/>
      <c r="Q16" s="57"/>
      <c r="R16" s="58">
        <f t="shared" si="0"/>
        <v>7911.12</v>
      </c>
      <c r="T16" s="59" t="s">
        <v>4</v>
      </c>
      <c r="U16" s="72">
        <f>SUM(U13:U14)</f>
        <v>186</v>
      </c>
      <c r="V16" s="60">
        <f t="shared" ref="V16:W16" si="3">SUM(V13:V14)</f>
        <v>20386.080000000002</v>
      </c>
      <c r="W16" s="60">
        <f t="shared" si="3"/>
        <v>20386.080000000002</v>
      </c>
      <c r="X16" s="61">
        <f>SUM(X13:X14)</f>
        <v>20386.080000000002</v>
      </c>
      <c r="AA16" s="51" t="s">
        <v>108</v>
      </c>
      <c r="AB16" s="57">
        <v>22</v>
      </c>
      <c r="AC16" s="57">
        <v>10803.59</v>
      </c>
      <c r="AD16" s="57">
        <v>440</v>
      </c>
      <c r="AE16" s="57">
        <v>660</v>
      </c>
      <c r="AF16" s="57">
        <v>1100</v>
      </c>
      <c r="AG16" s="57">
        <v>8603.59</v>
      </c>
      <c r="AH16" s="58">
        <f t="shared" si="1"/>
        <v>10803.59</v>
      </c>
    </row>
    <row r="17" spans="1:34" x14ac:dyDescent="0.3">
      <c r="H17" s="51" t="s">
        <v>30</v>
      </c>
      <c r="I17" s="57">
        <v>122</v>
      </c>
      <c r="J17" s="57">
        <v>18967.03</v>
      </c>
      <c r="K17" s="57">
        <v>3022.28</v>
      </c>
      <c r="L17" s="57">
        <v>1394.16</v>
      </c>
      <c r="M17" s="57">
        <v>2649.68</v>
      </c>
      <c r="N17" s="57">
        <v>6499.6</v>
      </c>
      <c r="O17" s="57">
        <v>5401.31</v>
      </c>
      <c r="P17" s="57"/>
      <c r="Q17" s="57"/>
      <c r="R17" s="58">
        <f t="shared" si="0"/>
        <v>18967.030000000002</v>
      </c>
      <c r="AA17" s="51"/>
      <c r="AB17" s="57"/>
      <c r="AC17" s="57"/>
      <c r="AD17" s="57"/>
      <c r="AE17" s="57"/>
      <c r="AF17" s="57"/>
      <c r="AG17" s="57"/>
      <c r="AH17" s="58"/>
    </row>
    <row r="18" spans="1:34" x14ac:dyDescent="0.3">
      <c r="H18" s="51" t="s">
        <v>31</v>
      </c>
      <c r="I18" s="57">
        <v>67</v>
      </c>
      <c r="J18" s="57">
        <v>17175.25</v>
      </c>
      <c r="K18" s="57">
        <v>1420</v>
      </c>
      <c r="L18" s="57">
        <v>702.44</v>
      </c>
      <c r="M18" s="57">
        <v>1387.4</v>
      </c>
      <c r="N18" s="57">
        <v>3405</v>
      </c>
      <c r="O18" s="57">
        <v>6772.04</v>
      </c>
      <c r="P18" s="57">
        <v>3488.37</v>
      </c>
      <c r="Q18" s="57"/>
      <c r="R18" s="58">
        <f t="shared" si="0"/>
        <v>17175.25</v>
      </c>
      <c r="AA18" s="51"/>
      <c r="AB18" s="57"/>
      <c r="AC18" s="57"/>
      <c r="AD18" s="57"/>
      <c r="AE18" s="57"/>
      <c r="AF18" s="57"/>
      <c r="AG18" s="57"/>
      <c r="AH18" s="58"/>
    </row>
    <row r="19" spans="1:34" x14ac:dyDescent="0.3">
      <c r="H19" s="51" t="s">
        <v>32</v>
      </c>
      <c r="I19" s="57">
        <v>59</v>
      </c>
      <c r="J19" s="57">
        <v>72159.679999999993</v>
      </c>
      <c r="K19" s="57">
        <v>1225</v>
      </c>
      <c r="L19" s="57">
        <v>610</v>
      </c>
      <c r="M19" s="57">
        <v>1202</v>
      </c>
      <c r="N19" s="57">
        <v>2950</v>
      </c>
      <c r="O19" s="57">
        <v>5900</v>
      </c>
      <c r="P19" s="57">
        <v>11800</v>
      </c>
      <c r="Q19" s="57">
        <v>48472.68</v>
      </c>
      <c r="R19" s="58">
        <f>SUM(K19:Q19)</f>
        <v>72159.679999999993</v>
      </c>
      <c r="AA19" s="51"/>
      <c r="AB19" s="57"/>
      <c r="AC19" s="57"/>
      <c r="AD19" s="57"/>
      <c r="AE19" s="57"/>
      <c r="AF19" s="57"/>
      <c r="AG19" s="57"/>
      <c r="AH19" s="58"/>
    </row>
    <row r="20" spans="1:34" x14ac:dyDescent="0.3">
      <c r="H20" s="51"/>
      <c r="I20" s="57"/>
      <c r="J20" s="57"/>
      <c r="K20" s="57"/>
      <c r="L20" s="57"/>
      <c r="M20" s="57"/>
      <c r="N20" s="57"/>
      <c r="O20" s="57"/>
      <c r="P20" s="57"/>
      <c r="Q20" s="57"/>
      <c r="R20" s="58"/>
      <c r="AA20" s="51"/>
      <c r="AB20" s="57"/>
      <c r="AC20" s="57"/>
      <c r="AD20" s="57"/>
      <c r="AE20" s="57"/>
      <c r="AF20" s="57"/>
      <c r="AG20" s="57"/>
      <c r="AH20" s="58"/>
    </row>
    <row r="21" spans="1:34" x14ac:dyDescent="0.3">
      <c r="H21" s="59" t="s">
        <v>4</v>
      </c>
      <c r="I21" s="60">
        <f t="shared" ref="I21:R21" si="4">SUM(I13:I19)</f>
        <v>1046</v>
      </c>
      <c r="J21" s="60">
        <f t="shared" si="4"/>
        <v>125022.56</v>
      </c>
      <c r="K21" s="60">
        <f t="shared" si="4"/>
        <v>14760.68</v>
      </c>
      <c r="L21" s="60">
        <f t="shared" si="4"/>
        <v>5137.3999999999996</v>
      </c>
      <c r="M21" s="60">
        <f t="shared" si="4"/>
        <v>8001.52</v>
      </c>
      <c r="N21" s="60">
        <f t="shared" si="4"/>
        <v>15288.560000000001</v>
      </c>
      <c r="O21" s="60">
        <f t="shared" si="4"/>
        <v>18073.349999999999</v>
      </c>
      <c r="P21" s="60">
        <f t="shared" si="4"/>
        <v>15288.369999999999</v>
      </c>
      <c r="Q21" s="60">
        <f t="shared" si="4"/>
        <v>48472.68</v>
      </c>
      <c r="R21" s="61">
        <f t="shared" si="4"/>
        <v>125022.56</v>
      </c>
      <c r="AA21" s="59" t="s">
        <v>4</v>
      </c>
      <c r="AB21" s="60">
        <f t="shared" ref="AB21:AH21" si="5">SUM(AB13:AB19)</f>
        <v>144</v>
      </c>
      <c r="AC21" s="60">
        <f t="shared" si="5"/>
        <v>13607</v>
      </c>
      <c r="AD21" s="60">
        <f t="shared" si="5"/>
        <v>2048.2200000000003</v>
      </c>
      <c r="AE21" s="60">
        <f t="shared" si="5"/>
        <v>1618.87</v>
      </c>
      <c r="AF21" s="60">
        <f t="shared" si="5"/>
        <v>1336.32</v>
      </c>
      <c r="AG21" s="60">
        <f t="shared" si="5"/>
        <v>8603.59</v>
      </c>
      <c r="AH21" s="61">
        <f t="shared" si="5"/>
        <v>13607</v>
      </c>
    </row>
    <row r="22" spans="1:34" x14ac:dyDescent="0.3">
      <c r="H22" s="49"/>
      <c r="I22" s="62"/>
      <c r="J22" s="62"/>
      <c r="K22" s="62"/>
      <c r="L22" s="62"/>
      <c r="M22" s="62"/>
      <c r="N22" s="62"/>
      <c r="O22" s="62"/>
      <c r="P22" s="62"/>
      <c r="Q22" s="62"/>
      <c r="R22" s="62"/>
      <c r="AA22" s="49"/>
      <c r="AB22" s="62"/>
      <c r="AC22" s="62"/>
      <c r="AD22" s="62"/>
      <c r="AE22" s="62"/>
      <c r="AF22" s="62"/>
    </row>
    <row r="23" spans="1:34" x14ac:dyDescent="0.3">
      <c r="H23" s="49"/>
      <c r="I23" s="62"/>
      <c r="J23" s="62"/>
      <c r="K23" s="62"/>
      <c r="L23" s="62"/>
      <c r="M23" s="62"/>
      <c r="N23" s="62"/>
      <c r="O23" s="62"/>
      <c r="P23" s="62"/>
      <c r="Q23" s="62"/>
      <c r="R23" s="62"/>
      <c r="AA23" s="49"/>
      <c r="AB23" s="62"/>
      <c r="AC23" s="62"/>
      <c r="AD23" s="62"/>
      <c r="AE23" s="62"/>
      <c r="AF23" s="62"/>
    </row>
    <row r="24" spans="1:34" x14ac:dyDescent="0.3">
      <c r="A24" s="136" t="s">
        <v>51</v>
      </c>
      <c r="B24" s="136"/>
      <c r="C24" s="136"/>
      <c r="D24" s="136"/>
      <c r="E24" s="136"/>
      <c r="F24" s="136"/>
      <c r="H24" s="135" t="s">
        <v>75</v>
      </c>
      <c r="I24" s="135"/>
      <c r="J24" s="135"/>
      <c r="K24" s="135"/>
      <c r="L24" s="135"/>
      <c r="M24" s="135"/>
      <c r="N24" s="135"/>
      <c r="O24" s="62"/>
      <c r="P24" s="62"/>
      <c r="Q24" s="62"/>
      <c r="R24" s="62"/>
      <c r="T24" s="136" t="s">
        <v>98</v>
      </c>
      <c r="U24" s="136"/>
      <c r="V24" s="136"/>
      <c r="W24" s="136"/>
      <c r="X24" s="136"/>
      <c r="Y24" s="136"/>
      <c r="AA24" s="135" t="s">
        <v>109</v>
      </c>
      <c r="AB24" s="135"/>
      <c r="AC24" s="135"/>
      <c r="AD24" s="135"/>
      <c r="AE24" s="135"/>
      <c r="AF24" s="135"/>
    </row>
    <row r="25" spans="1:34" x14ac:dyDescent="0.3">
      <c r="A25" s="136" t="s">
        <v>46</v>
      </c>
      <c r="B25" s="136"/>
      <c r="C25" s="136"/>
      <c r="D25" s="136"/>
      <c r="E25" s="136"/>
      <c r="F25" s="136"/>
      <c r="H25" s="136" t="s">
        <v>46</v>
      </c>
      <c r="I25" s="136"/>
      <c r="J25" s="136"/>
      <c r="K25" s="136"/>
      <c r="L25" s="136"/>
      <c r="M25" s="136"/>
      <c r="N25" s="136"/>
      <c r="T25" s="136" t="s">
        <v>46</v>
      </c>
      <c r="U25" s="136"/>
      <c r="V25" s="136"/>
      <c r="W25" s="136"/>
      <c r="X25" s="136"/>
      <c r="Y25" s="136"/>
      <c r="AA25" s="136" t="s">
        <v>46</v>
      </c>
      <c r="AB25" s="136"/>
      <c r="AC25" s="136"/>
      <c r="AD25" s="136"/>
      <c r="AE25" s="136"/>
      <c r="AF25" s="136"/>
    </row>
    <row r="26" spans="1:34" x14ac:dyDescent="0.3">
      <c r="A26" s="135" t="s">
        <v>42</v>
      </c>
      <c r="B26" s="135"/>
      <c r="C26" s="135"/>
      <c r="D26" s="135"/>
      <c r="E26" s="135"/>
      <c r="F26" s="135"/>
      <c r="H26" s="137" t="s">
        <v>42</v>
      </c>
      <c r="I26" s="137"/>
      <c r="J26" s="137"/>
      <c r="K26" s="137"/>
      <c r="L26" s="137"/>
      <c r="M26" s="137"/>
      <c r="N26" s="137"/>
      <c r="T26" s="135" t="s">
        <v>42</v>
      </c>
      <c r="U26" s="135"/>
      <c r="V26" s="135"/>
      <c r="W26" s="135"/>
      <c r="X26" s="135"/>
      <c r="Y26" s="135"/>
      <c r="AA26" s="135" t="s">
        <v>42</v>
      </c>
      <c r="AB26" s="135"/>
      <c r="AC26" s="135"/>
      <c r="AD26" s="135"/>
      <c r="AE26" s="135"/>
      <c r="AF26" s="135"/>
    </row>
    <row r="27" spans="1:34" x14ac:dyDescent="0.3">
      <c r="A27" s="64">
        <v>-1</v>
      </c>
      <c r="B27" s="65">
        <v>-2</v>
      </c>
      <c r="C27" s="65">
        <v>-3</v>
      </c>
      <c r="D27" s="65">
        <v>-4</v>
      </c>
      <c r="E27" s="65">
        <v>-5</v>
      </c>
      <c r="F27" s="47"/>
      <c r="H27" s="97"/>
      <c r="I27" s="46"/>
      <c r="J27" s="46"/>
      <c r="K27" s="46"/>
      <c r="L27" s="46"/>
      <c r="M27" s="46"/>
      <c r="N27" s="47"/>
      <c r="T27" s="64">
        <v>-1</v>
      </c>
      <c r="U27" s="65">
        <v>-2</v>
      </c>
      <c r="V27" s="65">
        <v>-3</v>
      </c>
      <c r="W27" s="65">
        <v>-4</v>
      </c>
      <c r="X27" s="65">
        <v>-5</v>
      </c>
      <c r="Y27" s="47"/>
      <c r="AA27" s="64">
        <v>-1</v>
      </c>
      <c r="AB27" s="65">
        <v>-2</v>
      </c>
      <c r="AC27" s="65">
        <v>-3</v>
      </c>
      <c r="AD27" s="65">
        <v>-4</v>
      </c>
      <c r="AE27" s="65">
        <v>-5</v>
      </c>
      <c r="AF27" s="47"/>
    </row>
    <row r="28" spans="1:34" x14ac:dyDescent="0.3">
      <c r="A28" s="51"/>
      <c r="B28" s="83" t="s">
        <v>5</v>
      </c>
      <c r="C28" s="83" t="s">
        <v>0</v>
      </c>
      <c r="D28" s="83" t="s">
        <v>15</v>
      </c>
      <c r="E28" s="83" t="s">
        <v>16</v>
      </c>
      <c r="F28" s="10" t="s">
        <v>35</v>
      </c>
      <c r="H28" s="52">
        <v>-1</v>
      </c>
      <c r="I28" s="53">
        <v>-2</v>
      </c>
      <c r="J28" s="53">
        <v>-3</v>
      </c>
      <c r="K28" s="53">
        <v>-4</v>
      </c>
      <c r="L28" s="53">
        <v>-5</v>
      </c>
      <c r="M28" s="11"/>
      <c r="N28" s="50"/>
      <c r="T28" s="51"/>
      <c r="U28" s="83" t="s">
        <v>5</v>
      </c>
      <c r="V28" s="83" t="s">
        <v>0</v>
      </c>
      <c r="W28" s="83" t="s">
        <v>15</v>
      </c>
      <c r="X28" s="83" t="s">
        <v>16</v>
      </c>
      <c r="Y28" s="10" t="s">
        <v>35</v>
      </c>
      <c r="AA28" s="51"/>
      <c r="AB28" s="63" t="s">
        <v>5</v>
      </c>
      <c r="AC28" s="66" t="s">
        <v>0</v>
      </c>
      <c r="AD28" s="63" t="s">
        <v>15</v>
      </c>
      <c r="AE28" s="63" t="s">
        <v>16</v>
      </c>
      <c r="AF28" s="10" t="s">
        <v>35</v>
      </c>
    </row>
    <row r="29" spans="1:34" x14ac:dyDescent="0.3">
      <c r="A29" s="51" t="s">
        <v>53</v>
      </c>
      <c r="B29" s="11">
        <f>$B$16</f>
        <v>48</v>
      </c>
      <c r="C29" s="67">
        <f>D16</f>
        <v>2690.12</v>
      </c>
      <c r="D29" s="80">
        <f>Residential!D29</f>
        <v>32.67</v>
      </c>
      <c r="E29" s="69">
        <f>B29*D29</f>
        <v>1568.16</v>
      </c>
      <c r="F29" s="70" t="s">
        <v>24</v>
      </c>
      <c r="H29" s="51"/>
      <c r="I29" s="83" t="s">
        <v>5</v>
      </c>
      <c r="J29" s="66" t="s">
        <v>0</v>
      </c>
      <c r="K29" s="83" t="s">
        <v>15</v>
      </c>
      <c r="L29" s="83" t="s">
        <v>16</v>
      </c>
      <c r="M29" s="83" t="s">
        <v>35</v>
      </c>
      <c r="N29" s="50"/>
      <c r="T29" s="51" t="s">
        <v>94</v>
      </c>
      <c r="U29" s="101">
        <f>U16</f>
        <v>186</v>
      </c>
      <c r="V29" s="67">
        <f>W16</f>
        <v>20386.080000000002</v>
      </c>
      <c r="W29" s="68">
        <f>Residential!W30</f>
        <v>1.1599999999999999</v>
      </c>
      <c r="X29" s="69">
        <f>V29*W29</f>
        <v>23647.852800000001</v>
      </c>
      <c r="Y29" s="70" t="s">
        <v>36</v>
      </c>
      <c r="AA29" s="51" t="s">
        <v>105</v>
      </c>
      <c r="AB29" s="57">
        <f>AB21</f>
        <v>144</v>
      </c>
      <c r="AC29" s="67">
        <f>AD21</f>
        <v>2048.2200000000003</v>
      </c>
      <c r="AD29" s="80">
        <f>Residential!AD29</f>
        <v>23.99</v>
      </c>
      <c r="AE29" s="69">
        <f>AB29*AD29</f>
        <v>3454.56</v>
      </c>
      <c r="AF29" s="70" t="s">
        <v>24</v>
      </c>
    </row>
    <row r="30" spans="1:34" x14ac:dyDescent="0.3">
      <c r="A30" s="51" t="s">
        <v>33</v>
      </c>
      <c r="B30" s="11"/>
      <c r="C30" s="67">
        <f>$E$16</f>
        <v>7856.68</v>
      </c>
      <c r="D30" s="68">
        <f>Residential!D30</f>
        <v>0.27200000000000002</v>
      </c>
      <c r="E30" s="91">
        <f>C30*D30</f>
        <v>2137.0169600000004</v>
      </c>
      <c r="F30" s="70" t="s">
        <v>36</v>
      </c>
      <c r="H30" s="51" t="s">
        <v>34</v>
      </c>
      <c r="I30" s="57">
        <f>$I$21</f>
        <v>1046</v>
      </c>
      <c r="J30" s="67">
        <f>$K$21</f>
        <v>14760.68</v>
      </c>
      <c r="K30" s="80">
        <f>Residential!K29</f>
        <v>27.19</v>
      </c>
      <c r="L30" s="69">
        <f>I30*K30</f>
        <v>28440.74</v>
      </c>
      <c r="M30" s="98" t="s">
        <v>24</v>
      </c>
      <c r="N30" s="50"/>
      <c r="T30" s="51"/>
      <c r="U30" s="11"/>
      <c r="V30" s="67"/>
      <c r="W30" s="102"/>
      <c r="X30" s="91"/>
      <c r="Y30" s="70"/>
      <c r="AA30" s="51" t="s">
        <v>106</v>
      </c>
      <c r="AB30" s="57"/>
      <c r="AC30" s="67">
        <f>AE21</f>
        <v>1618.87</v>
      </c>
      <c r="AD30" s="68">
        <f>Residential!AD30</f>
        <v>1.012</v>
      </c>
      <c r="AE30" s="71">
        <f>AC30*AD30</f>
        <v>1638.2964399999998</v>
      </c>
      <c r="AF30" s="70" t="s">
        <v>36</v>
      </c>
    </row>
    <row r="31" spans="1:34" x14ac:dyDescent="0.3">
      <c r="A31" s="51"/>
      <c r="B31" s="11"/>
      <c r="C31" s="11"/>
      <c r="D31" s="11"/>
      <c r="E31" s="11"/>
      <c r="F31" s="50"/>
      <c r="H31" s="51" t="s">
        <v>27</v>
      </c>
      <c r="I31" s="11"/>
      <c r="J31" s="67">
        <f>$L$21</f>
        <v>5137.3999999999996</v>
      </c>
      <c r="K31" s="68">
        <f>Residential!K30</f>
        <v>1.2350000000000001</v>
      </c>
      <c r="L31" s="71">
        <f>J31*K31</f>
        <v>6344.6890000000003</v>
      </c>
      <c r="M31" s="98" t="s">
        <v>36</v>
      </c>
      <c r="N31" s="50"/>
      <c r="T31" s="51"/>
      <c r="U31" s="11"/>
      <c r="V31" s="11"/>
      <c r="W31" s="11"/>
      <c r="X31" s="11"/>
      <c r="Y31" s="50"/>
      <c r="AA31" s="51" t="s">
        <v>107</v>
      </c>
      <c r="AB31" s="11"/>
      <c r="AC31" s="67">
        <f>AF21</f>
        <v>1336.32</v>
      </c>
      <c r="AD31" s="68">
        <f>Residential!AD31</f>
        <v>0.877</v>
      </c>
      <c r="AE31" s="71">
        <f t="shared" ref="AE31:AE32" si="6">AC31*AD31</f>
        <v>1171.95264</v>
      </c>
      <c r="AF31" s="70" t="s">
        <v>36</v>
      </c>
    </row>
    <row r="32" spans="1:34" x14ac:dyDescent="0.3">
      <c r="A32" s="59" t="s">
        <v>4</v>
      </c>
      <c r="B32" s="72">
        <f>SUM(B29:B31)</f>
        <v>48</v>
      </c>
      <c r="C32" s="73">
        <f>SUM(C29:C31)</f>
        <v>10546.8</v>
      </c>
      <c r="D32" s="74"/>
      <c r="E32" s="75">
        <f>SUM(E29:E31)</f>
        <v>3705.1769600000007</v>
      </c>
      <c r="F32" s="76"/>
      <c r="H32" s="51" t="s">
        <v>28</v>
      </c>
      <c r="I32" s="11"/>
      <c r="J32" s="67">
        <f>$M$21</f>
        <v>8001.52</v>
      </c>
      <c r="K32" s="68">
        <f>Residential!K31</f>
        <v>0.97199999999999998</v>
      </c>
      <c r="L32" s="71">
        <f t="shared" ref="L32:L36" si="7">J32*K32</f>
        <v>7777.4774400000006</v>
      </c>
      <c r="M32" s="98" t="s">
        <v>36</v>
      </c>
      <c r="N32" s="50"/>
      <c r="T32" s="59" t="s">
        <v>4</v>
      </c>
      <c r="U32" s="72">
        <f>SUM(U29:U31)</f>
        <v>186</v>
      </c>
      <c r="V32" s="73">
        <f>SUM(V29:V31)</f>
        <v>20386.080000000002</v>
      </c>
      <c r="W32" s="74"/>
      <c r="X32" s="75">
        <f>SUM(X29:X31)</f>
        <v>23647.852800000001</v>
      </c>
      <c r="Y32" s="76"/>
      <c r="AA32" s="51" t="s">
        <v>108</v>
      </c>
      <c r="AB32" s="11"/>
      <c r="AC32" s="67">
        <f>AG21</f>
        <v>8603.59</v>
      </c>
      <c r="AD32" s="68">
        <f>Residential!AD32</f>
        <v>0.72799999999999998</v>
      </c>
      <c r="AE32" s="71">
        <f t="shared" si="6"/>
        <v>6263.4135200000001</v>
      </c>
      <c r="AF32" s="70" t="s">
        <v>36</v>
      </c>
    </row>
    <row r="33" spans="1:32" x14ac:dyDescent="0.3">
      <c r="H33" s="51" t="s">
        <v>29</v>
      </c>
      <c r="I33" s="11"/>
      <c r="J33" s="67">
        <f>$N$21</f>
        <v>15288.560000000001</v>
      </c>
      <c r="K33" s="68">
        <f>Residential!K32</f>
        <v>0.88</v>
      </c>
      <c r="L33" s="71">
        <f t="shared" si="7"/>
        <v>13453.9328</v>
      </c>
      <c r="M33" s="98" t="s">
        <v>36</v>
      </c>
      <c r="N33" s="50"/>
      <c r="AA33" s="51"/>
      <c r="AB33" s="11"/>
      <c r="AC33" s="67"/>
      <c r="AD33" s="68"/>
      <c r="AE33" s="71"/>
      <c r="AF33" s="70"/>
    </row>
    <row r="34" spans="1:32" x14ac:dyDescent="0.3">
      <c r="D34" s="11"/>
      <c r="E34" s="69"/>
      <c r="F34" s="11"/>
      <c r="H34" s="51" t="s">
        <v>30</v>
      </c>
      <c r="I34" s="11"/>
      <c r="J34" s="67">
        <f>$O$21</f>
        <v>18073.349999999999</v>
      </c>
      <c r="K34" s="68">
        <f>Residential!K33</f>
        <v>0.78700000000000003</v>
      </c>
      <c r="L34" s="71">
        <f t="shared" si="7"/>
        <v>14223.72645</v>
      </c>
      <c r="M34" s="98" t="s">
        <v>36</v>
      </c>
      <c r="N34" s="50"/>
      <c r="W34" s="11"/>
      <c r="X34" s="69"/>
      <c r="Y34" s="11"/>
      <c r="AA34" s="51"/>
      <c r="AB34" s="11"/>
      <c r="AC34" s="67"/>
      <c r="AD34" s="68"/>
      <c r="AE34" s="71"/>
      <c r="AF34" s="70"/>
    </row>
    <row r="35" spans="1:32" x14ac:dyDescent="0.3">
      <c r="D35" s="11"/>
      <c r="E35" s="11"/>
      <c r="F35" s="11"/>
      <c r="H35" s="51" t="s">
        <v>31</v>
      </c>
      <c r="I35" s="11"/>
      <c r="J35" s="67">
        <f>$P$21</f>
        <v>15288.369999999999</v>
      </c>
      <c r="K35" s="68">
        <f>Residential!K34</f>
        <v>0.69399999999999995</v>
      </c>
      <c r="L35" s="71">
        <f t="shared" si="7"/>
        <v>10610.128779999999</v>
      </c>
      <c r="M35" s="98" t="s">
        <v>36</v>
      </c>
      <c r="N35" s="50"/>
      <c r="W35" s="11"/>
      <c r="X35" s="11"/>
      <c r="Y35" s="11"/>
      <c r="AA35" s="51"/>
      <c r="AB35" s="11"/>
      <c r="AC35" s="67"/>
      <c r="AD35" s="68"/>
      <c r="AE35" s="71"/>
      <c r="AF35" s="70"/>
    </row>
    <row r="36" spans="1:32" x14ac:dyDescent="0.3">
      <c r="D36" s="11"/>
      <c r="E36" s="92"/>
      <c r="F36" s="11"/>
      <c r="H36" s="51" t="s">
        <v>32</v>
      </c>
      <c r="I36" s="11"/>
      <c r="J36" s="67">
        <f>$Q$21</f>
        <v>48472.68</v>
      </c>
      <c r="K36" s="68">
        <f>Residential!K35</f>
        <v>0.66200000000000003</v>
      </c>
      <c r="L36" s="71">
        <f t="shared" si="7"/>
        <v>32088.91416</v>
      </c>
      <c r="M36" s="98" t="s">
        <v>36</v>
      </c>
      <c r="N36" s="50"/>
      <c r="W36" s="11"/>
      <c r="X36" s="92"/>
      <c r="Y36" s="11"/>
      <c r="AA36" s="51"/>
      <c r="AB36" s="11"/>
      <c r="AC36" s="11"/>
      <c r="AD36" s="11"/>
      <c r="AE36" s="11"/>
      <c r="AF36" s="50"/>
    </row>
    <row r="37" spans="1:32" x14ac:dyDescent="0.3">
      <c r="D37" s="11"/>
      <c r="E37" s="93"/>
      <c r="F37" s="11"/>
      <c r="H37" s="51"/>
      <c r="I37" s="11"/>
      <c r="J37" s="11"/>
      <c r="K37" s="11"/>
      <c r="L37" s="11"/>
      <c r="M37" s="11"/>
      <c r="N37" s="50"/>
      <c r="W37" s="11"/>
      <c r="X37" s="93"/>
      <c r="Y37" s="11"/>
      <c r="AA37" s="59" t="s">
        <v>4</v>
      </c>
      <c r="AB37" s="72">
        <f>SUM(AB29:AB36)</f>
        <v>144</v>
      </c>
      <c r="AC37" s="73">
        <f>SUM(AC29:AC36)</f>
        <v>13607</v>
      </c>
      <c r="AD37" s="74"/>
      <c r="AE37" s="75">
        <f>SUM(AE29:AE36)</f>
        <v>12528.222599999999</v>
      </c>
      <c r="AF37" s="76"/>
    </row>
    <row r="38" spans="1:32" x14ac:dyDescent="0.3">
      <c r="D38" s="11"/>
      <c r="E38" s="11"/>
      <c r="F38" s="11"/>
      <c r="H38" s="59" t="s">
        <v>4</v>
      </c>
      <c r="I38" s="72">
        <f>SUM(I30:I37)</f>
        <v>1046</v>
      </c>
      <c r="J38" s="73">
        <f>SUM(J30:J37)</f>
        <v>125022.56</v>
      </c>
      <c r="K38" s="74"/>
      <c r="L38" s="75">
        <f>SUM(L30:L37)</f>
        <v>112939.60863</v>
      </c>
      <c r="M38" s="99"/>
      <c r="N38" s="76"/>
      <c r="W38" s="11"/>
      <c r="X38" s="11"/>
      <c r="Y38" s="11"/>
    </row>
    <row r="39" spans="1:32" x14ac:dyDescent="0.3">
      <c r="D39" s="11"/>
      <c r="E39" s="11"/>
      <c r="F39" s="11"/>
      <c r="W39" s="11"/>
      <c r="X39" s="11"/>
      <c r="Y39" s="11"/>
      <c r="AB39" s="77"/>
      <c r="AE39" s="78"/>
    </row>
    <row r="40" spans="1:32" x14ac:dyDescent="0.3">
      <c r="D40" s="11"/>
      <c r="E40" s="94"/>
      <c r="F40" s="11"/>
      <c r="I40" s="90"/>
      <c r="L40" s="78"/>
      <c r="W40" s="11"/>
      <c r="X40" s="94"/>
      <c r="Y40" s="11"/>
    </row>
    <row r="41" spans="1:32" x14ac:dyDescent="0.3">
      <c r="A41" s="136" t="s">
        <v>51</v>
      </c>
      <c r="B41" s="136"/>
      <c r="C41" s="136"/>
      <c r="D41" s="136"/>
      <c r="E41" s="136"/>
      <c r="F41" s="136"/>
      <c r="H41" s="135" t="s">
        <v>75</v>
      </c>
      <c r="I41" s="135"/>
      <c r="J41" s="135"/>
      <c r="K41" s="135"/>
      <c r="L41" s="135"/>
      <c r="M41" s="135"/>
      <c r="N41" s="135"/>
      <c r="O41" s="62"/>
      <c r="P41" s="62"/>
      <c r="Q41" s="62"/>
      <c r="R41" s="62"/>
      <c r="T41" s="136" t="s">
        <v>98</v>
      </c>
      <c r="U41" s="136"/>
      <c r="V41" s="136"/>
      <c r="W41" s="136"/>
      <c r="X41" s="136"/>
      <c r="Y41" s="136"/>
      <c r="AA41" s="135" t="s">
        <v>109</v>
      </c>
      <c r="AB41" s="135"/>
      <c r="AC41" s="135"/>
      <c r="AD41" s="135"/>
      <c r="AE41" s="135"/>
      <c r="AF41" s="135"/>
    </row>
    <row r="42" spans="1:32" x14ac:dyDescent="0.3">
      <c r="A42" s="136" t="s">
        <v>45</v>
      </c>
      <c r="B42" s="136"/>
      <c r="C42" s="136"/>
      <c r="D42" s="136"/>
      <c r="E42" s="136"/>
      <c r="F42" s="136"/>
      <c r="H42" s="136" t="s">
        <v>45</v>
      </c>
      <c r="I42" s="136"/>
      <c r="J42" s="136"/>
      <c r="K42" s="136"/>
      <c r="L42" s="136"/>
      <c r="M42" s="136"/>
      <c r="N42" s="136"/>
      <c r="T42" s="136" t="s">
        <v>45</v>
      </c>
      <c r="U42" s="136"/>
      <c r="V42" s="136"/>
      <c r="W42" s="136"/>
      <c r="X42" s="136"/>
      <c r="Y42" s="136"/>
      <c r="AA42" s="136" t="s">
        <v>45</v>
      </c>
      <c r="AB42" s="136"/>
      <c r="AC42" s="136"/>
      <c r="AD42" s="136"/>
      <c r="AE42" s="136"/>
      <c r="AF42" s="136"/>
    </row>
    <row r="43" spans="1:32" x14ac:dyDescent="0.3">
      <c r="A43" s="135" t="s">
        <v>42</v>
      </c>
      <c r="B43" s="135"/>
      <c r="C43" s="135"/>
      <c r="D43" s="135"/>
      <c r="E43" s="135"/>
      <c r="F43" s="135"/>
      <c r="H43" s="136" t="s">
        <v>42</v>
      </c>
      <c r="I43" s="136"/>
      <c r="J43" s="136"/>
      <c r="K43" s="136"/>
      <c r="L43" s="136"/>
      <c r="M43" s="136"/>
      <c r="N43" s="136"/>
      <c r="T43" s="135" t="s">
        <v>42</v>
      </c>
      <c r="U43" s="135"/>
      <c r="V43" s="135"/>
      <c r="W43" s="135"/>
      <c r="X43" s="135"/>
      <c r="Y43" s="135"/>
      <c r="AA43" s="135" t="s">
        <v>42</v>
      </c>
      <c r="AB43" s="135"/>
      <c r="AC43" s="135"/>
      <c r="AD43" s="135"/>
      <c r="AE43" s="135"/>
      <c r="AF43" s="135"/>
    </row>
    <row r="44" spans="1:32" x14ac:dyDescent="0.3">
      <c r="A44" s="64">
        <v>-1</v>
      </c>
      <c r="B44" s="65">
        <v>-2</v>
      </c>
      <c r="C44" s="65">
        <v>-3</v>
      </c>
      <c r="D44" s="65">
        <v>-4</v>
      </c>
      <c r="E44" s="65">
        <v>-5</v>
      </c>
      <c r="F44" s="47"/>
      <c r="H44" s="97"/>
      <c r="I44" s="46"/>
      <c r="J44" s="46"/>
      <c r="K44" s="46"/>
      <c r="L44" s="46"/>
      <c r="M44" s="46"/>
      <c r="N44" s="47"/>
      <c r="T44" s="64">
        <v>-1</v>
      </c>
      <c r="U44" s="65">
        <v>-2</v>
      </c>
      <c r="V44" s="65">
        <v>-3</v>
      </c>
      <c r="W44" s="65">
        <v>-4</v>
      </c>
      <c r="X44" s="65">
        <v>-5</v>
      </c>
      <c r="Y44" s="47"/>
      <c r="AA44" s="64">
        <v>-1</v>
      </c>
      <c r="AB44" s="65">
        <v>-2</v>
      </c>
      <c r="AC44" s="65">
        <v>-3</v>
      </c>
      <c r="AD44" s="65">
        <v>-4</v>
      </c>
      <c r="AE44" s="65">
        <v>-5</v>
      </c>
      <c r="AF44" s="47"/>
    </row>
    <row r="45" spans="1:32" x14ac:dyDescent="0.3">
      <c r="A45" s="51"/>
      <c r="B45" s="83" t="s">
        <v>5</v>
      </c>
      <c r="C45" s="83" t="s">
        <v>0</v>
      </c>
      <c r="D45" s="83" t="s">
        <v>15</v>
      </c>
      <c r="E45" s="83" t="s">
        <v>16</v>
      </c>
      <c r="F45" s="10" t="s">
        <v>35</v>
      </c>
      <c r="H45" s="52">
        <v>-1</v>
      </c>
      <c r="I45" s="53">
        <v>-2</v>
      </c>
      <c r="J45" s="53">
        <v>-3</v>
      </c>
      <c r="K45" s="53">
        <v>-4</v>
      </c>
      <c r="L45" s="53">
        <v>-5</v>
      </c>
      <c r="M45" s="11"/>
      <c r="N45" s="50"/>
      <c r="T45" s="51"/>
      <c r="U45" s="83" t="s">
        <v>5</v>
      </c>
      <c r="V45" s="83" t="s">
        <v>0</v>
      </c>
      <c r="W45" s="83" t="s">
        <v>15</v>
      </c>
      <c r="X45" s="83" t="s">
        <v>16</v>
      </c>
      <c r="Y45" s="10" t="s">
        <v>35</v>
      </c>
      <c r="AA45" s="51"/>
      <c r="AB45" s="63" t="s">
        <v>5</v>
      </c>
      <c r="AC45" s="66" t="s">
        <v>0</v>
      </c>
      <c r="AD45" s="63" t="s">
        <v>15</v>
      </c>
      <c r="AE45" s="63" t="s">
        <v>16</v>
      </c>
      <c r="AF45" s="10" t="s">
        <v>35</v>
      </c>
    </row>
    <row r="46" spans="1:32" x14ac:dyDescent="0.3">
      <c r="A46" s="51" t="s">
        <v>85</v>
      </c>
      <c r="B46" s="67"/>
      <c r="C46" s="67"/>
      <c r="D46" s="80">
        <f>Residential!D46</f>
        <v>34.33</v>
      </c>
      <c r="E46" s="69">
        <f>B46*D46</f>
        <v>0</v>
      </c>
      <c r="F46" s="70" t="s">
        <v>24</v>
      </c>
      <c r="H46" s="51"/>
      <c r="I46" s="83" t="s">
        <v>5</v>
      </c>
      <c r="J46" s="83" t="s">
        <v>0</v>
      </c>
      <c r="K46" s="83" t="s">
        <v>15</v>
      </c>
      <c r="L46" s="83" t="s">
        <v>16</v>
      </c>
      <c r="M46" s="83" t="s">
        <v>35</v>
      </c>
      <c r="N46" s="50"/>
      <c r="T46" s="51" t="s">
        <v>85</v>
      </c>
      <c r="U46" s="67">
        <v>54</v>
      </c>
      <c r="V46" s="67"/>
      <c r="W46" s="80">
        <f>Residential!W46</f>
        <v>7.22</v>
      </c>
      <c r="X46" s="69">
        <f>U46*W46</f>
        <v>389.88</v>
      </c>
      <c r="Y46" s="70" t="s">
        <v>24</v>
      </c>
      <c r="AA46" s="51" t="s">
        <v>85</v>
      </c>
      <c r="AB46" s="79">
        <v>120</v>
      </c>
      <c r="AC46" s="66"/>
      <c r="AD46" s="80">
        <f>Residential!AD46</f>
        <v>27.25</v>
      </c>
      <c r="AE46" s="69">
        <f>AB46*AD46</f>
        <v>3270</v>
      </c>
      <c r="AF46" s="81" t="s">
        <v>24</v>
      </c>
    </row>
    <row r="47" spans="1:32" x14ac:dyDescent="0.3">
      <c r="A47" s="51" t="s">
        <v>89</v>
      </c>
      <c r="B47" s="67">
        <f>B32</f>
        <v>48</v>
      </c>
      <c r="C47" s="67"/>
      <c r="D47" s="80">
        <f>Residential!D47</f>
        <v>66.19</v>
      </c>
      <c r="E47" s="71">
        <f>B47*D47</f>
        <v>3177.12</v>
      </c>
      <c r="F47" s="70" t="s">
        <v>24</v>
      </c>
      <c r="H47" s="51" t="s">
        <v>85</v>
      </c>
      <c r="I47" s="57">
        <v>662</v>
      </c>
      <c r="J47" s="83"/>
      <c r="K47" s="80">
        <f>Residential!K46</f>
        <v>30.17</v>
      </c>
      <c r="L47" s="69">
        <f>I47*K47</f>
        <v>19972.54</v>
      </c>
      <c r="M47" s="98" t="s">
        <v>24</v>
      </c>
      <c r="N47" s="50"/>
      <c r="T47" s="51" t="s">
        <v>89</v>
      </c>
      <c r="U47" s="67">
        <v>132</v>
      </c>
      <c r="V47" s="67"/>
      <c r="W47" s="80">
        <f>Residential!W47</f>
        <v>42.27</v>
      </c>
      <c r="X47" s="71">
        <f>U47*W47</f>
        <v>5579.64</v>
      </c>
      <c r="Y47" s="70" t="s">
        <v>24</v>
      </c>
      <c r="AA47" s="51" t="s">
        <v>89</v>
      </c>
      <c r="AB47" s="79">
        <v>24</v>
      </c>
      <c r="AC47" s="66"/>
      <c r="AD47" s="80">
        <f>Residential!AD47</f>
        <v>62.3</v>
      </c>
      <c r="AE47" s="71">
        <f>AB47*AD47</f>
        <v>1495.1999999999998</v>
      </c>
      <c r="AF47" s="81" t="s">
        <v>24</v>
      </c>
    </row>
    <row r="48" spans="1:32" x14ac:dyDescent="0.3">
      <c r="A48" s="51" t="s">
        <v>34</v>
      </c>
      <c r="B48" s="67"/>
      <c r="C48" s="67">
        <v>769.44</v>
      </c>
      <c r="D48" s="68">
        <f>Residential!D48</f>
        <v>0.28899999999999998</v>
      </c>
      <c r="E48" s="91">
        <f>C48*D48</f>
        <v>222.36815999999999</v>
      </c>
      <c r="F48" s="70" t="s">
        <v>36</v>
      </c>
      <c r="H48" s="51" t="s">
        <v>89</v>
      </c>
      <c r="I48" s="57">
        <v>384</v>
      </c>
      <c r="J48" s="83"/>
      <c r="K48" s="80">
        <f>Residential!K47</f>
        <v>68.400000000000006</v>
      </c>
      <c r="L48" s="71">
        <f>I48*K48</f>
        <v>26265.600000000002</v>
      </c>
      <c r="M48" s="98" t="s">
        <v>24</v>
      </c>
      <c r="N48" s="50"/>
      <c r="T48" s="51" t="s">
        <v>34</v>
      </c>
      <c r="U48" s="67"/>
      <c r="V48" s="67">
        <v>2853.32</v>
      </c>
      <c r="W48" s="68">
        <f>Residential!W48</f>
        <v>1.286</v>
      </c>
      <c r="X48" s="91">
        <f>V48*W48</f>
        <v>3669.3695200000002</v>
      </c>
      <c r="Y48" s="70" t="s">
        <v>36</v>
      </c>
      <c r="AA48" s="51" t="s">
        <v>34</v>
      </c>
      <c r="AB48" s="67"/>
      <c r="AC48" s="67">
        <f>AC29</f>
        <v>2048.2200000000003</v>
      </c>
      <c r="AD48" s="68">
        <f>Residential!AD48</f>
        <v>0.318</v>
      </c>
      <c r="AE48" s="71">
        <f>AC48*AD48</f>
        <v>651.33396000000005</v>
      </c>
      <c r="AF48" s="70" t="s">
        <v>36</v>
      </c>
    </row>
    <row r="49" spans="1:32" x14ac:dyDescent="0.3">
      <c r="A49" s="51" t="s">
        <v>83</v>
      </c>
      <c r="B49" s="67"/>
      <c r="C49" s="67">
        <v>717.16</v>
      </c>
      <c r="D49" s="68">
        <f>Residential!D49</f>
        <v>0.17299999999999999</v>
      </c>
      <c r="E49" s="91">
        <f t="shared" ref="E49:E51" si="8">C49*D49</f>
        <v>124.06867999999999</v>
      </c>
      <c r="F49" s="70" t="s">
        <v>36</v>
      </c>
      <c r="H49" s="51" t="s">
        <v>26</v>
      </c>
      <c r="I49" s="57"/>
      <c r="J49" s="67">
        <f>$K$21</f>
        <v>14760.68</v>
      </c>
      <c r="K49" s="68">
        <f>Residential!K48</f>
        <v>0.34699999999999998</v>
      </c>
      <c r="L49" s="71">
        <f>J49*K49</f>
        <v>5121.9559599999993</v>
      </c>
      <c r="M49" s="98" t="s">
        <v>36</v>
      </c>
      <c r="N49" s="50"/>
      <c r="T49" s="51" t="s">
        <v>83</v>
      </c>
      <c r="U49" s="67"/>
      <c r="V49" s="67">
        <v>2895.12</v>
      </c>
      <c r="W49" s="68">
        <f>Residential!W49</f>
        <v>1.159</v>
      </c>
      <c r="X49" s="91">
        <f t="shared" ref="X49:X51" si="9">V49*W49</f>
        <v>3355.4440799999998</v>
      </c>
      <c r="Y49" s="70" t="s">
        <v>36</v>
      </c>
      <c r="AA49" s="51" t="s">
        <v>83</v>
      </c>
      <c r="AB49" s="67"/>
      <c r="AC49" s="67">
        <f>AC30</f>
        <v>1618.87</v>
      </c>
      <c r="AD49" s="68">
        <f>Residential!AD49</f>
        <v>1.036</v>
      </c>
      <c r="AE49" s="71">
        <f>AC49*AD49</f>
        <v>1677.14932</v>
      </c>
      <c r="AF49" s="70" t="s">
        <v>36</v>
      </c>
    </row>
    <row r="50" spans="1:32" x14ac:dyDescent="0.3">
      <c r="A50" s="51" t="s">
        <v>29</v>
      </c>
      <c r="B50" s="67"/>
      <c r="C50" s="67">
        <v>891.32</v>
      </c>
      <c r="D50" s="68">
        <f>Residential!D50</f>
        <v>0.14399999999999999</v>
      </c>
      <c r="E50" s="91">
        <f t="shared" si="8"/>
        <v>128.35007999999999</v>
      </c>
      <c r="F50" s="70" t="s">
        <v>36</v>
      </c>
      <c r="H50" s="51" t="s">
        <v>27</v>
      </c>
      <c r="I50" s="11"/>
      <c r="J50" s="67">
        <f>$L$21</f>
        <v>5137.3999999999996</v>
      </c>
      <c r="K50" s="68">
        <f>Residential!K49</f>
        <v>1.2210000000000001</v>
      </c>
      <c r="L50" s="71">
        <f>J50*K50</f>
        <v>6272.7654000000002</v>
      </c>
      <c r="M50" s="98" t="s">
        <v>36</v>
      </c>
      <c r="N50" s="50"/>
      <c r="T50" s="51" t="s">
        <v>29</v>
      </c>
      <c r="U50" s="67"/>
      <c r="V50" s="67">
        <v>2861.16</v>
      </c>
      <c r="W50" s="68">
        <f>Residential!W50</f>
        <v>1.127</v>
      </c>
      <c r="X50" s="91">
        <f t="shared" si="9"/>
        <v>3224.5273199999997</v>
      </c>
      <c r="Y50" s="70" t="s">
        <v>36</v>
      </c>
      <c r="AA50" s="51" t="s">
        <v>29</v>
      </c>
      <c r="AB50" s="67"/>
      <c r="AC50" s="67">
        <f t="shared" ref="AC50:AC51" si="10">AC31</f>
        <v>1336.32</v>
      </c>
      <c r="AD50" s="68">
        <f>Residential!AD50</f>
        <v>0.89100000000000001</v>
      </c>
      <c r="AE50" s="71">
        <f t="shared" ref="AE50:AE51" si="11">AC50*AD50</f>
        <v>1190.66112</v>
      </c>
      <c r="AF50" s="70" t="s">
        <v>36</v>
      </c>
    </row>
    <row r="51" spans="1:32" x14ac:dyDescent="0.3">
      <c r="A51" s="51" t="s">
        <v>84</v>
      </c>
      <c r="B51" s="67"/>
      <c r="C51" s="67">
        <v>8168.88</v>
      </c>
      <c r="D51" s="68">
        <f>Residential!D51</f>
        <v>0.33200000000000002</v>
      </c>
      <c r="E51" s="91">
        <f t="shared" si="8"/>
        <v>2712.0681600000003</v>
      </c>
      <c r="F51" s="70" t="s">
        <v>36</v>
      </c>
      <c r="H51" s="51" t="s">
        <v>28</v>
      </c>
      <c r="I51" s="11"/>
      <c r="J51" s="67">
        <f>$M$21</f>
        <v>8001.52</v>
      </c>
      <c r="K51" s="68">
        <f>Residential!K50</f>
        <v>1.0049999999999999</v>
      </c>
      <c r="L51" s="71">
        <f t="shared" ref="L51:L55" si="12">J51*K51</f>
        <v>8041.5275999999994</v>
      </c>
      <c r="M51" s="98" t="s">
        <v>36</v>
      </c>
      <c r="N51" s="50"/>
      <c r="T51" s="51" t="s">
        <v>84</v>
      </c>
      <c r="U51" s="67"/>
      <c r="V51" s="67">
        <v>11776.48</v>
      </c>
      <c r="W51" s="68">
        <f>Residential!W51</f>
        <v>1.08</v>
      </c>
      <c r="X51" s="91">
        <f t="shared" si="9"/>
        <v>12718.598400000001</v>
      </c>
      <c r="Y51" s="70" t="s">
        <v>36</v>
      </c>
      <c r="AA51" s="51" t="s">
        <v>84</v>
      </c>
      <c r="AB51" s="67"/>
      <c r="AC51" s="67">
        <f t="shared" si="10"/>
        <v>8603.59</v>
      </c>
      <c r="AD51" s="68">
        <f>Residential!AD51</f>
        <v>0.71899999999999997</v>
      </c>
      <c r="AE51" s="71">
        <f t="shared" si="11"/>
        <v>6185.9812099999999</v>
      </c>
      <c r="AF51" s="70" t="s">
        <v>36</v>
      </c>
    </row>
    <row r="52" spans="1:32" x14ac:dyDescent="0.3">
      <c r="A52" s="51"/>
      <c r="B52" s="67"/>
      <c r="C52" s="11"/>
      <c r="D52" s="11"/>
      <c r="E52" s="11"/>
      <c r="F52" s="50"/>
      <c r="H52" s="51" t="s">
        <v>29</v>
      </c>
      <c r="I52" s="11"/>
      <c r="J52" s="67">
        <f>$N$21</f>
        <v>15288.560000000001</v>
      </c>
      <c r="K52" s="68">
        <f>Residential!K51</f>
        <v>0.89500000000000002</v>
      </c>
      <c r="L52" s="71">
        <f t="shared" si="12"/>
        <v>13683.261200000001</v>
      </c>
      <c r="M52" s="98" t="s">
        <v>36</v>
      </c>
      <c r="N52" s="50"/>
      <c r="T52" s="51"/>
      <c r="U52" s="67"/>
      <c r="V52" s="11"/>
      <c r="W52" s="11"/>
      <c r="X52" s="11"/>
      <c r="Y52" s="50"/>
      <c r="AA52" s="51"/>
      <c r="AB52" s="67"/>
      <c r="AC52" s="67"/>
      <c r="AD52" s="68"/>
      <c r="AE52" s="71"/>
      <c r="AF52" s="70"/>
    </row>
    <row r="53" spans="1:32" x14ac:dyDescent="0.3">
      <c r="A53" s="59" t="s">
        <v>4</v>
      </c>
      <c r="B53" s="72">
        <f>SUM(B46:B52)</f>
        <v>48</v>
      </c>
      <c r="C53" s="73">
        <f>SUM(C46:C52)</f>
        <v>10546.8</v>
      </c>
      <c r="D53" s="74"/>
      <c r="E53" s="75">
        <f>SUM(E46:E52)</f>
        <v>6363.9750800000002</v>
      </c>
      <c r="F53" s="76"/>
      <c r="H53" s="51" t="s">
        <v>30</v>
      </c>
      <c r="I53" s="11"/>
      <c r="J53" s="67">
        <f>$O$21</f>
        <v>18073.349999999999</v>
      </c>
      <c r="K53" s="68">
        <f>Residential!K52</f>
        <v>0.76700000000000002</v>
      </c>
      <c r="L53" s="71">
        <f t="shared" si="12"/>
        <v>13862.25945</v>
      </c>
      <c r="M53" s="98" t="s">
        <v>36</v>
      </c>
      <c r="N53" s="50"/>
      <c r="T53" s="59" t="s">
        <v>4</v>
      </c>
      <c r="U53" s="72">
        <f>SUM(U46:U52)</f>
        <v>186</v>
      </c>
      <c r="V53" s="73">
        <f>SUM(V46:V52)</f>
        <v>20386.080000000002</v>
      </c>
      <c r="W53" s="74"/>
      <c r="X53" s="75">
        <f>SUM(X46:X52)</f>
        <v>28937.459320000002</v>
      </c>
      <c r="Y53" s="76"/>
      <c r="AA53" s="51"/>
      <c r="AB53" s="67"/>
      <c r="AC53" s="67"/>
      <c r="AD53" s="68"/>
      <c r="AE53" s="71"/>
      <c r="AF53" s="70"/>
    </row>
    <row r="54" spans="1:32" x14ac:dyDescent="0.3">
      <c r="D54" s="11"/>
      <c r="E54" s="92"/>
      <c r="F54" s="11"/>
      <c r="H54" s="51" t="s">
        <v>31</v>
      </c>
      <c r="I54" s="11"/>
      <c r="J54" s="67">
        <f>$P$21</f>
        <v>15288.369999999999</v>
      </c>
      <c r="K54" s="68">
        <f>Residential!K53</f>
        <v>0.69</v>
      </c>
      <c r="L54" s="71">
        <f t="shared" si="12"/>
        <v>10548.975299999998</v>
      </c>
      <c r="M54" s="98" t="s">
        <v>36</v>
      </c>
      <c r="N54" s="50"/>
      <c r="W54" s="11"/>
      <c r="X54" s="92"/>
      <c r="Y54" s="11"/>
      <c r="AA54" s="51"/>
      <c r="AB54" s="67"/>
      <c r="AC54" s="67"/>
      <c r="AD54" s="68"/>
      <c r="AE54" s="71"/>
      <c r="AF54" s="70"/>
    </row>
    <row r="55" spans="1:32" x14ac:dyDescent="0.3">
      <c r="D55" s="11"/>
      <c r="E55" s="93"/>
      <c r="F55" s="11"/>
      <c r="H55" s="51" t="s">
        <v>32</v>
      </c>
      <c r="I55" s="11"/>
      <c r="J55" s="67">
        <f>$Q$21</f>
        <v>48472.68</v>
      </c>
      <c r="K55" s="68">
        <f>Residential!K54</f>
        <v>0.66400000000000003</v>
      </c>
      <c r="L55" s="71">
        <f t="shared" si="12"/>
        <v>32185.859520000002</v>
      </c>
      <c r="M55" s="98" t="s">
        <v>36</v>
      </c>
      <c r="N55" s="50"/>
      <c r="W55" s="11"/>
      <c r="X55" s="93"/>
      <c r="Y55" s="11"/>
      <c r="AA55" s="51"/>
      <c r="AB55" s="67"/>
      <c r="AC55" s="11"/>
      <c r="AD55" s="11"/>
      <c r="AE55" s="11"/>
      <c r="AF55" s="50"/>
    </row>
    <row r="56" spans="1:32" x14ac:dyDescent="0.3">
      <c r="H56" s="51"/>
      <c r="I56" s="11"/>
      <c r="J56" s="11"/>
      <c r="K56" s="11"/>
      <c r="L56" s="11"/>
      <c r="M56" s="11"/>
      <c r="N56" s="50"/>
      <c r="AA56" s="59" t="s">
        <v>4</v>
      </c>
      <c r="AB56" s="72">
        <f>SUM(AB46:AB55)</f>
        <v>144</v>
      </c>
      <c r="AC56" s="72">
        <f>SUM(AC46:AC55)</f>
        <v>13607</v>
      </c>
      <c r="AD56" s="74"/>
      <c r="AE56" s="75">
        <f>SUM(AE46:AE55)</f>
        <v>14470.32561</v>
      </c>
      <c r="AF56" s="76"/>
    </row>
    <row r="57" spans="1:32" x14ac:dyDescent="0.3">
      <c r="H57" s="51"/>
      <c r="I57" s="11"/>
      <c r="J57" s="11"/>
      <c r="K57" s="11"/>
      <c r="L57" s="11"/>
      <c r="M57" s="11"/>
      <c r="N57" s="50"/>
    </row>
    <row r="58" spans="1:32" x14ac:dyDescent="0.3">
      <c r="H58" s="59" t="s">
        <v>4</v>
      </c>
      <c r="I58" s="60">
        <f>SUM(I47:I56)</f>
        <v>1046</v>
      </c>
      <c r="J58" s="60">
        <f>SUM(J47:J56)</f>
        <v>125022.56</v>
      </c>
      <c r="K58" s="74"/>
      <c r="L58" s="75">
        <f>SUM(L47:L56)</f>
        <v>135954.74442999999</v>
      </c>
      <c r="M58" s="99"/>
      <c r="N58" s="76"/>
    </row>
    <row r="59" spans="1:32" x14ac:dyDescent="0.3">
      <c r="A59" s="136"/>
      <c r="B59" s="136"/>
      <c r="C59" s="136"/>
      <c r="D59" s="136"/>
      <c r="E59" s="136"/>
      <c r="F59" s="136"/>
      <c r="T59" s="136"/>
      <c r="U59" s="136"/>
      <c r="V59" s="136"/>
      <c r="W59" s="136"/>
      <c r="X59" s="136"/>
      <c r="Y59" s="136"/>
      <c r="AA59" s="135"/>
      <c r="AB59" s="135"/>
      <c r="AC59" s="135"/>
      <c r="AD59" s="135"/>
      <c r="AE59" s="135"/>
      <c r="AF59" s="135"/>
    </row>
    <row r="60" spans="1:32" x14ac:dyDescent="0.3">
      <c r="A60" s="136"/>
      <c r="B60" s="136"/>
      <c r="C60" s="136"/>
      <c r="D60" s="136"/>
      <c r="E60" s="136"/>
      <c r="F60" s="136"/>
      <c r="O60" s="62"/>
      <c r="P60" s="62"/>
      <c r="Q60" s="62"/>
      <c r="R60" s="62"/>
      <c r="T60" s="136"/>
      <c r="U60" s="136"/>
      <c r="V60" s="136"/>
      <c r="W60" s="136"/>
      <c r="X60" s="136"/>
      <c r="Y60" s="136"/>
      <c r="AA60" s="136"/>
      <c r="AB60" s="136"/>
      <c r="AC60" s="136"/>
      <c r="AD60" s="136"/>
      <c r="AE60" s="136"/>
      <c r="AF60" s="136"/>
    </row>
    <row r="61" spans="1:32" x14ac:dyDescent="0.3">
      <c r="A61" s="136" t="s">
        <v>51</v>
      </c>
      <c r="B61" s="136"/>
      <c r="C61" s="136"/>
      <c r="D61" s="136"/>
      <c r="E61" s="136"/>
      <c r="F61" s="136"/>
      <c r="H61" s="135" t="s">
        <v>75</v>
      </c>
      <c r="I61" s="135"/>
      <c r="J61" s="135"/>
      <c r="K61" s="135"/>
      <c r="L61" s="135"/>
      <c r="M61" s="135"/>
      <c r="N61" s="135"/>
      <c r="T61" s="136" t="s">
        <v>98</v>
      </c>
      <c r="U61" s="136"/>
      <c r="V61" s="136"/>
      <c r="W61" s="136"/>
      <c r="X61" s="136"/>
      <c r="Y61" s="136"/>
      <c r="AA61" s="135" t="s">
        <v>109</v>
      </c>
      <c r="AB61" s="135"/>
      <c r="AC61" s="135"/>
      <c r="AD61" s="135"/>
      <c r="AE61" s="135"/>
      <c r="AF61" s="135"/>
    </row>
    <row r="62" spans="1:32" x14ac:dyDescent="0.3">
      <c r="A62" s="136" t="s">
        <v>47</v>
      </c>
      <c r="B62" s="136"/>
      <c r="C62" s="136"/>
      <c r="D62" s="136"/>
      <c r="E62" s="136"/>
      <c r="F62" s="136"/>
      <c r="H62" s="135" t="s">
        <v>47</v>
      </c>
      <c r="I62" s="135"/>
      <c r="J62" s="135"/>
      <c r="K62" s="135"/>
      <c r="L62" s="135"/>
      <c r="M62" s="135"/>
      <c r="N62" s="135"/>
      <c r="T62" s="136" t="s">
        <v>47</v>
      </c>
      <c r="U62" s="136"/>
      <c r="V62" s="136"/>
      <c r="W62" s="136"/>
      <c r="X62" s="136"/>
      <c r="Y62" s="136"/>
      <c r="AA62" s="136" t="s">
        <v>47</v>
      </c>
      <c r="AB62" s="136"/>
      <c r="AC62" s="136"/>
      <c r="AD62" s="136"/>
      <c r="AE62" s="136"/>
      <c r="AF62" s="136"/>
    </row>
    <row r="63" spans="1:32" x14ac:dyDescent="0.3">
      <c r="A63" s="137" t="s">
        <v>42</v>
      </c>
      <c r="B63" s="137"/>
      <c r="C63" s="137"/>
      <c r="D63" s="137"/>
      <c r="E63" s="137"/>
      <c r="F63" s="137"/>
      <c r="H63" s="135" t="s">
        <v>42</v>
      </c>
      <c r="I63" s="135"/>
      <c r="J63" s="135"/>
      <c r="K63" s="135"/>
      <c r="L63" s="135"/>
      <c r="M63" s="135"/>
      <c r="N63" s="135"/>
      <c r="T63" s="137" t="s">
        <v>42</v>
      </c>
      <c r="U63" s="137"/>
      <c r="V63" s="137"/>
      <c r="W63" s="137"/>
      <c r="X63" s="137"/>
      <c r="Y63" s="137"/>
      <c r="AA63" s="137" t="s">
        <v>42</v>
      </c>
      <c r="AB63" s="137"/>
      <c r="AC63" s="137"/>
      <c r="AD63" s="137"/>
      <c r="AE63" s="137"/>
      <c r="AF63" s="137"/>
    </row>
    <row r="64" spans="1:32" x14ac:dyDescent="0.3">
      <c r="A64" s="64">
        <v>-1</v>
      </c>
      <c r="B64" s="65">
        <v>-2</v>
      </c>
      <c r="C64" s="65">
        <v>-3</v>
      </c>
      <c r="D64" s="65">
        <v>-4</v>
      </c>
      <c r="E64" s="65">
        <v>-5</v>
      </c>
      <c r="F64" s="47"/>
      <c r="H64" s="97"/>
      <c r="I64" s="46"/>
      <c r="J64" s="46"/>
      <c r="K64" s="46"/>
      <c r="L64" s="46"/>
      <c r="M64" s="46"/>
      <c r="N64" s="47"/>
      <c r="T64" s="64">
        <v>-1</v>
      </c>
      <c r="U64" s="65">
        <v>-2</v>
      </c>
      <c r="V64" s="65">
        <v>-3</v>
      </c>
      <c r="W64" s="65">
        <v>-4</v>
      </c>
      <c r="X64" s="65">
        <v>-5</v>
      </c>
      <c r="Y64" s="47"/>
      <c r="AA64" s="64">
        <v>-1</v>
      </c>
      <c r="AB64" s="65">
        <v>-2</v>
      </c>
      <c r="AC64" s="65">
        <v>-3</v>
      </c>
      <c r="AD64" s="65">
        <v>-4</v>
      </c>
      <c r="AE64" s="65">
        <v>-5</v>
      </c>
      <c r="AF64" s="47"/>
    </row>
    <row r="65" spans="1:32" x14ac:dyDescent="0.3">
      <c r="A65" s="51"/>
      <c r="B65" s="83" t="s">
        <v>5</v>
      </c>
      <c r="C65" s="83" t="s">
        <v>0</v>
      </c>
      <c r="D65" s="83" t="s">
        <v>15</v>
      </c>
      <c r="E65" s="83" t="s">
        <v>16</v>
      </c>
      <c r="F65" s="10" t="s">
        <v>35</v>
      </c>
      <c r="H65" s="52">
        <v>-1</v>
      </c>
      <c r="I65" s="53">
        <v>-2</v>
      </c>
      <c r="J65" s="53">
        <v>-3</v>
      </c>
      <c r="K65" s="53">
        <v>-4</v>
      </c>
      <c r="L65" s="53">
        <v>-5</v>
      </c>
      <c r="M65" s="11"/>
      <c r="N65" s="50"/>
      <c r="T65" s="51"/>
      <c r="U65" s="83" t="s">
        <v>5</v>
      </c>
      <c r="V65" s="83" t="s">
        <v>0</v>
      </c>
      <c r="W65" s="83" t="s">
        <v>15</v>
      </c>
      <c r="X65" s="83" t="s">
        <v>16</v>
      </c>
      <c r="Y65" s="10" t="s">
        <v>35</v>
      </c>
      <c r="AA65" s="51"/>
      <c r="AB65" s="63" t="s">
        <v>5</v>
      </c>
      <c r="AC65" s="66" t="s">
        <v>0</v>
      </c>
      <c r="AD65" s="66" t="s">
        <v>15</v>
      </c>
      <c r="AE65" s="66" t="s">
        <v>16</v>
      </c>
      <c r="AF65" s="10" t="s">
        <v>35</v>
      </c>
    </row>
    <row r="66" spans="1:32" x14ac:dyDescent="0.3">
      <c r="A66" s="51" t="s">
        <v>85</v>
      </c>
      <c r="B66" s="67"/>
      <c r="C66" s="67"/>
      <c r="D66" s="80">
        <f>Residential!D64</f>
        <v>36.54</v>
      </c>
      <c r="E66" s="69">
        <f>B66*D66</f>
        <v>0</v>
      </c>
      <c r="F66" s="70" t="s">
        <v>24</v>
      </c>
      <c r="H66" s="51"/>
      <c r="I66" s="83" t="s">
        <v>5</v>
      </c>
      <c r="J66" s="83" t="s">
        <v>0</v>
      </c>
      <c r="K66" s="83" t="s">
        <v>15</v>
      </c>
      <c r="L66" s="83" t="s">
        <v>16</v>
      </c>
      <c r="M66" s="83" t="s">
        <v>35</v>
      </c>
      <c r="N66" s="50"/>
      <c r="T66" s="51" t="s">
        <v>85</v>
      </c>
      <c r="U66" s="67">
        <f>U46</f>
        <v>54</v>
      </c>
      <c r="V66" s="67"/>
      <c r="W66" s="80">
        <f>Residential!W64</f>
        <v>16.62</v>
      </c>
      <c r="X66" s="69">
        <f>U66*W66</f>
        <v>897.48</v>
      </c>
      <c r="Y66" s="70" t="s">
        <v>24</v>
      </c>
      <c r="AA66" s="51" t="s">
        <v>85</v>
      </c>
      <c r="AB66" s="82">
        <f>AB46</f>
        <v>120</v>
      </c>
      <c r="AC66" s="66"/>
      <c r="AD66" s="80">
        <f>Residential!AD64</f>
        <v>31.49</v>
      </c>
      <c r="AE66" s="69">
        <f>AB66*AD66</f>
        <v>3778.7999999999997</v>
      </c>
      <c r="AF66" s="70" t="s">
        <v>24</v>
      </c>
    </row>
    <row r="67" spans="1:32" x14ac:dyDescent="0.3">
      <c r="A67" s="51" t="s">
        <v>89</v>
      </c>
      <c r="B67" s="67">
        <f>B53</f>
        <v>48</v>
      </c>
      <c r="C67" s="67"/>
      <c r="D67" s="80">
        <f>Residential!D65</f>
        <v>110.89</v>
      </c>
      <c r="E67" s="71">
        <f>B67*D67</f>
        <v>5322.72</v>
      </c>
      <c r="F67" s="70" t="s">
        <v>24</v>
      </c>
      <c r="H67" s="51" t="s">
        <v>85</v>
      </c>
      <c r="I67" s="100">
        <f>I47</f>
        <v>662</v>
      </c>
      <c r="J67" s="83"/>
      <c r="K67" s="80">
        <f>Residential!K64</f>
        <v>33.81</v>
      </c>
      <c r="L67" s="69">
        <f>I67*K67</f>
        <v>22382.22</v>
      </c>
      <c r="M67" s="98" t="s">
        <v>24</v>
      </c>
      <c r="N67" s="50"/>
      <c r="T67" s="51" t="s">
        <v>89</v>
      </c>
      <c r="U67" s="67">
        <f>U47</f>
        <v>132</v>
      </c>
      <c r="V67" s="67"/>
      <c r="W67" s="80">
        <f>Residential!W65</f>
        <v>97.34</v>
      </c>
      <c r="X67" s="71">
        <f>U67*W67</f>
        <v>12848.880000000001</v>
      </c>
      <c r="Y67" s="70" t="s">
        <v>24</v>
      </c>
      <c r="AA67" s="51" t="s">
        <v>89</v>
      </c>
      <c r="AB67" s="82">
        <f>AB47</f>
        <v>24</v>
      </c>
      <c r="AC67" s="66"/>
      <c r="AD67" s="80">
        <f>Residential!AD65</f>
        <v>112.21</v>
      </c>
      <c r="AE67" s="71">
        <f>AB67*AD67</f>
        <v>2693.04</v>
      </c>
      <c r="AF67" s="70" t="s">
        <v>24</v>
      </c>
    </row>
    <row r="68" spans="1:32" x14ac:dyDescent="0.3">
      <c r="A68" s="51" t="s">
        <v>34</v>
      </c>
      <c r="B68" s="67"/>
      <c r="C68" s="67">
        <f>C48</f>
        <v>769.44</v>
      </c>
      <c r="D68" s="68">
        <f>Residential!D66</f>
        <v>0.67400000000000004</v>
      </c>
      <c r="E68" s="91">
        <f>C68*D68</f>
        <v>518.60256000000004</v>
      </c>
      <c r="F68" s="70" t="s">
        <v>36</v>
      </c>
      <c r="H68" s="51" t="s">
        <v>89</v>
      </c>
      <c r="I68" s="100">
        <f>I48</f>
        <v>384</v>
      </c>
      <c r="J68" s="83"/>
      <c r="K68" s="80">
        <f>Residential!K65</f>
        <v>118.78</v>
      </c>
      <c r="L68" s="71">
        <f>I68*K68</f>
        <v>45611.520000000004</v>
      </c>
      <c r="M68" s="98" t="s">
        <v>24</v>
      </c>
      <c r="N68" s="50"/>
      <c r="T68" s="51" t="s">
        <v>34</v>
      </c>
      <c r="U68" s="67"/>
      <c r="V68" s="67">
        <f>V48</f>
        <v>2853.32</v>
      </c>
      <c r="W68" s="68">
        <f>Residential!W66</f>
        <v>1.4510000000000001</v>
      </c>
      <c r="X68" s="91">
        <f>V68*W68</f>
        <v>4140.1673200000005</v>
      </c>
      <c r="Y68" s="70" t="s">
        <v>36</v>
      </c>
      <c r="AA68" s="51" t="s">
        <v>34</v>
      </c>
      <c r="AB68" s="57"/>
      <c r="AC68" s="67">
        <f>AC48</f>
        <v>2048.2200000000003</v>
      </c>
      <c r="AD68" s="68">
        <f>Residential!AD66</f>
        <v>0.73199999999999998</v>
      </c>
      <c r="AE68" s="71">
        <f>AC68*AD68</f>
        <v>1499.2970400000002</v>
      </c>
      <c r="AF68" s="70" t="s">
        <v>36</v>
      </c>
    </row>
    <row r="69" spans="1:32" x14ac:dyDescent="0.3">
      <c r="A69" s="51" t="s">
        <v>83</v>
      </c>
      <c r="B69" s="67"/>
      <c r="C69" s="67">
        <f>C49</f>
        <v>717.16</v>
      </c>
      <c r="D69" s="68">
        <f>Residential!D67</f>
        <v>0.40500000000000003</v>
      </c>
      <c r="E69" s="91">
        <f t="shared" ref="E69:E71" si="13">C69*D69</f>
        <v>290.44979999999998</v>
      </c>
      <c r="F69" s="70" t="s">
        <v>36</v>
      </c>
      <c r="H69" s="51" t="s">
        <v>26</v>
      </c>
      <c r="I69" s="57"/>
      <c r="J69" s="67">
        <f>$K$21</f>
        <v>14760.68</v>
      </c>
      <c r="K69" s="68">
        <f>Residential!K66</f>
        <v>0.77</v>
      </c>
      <c r="L69" s="71">
        <f>J69*K69</f>
        <v>11365.723600000001</v>
      </c>
      <c r="M69" s="98" t="s">
        <v>36</v>
      </c>
      <c r="N69" s="50"/>
      <c r="T69" s="51" t="s">
        <v>83</v>
      </c>
      <c r="U69" s="67"/>
      <c r="V69" s="67">
        <f>V49</f>
        <v>2895.12</v>
      </c>
      <c r="W69" s="68">
        <f>Residential!W67</f>
        <v>1.1579999999999999</v>
      </c>
      <c r="X69" s="91">
        <f t="shared" ref="X69:X71" si="14">V69*W69</f>
        <v>3352.5489599999996</v>
      </c>
      <c r="Y69" s="70" t="s">
        <v>36</v>
      </c>
      <c r="AA69" s="51" t="s">
        <v>83</v>
      </c>
      <c r="AB69" s="11"/>
      <c r="AC69" s="67">
        <f t="shared" ref="AC69:AC71" si="15">AC49</f>
        <v>1618.87</v>
      </c>
      <c r="AD69" s="68">
        <f>Residential!AD67</f>
        <v>1.0669999999999999</v>
      </c>
      <c r="AE69" s="71">
        <f>AC69*AD69</f>
        <v>1727.3342899999998</v>
      </c>
      <c r="AF69" s="70" t="s">
        <v>36</v>
      </c>
    </row>
    <row r="70" spans="1:32" x14ac:dyDescent="0.3">
      <c r="A70" s="51" t="s">
        <v>29</v>
      </c>
      <c r="B70" s="67"/>
      <c r="C70" s="67">
        <f>C50</f>
        <v>891.32</v>
      </c>
      <c r="D70" s="68">
        <f>Residential!D68</f>
        <v>0.33700000000000002</v>
      </c>
      <c r="E70" s="91">
        <f t="shared" si="13"/>
        <v>300.37484000000006</v>
      </c>
      <c r="F70" s="70" t="s">
        <v>36</v>
      </c>
      <c r="H70" s="51" t="s">
        <v>27</v>
      </c>
      <c r="I70" s="11"/>
      <c r="J70" s="67">
        <f>$L$21</f>
        <v>5137.3999999999996</v>
      </c>
      <c r="K70" s="68">
        <f>Residential!K67</f>
        <v>1.2030000000000001</v>
      </c>
      <c r="L70" s="71">
        <f>J70*K70</f>
        <v>6180.2921999999999</v>
      </c>
      <c r="M70" s="98" t="s">
        <v>36</v>
      </c>
      <c r="N70" s="50"/>
      <c r="T70" s="51" t="s">
        <v>29</v>
      </c>
      <c r="U70" s="67"/>
      <c r="V70" s="67">
        <f>V50</f>
        <v>2861.16</v>
      </c>
      <c r="W70" s="68">
        <f>Residential!W68</f>
        <v>1.085</v>
      </c>
      <c r="X70" s="91">
        <f t="shared" si="14"/>
        <v>3104.3585999999996</v>
      </c>
      <c r="Y70" s="70" t="s">
        <v>36</v>
      </c>
      <c r="AA70" s="51" t="s">
        <v>29</v>
      </c>
      <c r="AB70" s="11"/>
      <c r="AC70" s="67">
        <f t="shared" si="15"/>
        <v>1336.32</v>
      </c>
      <c r="AD70" s="68">
        <f>Residential!AD68</f>
        <v>0.91</v>
      </c>
      <c r="AE70" s="71">
        <f t="shared" ref="AE70:AE71" si="16">AC70*AD70</f>
        <v>1216.0511999999999</v>
      </c>
      <c r="AF70" s="70" t="s">
        <v>36</v>
      </c>
    </row>
    <row r="71" spans="1:32" x14ac:dyDescent="0.3">
      <c r="A71" s="51" t="s">
        <v>84</v>
      </c>
      <c r="B71" s="67"/>
      <c r="C71" s="67">
        <f>C51</f>
        <v>8168.88</v>
      </c>
      <c r="D71" s="68">
        <f>Residential!D69</f>
        <v>0.41299999999999998</v>
      </c>
      <c r="E71" s="91">
        <f t="shared" si="13"/>
        <v>3373.7474399999996</v>
      </c>
      <c r="F71" s="70" t="s">
        <v>36</v>
      </c>
      <c r="H71" s="51" t="s">
        <v>28</v>
      </c>
      <c r="I71" s="11"/>
      <c r="J71" s="67">
        <f>$M$21</f>
        <v>8001.52</v>
      </c>
      <c r="K71" s="68">
        <f>Residential!K68</f>
        <v>1.046</v>
      </c>
      <c r="L71" s="71">
        <f t="shared" ref="L71:L75" si="17">J71*K71</f>
        <v>8369.5899200000003</v>
      </c>
      <c r="M71" s="98" t="s">
        <v>36</v>
      </c>
      <c r="N71" s="50"/>
      <c r="T71" s="51" t="s">
        <v>84</v>
      </c>
      <c r="U71" s="67"/>
      <c r="V71" s="67">
        <f>V51</f>
        <v>11776.48</v>
      </c>
      <c r="W71" s="68">
        <f>Residential!W69</f>
        <v>0.97499999999999998</v>
      </c>
      <c r="X71" s="91">
        <f t="shared" si="14"/>
        <v>11482.067999999999</v>
      </c>
      <c r="Y71" s="70" t="s">
        <v>36</v>
      </c>
      <c r="AA71" s="51" t="s">
        <v>84</v>
      </c>
      <c r="AB71" s="11"/>
      <c r="AC71" s="67">
        <f t="shared" si="15"/>
        <v>8603.59</v>
      </c>
      <c r="AD71" s="68">
        <f>Residential!AD69</f>
        <v>0.70699999999999996</v>
      </c>
      <c r="AE71" s="71">
        <f t="shared" si="16"/>
        <v>6082.7381299999997</v>
      </c>
      <c r="AF71" s="70" t="s">
        <v>36</v>
      </c>
    </row>
    <row r="72" spans="1:32" x14ac:dyDescent="0.3">
      <c r="A72" s="51"/>
      <c r="B72" s="67"/>
      <c r="C72" s="11"/>
      <c r="D72" s="11"/>
      <c r="E72" s="11"/>
      <c r="F72" s="50"/>
      <c r="H72" s="51" t="s">
        <v>29</v>
      </c>
      <c r="I72" s="11"/>
      <c r="J72" s="67">
        <f>$N$21</f>
        <v>15288.560000000001</v>
      </c>
      <c r="K72" s="68">
        <f>Residential!K69</f>
        <v>0.91300000000000003</v>
      </c>
      <c r="L72" s="71">
        <f t="shared" si="17"/>
        <v>13958.455280000002</v>
      </c>
      <c r="M72" s="98" t="s">
        <v>36</v>
      </c>
      <c r="N72" s="50"/>
      <c r="T72" s="51"/>
      <c r="U72" s="67"/>
      <c r="V72" s="11"/>
      <c r="W72" s="11"/>
      <c r="X72" s="11"/>
      <c r="Y72" s="50"/>
      <c r="AA72" s="51"/>
      <c r="AB72" s="11"/>
      <c r="AC72" s="67"/>
      <c r="AD72" s="68"/>
      <c r="AE72" s="71"/>
      <c r="AF72" s="70"/>
    </row>
    <row r="73" spans="1:32" x14ac:dyDescent="0.3">
      <c r="A73" s="59" t="s">
        <v>4</v>
      </c>
      <c r="B73" s="72">
        <f>SUM(B66:B72)</f>
        <v>48</v>
      </c>
      <c r="C73" s="73">
        <f>SUM(C66:C72)</f>
        <v>10546.8</v>
      </c>
      <c r="D73" s="74"/>
      <c r="E73" s="75">
        <f>SUM(E66:E72)</f>
        <v>9805.8946400000004</v>
      </c>
      <c r="F73" s="76"/>
      <c r="H73" s="51" t="s">
        <v>30</v>
      </c>
      <c r="I73" s="11"/>
      <c r="J73" s="67">
        <f>$O$21</f>
        <v>18073.349999999999</v>
      </c>
      <c r="K73" s="68">
        <f>Residential!K70</f>
        <v>0.74199999999999999</v>
      </c>
      <c r="L73" s="71">
        <f t="shared" si="17"/>
        <v>13410.425699999998</v>
      </c>
      <c r="M73" s="98" t="s">
        <v>36</v>
      </c>
      <c r="N73" s="50"/>
      <c r="T73" s="59" t="s">
        <v>4</v>
      </c>
      <c r="U73" s="72">
        <f>SUM(U66:U72)</f>
        <v>186</v>
      </c>
      <c r="V73" s="73">
        <f>SUM(V66:V72)</f>
        <v>20386.080000000002</v>
      </c>
      <c r="W73" s="74"/>
      <c r="X73" s="75">
        <f>SUM(X66:X72)</f>
        <v>35825.50288</v>
      </c>
      <c r="Y73" s="76"/>
      <c r="AA73" s="51"/>
      <c r="AB73" s="11"/>
      <c r="AC73" s="67"/>
      <c r="AD73" s="68"/>
      <c r="AE73" s="71"/>
      <c r="AF73" s="70"/>
    </row>
    <row r="74" spans="1:32" x14ac:dyDescent="0.3">
      <c r="D74" s="11"/>
      <c r="E74" s="11"/>
      <c r="F74" s="11"/>
      <c r="H74" s="51" t="s">
        <v>31</v>
      </c>
      <c r="I74" s="11"/>
      <c r="J74" s="67">
        <f>$P$21</f>
        <v>15288.369999999999</v>
      </c>
      <c r="K74" s="68">
        <f>Residential!K71</f>
        <v>0.68600000000000005</v>
      </c>
      <c r="L74" s="71">
        <f t="shared" si="17"/>
        <v>10487.821820000001</v>
      </c>
      <c r="M74" s="98" t="s">
        <v>36</v>
      </c>
      <c r="N74" s="50"/>
      <c r="W74" s="11"/>
      <c r="X74" s="11"/>
      <c r="Y74" s="11"/>
      <c r="AA74" s="51"/>
      <c r="AB74" s="11"/>
      <c r="AC74" s="67"/>
      <c r="AD74" s="68"/>
      <c r="AE74" s="71"/>
      <c r="AF74" s="70"/>
    </row>
    <row r="75" spans="1:32" x14ac:dyDescent="0.3">
      <c r="D75" s="11"/>
      <c r="E75" s="92"/>
      <c r="F75" s="11"/>
      <c r="H75" s="51" t="s">
        <v>32</v>
      </c>
      <c r="I75" s="11"/>
      <c r="J75" s="67">
        <f>$Q$21</f>
        <v>48472.68</v>
      </c>
      <c r="K75" s="68">
        <f>Residential!K72</f>
        <v>0.66700000000000004</v>
      </c>
      <c r="L75" s="71">
        <f t="shared" si="17"/>
        <v>32331.277560000002</v>
      </c>
      <c r="M75" s="98" t="s">
        <v>36</v>
      </c>
      <c r="N75" s="50"/>
      <c r="W75" s="11"/>
      <c r="X75" s="92"/>
      <c r="Y75" s="11"/>
      <c r="AA75" s="51"/>
      <c r="AB75" s="11"/>
      <c r="AC75" s="11"/>
      <c r="AD75" s="11"/>
      <c r="AE75" s="11"/>
      <c r="AF75" s="50"/>
    </row>
    <row r="76" spans="1:32" x14ac:dyDescent="0.3">
      <c r="D76" s="11"/>
      <c r="E76" s="93"/>
      <c r="F76" s="11"/>
      <c r="H76" s="51"/>
      <c r="I76" s="11"/>
      <c r="J76" s="11"/>
      <c r="K76" s="11"/>
      <c r="L76" s="11"/>
      <c r="M76" s="11"/>
      <c r="N76" s="50"/>
      <c r="W76" s="11"/>
      <c r="X76" s="93"/>
      <c r="Y76" s="11"/>
      <c r="AA76" s="59" t="s">
        <v>4</v>
      </c>
      <c r="AB76" s="73">
        <f>SUM(AB66:AB75)</f>
        <v>144</v>
      </c>
      <c r="AC76" s="73">
        <f>SUM(AC66:AC75)</f>
        <v>13607</v>
      </c>
      <c r="AD76" s="74"/>
      <c r="AE76" s="75">
        <f>SUM(AE66:AE75)</f>
        <v>16997.26066</v>
      </c>
      <c r="AF76" s="76"/>
    </row>
    <row r="77" spans="1:32" x14ac:dyDescent="0.3">
      <c r="H77" s="59" t="s">
        <v>4</v>
      </c>
      <c r="I77" s="60">
        <f>SUM(I67:I76)</f>
        <v>1046</v>
      </c>
      <c r="J77" s="60">
        <f>SUM(J67:J76)</f>
        <v>125022.56</v>
      </c>
      <c r="K77" s="74"/>
      <c r="L77" s="75">
        <f>SUM(L67:L76)</f>
        <v>164097.32608000003</v>
      </c>
      <c r="M77" s="99"/>
      <c r="N77" s="76"/>
    </row>
    <row r="78" spans="1:32" x14ac:dyDescent="0.3">
      <c r="A78" s="136"/>
      <c r="B78" s="136"/>
      <c r="C78" s="136"/>
      <c r="D78" s="136"/>
      <c r="E78" s="136"/>
      <c r="F78" s="136"/>
      <c r="T78" s="136"/>
      <c r="U78" s="136"/>
      <c r="V78" s="136"/>
      <c r="W78" s="136"/>
      <c r="X78" s="136"/>
      <c r="Y78" s="136"/>
      <c r="AA78" s="135"/>
      <c r="AB78" s="135"/>
      <c r="AC78" s="135"/>
      <c r="AD78" s="135"/>
      <c r="AE78" s="135"/>
      <c r="AF78" s="135"/>
    </row>
    <row r="79" spans="1:32" x14ac:dyDescent="0.3">
      <c r="A79" s="136"/>
      <c r="B79" s="136"/>
      <c r="C79" s="136"/>
      <c r="D79" s="136"/>
      <c r="E79" s="136"/>
      <c r="F79" s="136"/>
      <c r="T79" s="136"/>
      <c r="U79" s="136"/>
      <c r="V79" s="136"/>
      <c r="W79" s="136"/>
      <c r="X79" s="136"/>
      <c r="Y79" s="136"/>
      <c r="AA79" s="136"/>
      <c r="AB79" s="136"/>
      <c r="AC79" s="136"/>
      <c r="AD79" s="136"/>
      <c r="AE79" s="136"/>
      <c r="AF79" s="136"/>
    </row>
    <row r="80" spans="1:32" x14ac:dyDescent="0.3">
      <c r="A80" s="136" t="s">
        <v>51</v>
      </c>
      <c r="B80" s="136"/>
      <c r="C80" s="136"/>
      <c r="D80" s="136"/>
      <c r="E80" s="136"/>
      <c r="F80" s="136"/>
      <c r="H80" s="135" t="s">
        <v>75</v>
      </c>
      <c r="I80" s="135"/>
      <c r="J80" s="135"/>
      <c r="K80" s="135"/>
      <c r="L80" s="135"/>
      <c r="M80" s="135"/>
      <c r="N80" s="135"/>
      <c r="T80" s="136" t="s">
        <v>98</v>
      </c>
      <c r="U80" s="136"/>
      <c r="V80" s="136"/>
      <c r="W80" s="136"/>
      <c r="X80" s="136"/>
      <c r="Y80" s="136"/>
      <c r="AA80" s="135" t="s">
        <v>109</v>
      </c>
      <c r="AB80" s="135"/>
      <c r="AC80" s="135"/>
      <c r="AD80" s="135"/>
      <c r="AE80" s="135"/>
      <c r="AF80" s="135"/>
    </row>
    <row r="81" spans="1:32" x14ac:dyDescent="0.3">
      <c r="A81" s="136" t="s">
        <v>73</v>
      </c>
      <c r="B81" s="136"/>
      <c r="C81" s="136"/>
      <c r="D81" s="136"/>
      <c r="E81" s="136"/>
      <c r="F81" s="136"/>
      <c r="H81" s="135" t="s">
        <v>73</v>
      </c>
      <c r="I81" s="135"/>
      <c r="J81" s="135"/>
      <c r="K81" s="135"/>
      <c r="L81" s="135"/>
      <c r="M81" s="135"/>
      <c r="N81" s="135"/>
      <c r="T81" s="136" t="s">
        <v>73</v>
      </c>
      <c r="U81" s="136"/>
      <c r="V81" s="136"/>
      <c r="W81" s="136"/>
      <c r="X81" s="136"/>
      <c r="Y81" s="136"/>
      <c r="AA81" s="136" t="s">
        <v>73</v>
      </c>
      <c r="AB81" s="136"/>
      <c r="AC81" s="136"/>
      <c r="AD81" s="136"/>
      <c r="AE81" s="136"/>
      <c r="AF81" s="136"/>
    </row>
    <row r="82" spans="1:32" x14ac:dyDescent="0.3">
      <c r="A82" s="137" t="s">
        <v>42</v>
      </c>
      <c r="B82" s="137"/>
      <c r="C82" s="137"/>
      <c r="D82" s="137"/>
      <c r="E82" s="137"/>
      <c r="F82" s="137"/>
      <c r="H82" s="135" t="s">
        <v>42</v>
      </c>
      <c r="I82" s="135"/>
      <c r="J82" s="135"/>
      <c r="K82" s="135"/>
      <c r="L82" s="135"/>
      <c r="M82" s="135"/>
      <c r="N82" s="135"/>
      <c r="T82" s="137" t="s">
        <v>42</v>
      </c>
      <c r="U82" s="137"/>
      <c r="V82" s="137"/>
      <c r="W82" s="137"/>
      <c r="X82" s="137"/>
      <c r="Y82" s="137"/>
      <c r="AA82" s="137" t="s">
        <v>42</v>
      </c>
      <c r="AB82" s="137"/>
      <c r="AC82" s="137"/>
      <c r="AD82" s="137"/>
      <c r="AE82" s="137"/>
      <c r="AF82" s="137"/>
    </row>
    <row r="83" spans="1:32" x14ac:dyDescent="0.3">
      <c r="A83" s="64">
        <v>-1</v>
      </c>
      <c r="B83" s="65">
        <v>-2</v>
      </c>
      <c r="C83" s="65">
        <v>-3</v>
      </c>
      <c r="D83" s="65">
        <v>-4</v>
      </c>
      <c r="E83" s="65">
        <v>-5</v>
      </c>
      <c r="F83" s="47"/>
      <c r="H83" s="97"/>
      <c r="I83" s="46"/>
      <c r="J83" s="46"/>
      <c r="K83" s="46"/>
      <c r="L83" s="46"/>
      <c r="M83" s="46"/>
      <c r="N83" s="47"/>
      <c r="T83" s="64">
        <v>-1</v>
      </c>
      <c r="U83" s="65">
        <v>-2</v>
      </c>
      <c r="V83" s="65">
        <v>-3</v>
      </c>
      <c r="W83" s="65">
        <v>-4</v>
      </c>
      <c r="X83" s="65">
        <v>-5</v>
      </c>
      <c r="Y83" s="47"/>
      <c r="AA83" s="64">
        <v>-1</v>
      </c>
      <c r="AB83" s="65">
        <v>-2</v>
      </c>
      <c r="AC83" s="65">
        <v>-3</v>
      </c>
      <c r="AD83" s="65">
        <v>-4</v>
      </c>
      <c r="AE83" s="65">
        <v>-5</v>
      </c>
      <c r="AF83" s="47"/>
    </row>
    <row r="84" spans="1:32" x14ac:dyDescent="0.3">
      <c r="A84" s="51"/>
      <c r="B84" s="83" t="s">
        <v>5</v>
      </c>
      <c r="C84" s="83" t="s">
        <v>0</v>
      </c>
      <c r="D84" s="83" t="s">
        <v>15</v>
      </c>
      <c r="E84" s="83" t="s">
        <v>16</v>
      </c>
      <c r="F84" s="10" t="s">
        <v>35</v>
      </c>
      <c r="H84" s="52">
        <v>-1</v>
      </c>
      <c r="I84" s="53">
        <v>-2</v>
      </c>
      <c r="J84" s="53">
        <v>-3</v>
      </c>
      <c r="K84" s="53">
        <v>-4</v>
      </c>
      <c r="L84" s="53">
        <v>-5</v>
      </c>
      <c r="M84" s="11"/>
      <c r="N84" s="50"/>
      <c r="T84" s="51"/>
      <c r="U84" s="83" t="s">
        <v>5</v>
      </c>
      <c r="V84" s="83" t="s">
        <v>0</v>
      </c>
      <c r="W84" s="83" t="s">
        <v>15</v>
      </c>
      <c r="X84" s="83" t="s">
        <v>16</v>
      </c>
      <c r="Y84" s="10" t="s">
        <v>35</v>
      </c>
      <c r="AA84" s="51"/>
      <c r="AB84" s="63" t="s">
        <v>5</v>
      </c>
      <c r="AC84" s="66" t="s">
        <v>0</v>
      </c>
      <c r="AD84" s="66" t="s">
        <v>15</v>
      </c>
      <c r="AE84" s="66" t="s">
        <v>16</v>
      </c>
      <c r="AF84" s="10" t="s">
        <v>35</v>
      </c>
    </row>
    <row r="85" spans="1:32" x14ac:dyDescent="0.3">
      <c r="A85" s="51" t="s">
        <v>85</v>
      </c>
      <c r="B85" s="67"/>
      <c r="C85" s="67"/>
      <c r="D85" s="80">
        <f>Residential!D83</f>
        <v>39.64</v>
      </c>
      <c r="E85" s="69">
        <f>B85*D85</f>
        <v>0</v>
      </c>
      <c r="F85" s="70" t="s">
        <v>24</v>
      </c>
      <c r="H85" s="51"/>
      <c r="I85" s="83" t="s">
        <v>5</v>
      </c>
      <c r="J85" s="83" t="s">
        <v>0</v>
      </c>
      <c r="K85" s="83" t="s">
        <v>15</v>
      </c>
      <c r="L85" s="83" t="s">
        <v>16</v>
      </c>
      <c r="M85" s="83" t="s">
        <v>35</v>
      </c>
      <c r="N85" s="50"/>
      <c r="T85" s="51" t="s">
        <v>85</v>
      </c>
      <c r="U85" s="67">
        <f>U66</f>
        <v>54</v>
      </c>
      <c r="V85" s="67"/>
      <c r="W85" s="80">
        <f>Residential!W83</f>
        <v>28.42</v>
      </c>
      <c r="X85" s="69">
        <f>U85*W85</f>
        <v>1534.68</v>
      </c>
      <c r="Y85" s="70" t="s">
        <v>24</v>
      </c>
      <c r="AA85" s="51" t="s">
        <v>85</v>
      </c>
      <c r="AB85" s="82">
        <f>AB66</f>
        <v>120</v>
      </c>
      <c r="AC85" s="66"/>
      <c r="AD85" s="80">
        <f>Residential!AD83</f>
        <v>37.020000000000003</v>
      </c>
      <c r="AE85" s="69">
        <f>AB85*AD85</f>
        <v>4442.4000000000005</v>
      </c>
      <c r="AF85" s="70" t="s">
        <v>24</v>
      </c>
    </row>
    <row r="86" spans="1:32" x14ac:dyDescent="0.3">
      <c r="A86" s="51" t="s">
        <v>89</v>
      </c>
      <c r="B86" s="67">
        <f>B73</f>
        <v>48</v>
      </c>
      <c r="C86" s="67"/>
      <c r="D86" s="80">
        <f>Residential!D84</f>
        <v>173.47</v>
      </c>
      <c r="E86" s="71">
        <f>B86*D86</f>
        <v>8326.56</v>
      </c>
      <c r="F86" s="70" t="s">
        <v>24</v>
      </c>
      <c r="H86" s="51" t="s">
        <v>85</v>
      </c>
      <c r="I86" s="100">
        <f>I67</f>
        <v>662</v>
      </c>
      <c r="J86" s="83"/>
      <c r="K86" s="80">
        <f>Residential!K83</f>
        <v>38.22</v>
      </c>
      <c r="L86" s="69">
        <f>I86*K86</f>
        <v>25301.64</v>
      </c>
      <c r="M86" s="98" t="s">
        <v>24</v>
      </c>
      <c r="N86" s="50"/>
      <c r="T86" s="51" t="s">
        <v>89</v>
      </c>
      <c r="U86" s="67">
        <f>U67</f>
        <v>132</v>
      </c>
      <c r="V86" s="67"/>
      <c r="W86" s="80">
        <f>Residential!W84</f>
        <v>166.5</v>
      </c>
      <c r="X86" s="71">
        <f>U86*W86</f>
        <v>21978</v>
      </c>
      <c r="Y86" s="70" t="s">
        <v>24</v>
      </c>
      <c r="AA86" s="51" t="s">
        <v>89</v>
      </c>
      <c r="AB86" s="82">
        <f>AB67</f>
        <v>24</v>
      </c>
      <c r="AC86" s="66"/>
      <c r="AD86" s="80">
        <f>Residential!AD84</f>
        <v>177.22</v>
      </c>
      <c r="AE86" s="71">
        <f>AB86*AD86</f>
        <v>4253.28</v>
      </c>
      <c r="AF86" s="70" t="s">
        <v>24</v>
      </c>
    </row>
    <row r="87" spans="1:32" x14ac:dyDescent="0.3">
      <c r="A87" s="51" t="s">
        <v>34</v>
      </c>
      <c r="B87" s="67"/>
      <c r="C87" s="67">
        <f>C68</f>
        <v>769.44</v>
      </c>
      <c r="D87" s="68">
        <f>Residential!D85</f>
        <v>1.2130000000000001</v>
      </c>
      <c r="E87" s="91">
        <f>C87*D87</f>
        <v>933.33072000000016</v>
      </c>
      <c r="F87" s="70" t="s">
        <v>36</v>
      </c>
      <c r="H87" s="51" t="s">
        <v>89</v>
      </c>
      <c r="I87" s="100">
        <f>I68</f>
        <v>384</v>
      </c>
      <c r="J87" s="83"/>
      <c r="K87" s="80">
        <f>Residential!K84</f>
        <v>179.91</v>
      </c>
      <c r="L87" s="71">
        <f>I87*K87</f>
        <v>69085.440000000002</v>
      </c>
      <c r="M87" s="98" t="s">
        <v>24</v>
      </c>
      <c r="N87" s="50"/>
      <c r="T87" s="51" t="s">
        <v>34</v>
      </c>
      <c r="U87" s="67"/>
      <c r="V87" s="67">
        <f>V68</f>
        <v>2853.32</v>
      </c>
      <c r="W87" s="68">
        <f>Residential!W85</f>
        <v>1.6579999999999999</v>
      </c>
      <c r="X87" s="91">
        <f>V87*W87</f>
        <v>4730.8045600000005</v>
      </c>
      <c r="Y87" s="70" t="s">
        <v>36</v>
      </c>
      <c r="AA87" s="51" t="s">
        <v>34</v>
      </c>
      <c r="AB87" s="57"/>
      <c r="AC87" s="67">
        <f>AC68</f>
        <v>2048.2200000000003</v>
      </c>
      <c r="AD87" s="68">
        <f>Residential!AD85</f>
        <v>1.2709999999999999</v>
      </c>
      <c r="AE87" s="71">
        <f>AC87*AD87</f>
        <v>2603.2876200000001</v>
      </c>
      <c r="AF87" s="70" t="s">
        <v>36</v>
      </c>
    </row>
    <row r="88" spans="1:32" x14ac:dyDescent="0.3">
      <c r="A88" s="51" t="s">
        <v>83</v>
      </c>
      <c r="B88" s="67"/>
      <c r="C88" s="67">
        <f>C69</f>
        <v>717.16</v>
      </c>
      <c r="D88" s="68">
        <f>Residential!D86</f>
        <v>0.72799999999999998</v>
      </c>
      <c r="E88" s="91">
        <f t="shared" ref="E88:E90" si="18">C88*D88</f>
        <v>522.09247999999991</v>
      </c>
      <c r="F88" s="70" t="s">
        <v>36</v>
      </c>
      <c r="H88" s="51" t="s">
        <v>26</v>
      </c>
      <c r="I88" s="57"/>
      <c r="J88" s="67">
        <f>$K$21</f>
        <v>14760.68</v>
      </c>
      <c r="K88" s="68">
        <f>Residential!K85</f>
        <v>1.2849999999999999</v>
      </c>
      <c r="L88" s="71">
        <f>J88*K88</f>
        <v>18967.4738</v>
      </c>
      <c r="M88" s="98" t="s">
        <v>36</v>
      </c>
      <c r="N88" s="50"/>
      <c r="T88" s="51" t="s">
        <v>83</v>
      </c>
      <c r="U88" s="67"/>
      <c r="V88" s="67">
        <f>V69</f>
        <v>2895.12</v>
      </c>
      <c r="W88" s="68">
        <f>Residential!W86</f>
        <v>1.157</v>
      </c>
      <c r="X88" s="91">
        <f t="shared" ref="X88:X90" si="19">V88*W88</f>
        <v>3349.6538399999999</v>
      </c>
      <c r="Y88" s="70" t="s">
        <v>36</v>
      </c>
      <c r="AA88" s="51" t="s">
        <v>83</v>
      </c>
      <c r="AB88" s="11"/>
      <c r="AC88" s="67">
        <f t="shared" ref="AC88:AC90" si="20">AC69</f>
        <v>1618.87</v>
      </c>
      <c r="AD88" s="68">
        <f>Residential!AD86</f>
        <v>1.107</v>
      </c>
      <c r="AE88" s="71">
        <f>AC88*AD88</f>
        <v>1792.0890899999999</v>
      </c>
      <c r="AF88" s="70" t="s">
        <v>36</v>
      </c>
    </row>
    <row r="89" spans="1:32" x14ac:dyDescent="0.3">
      <c r="A89" s="51" t="s">
        <v>29</v>
      </c>
      <c r="B89" s="67"/>
      <c r="C89" s="67">
        <f>C70</f>
        <v>891.32</v>
      </c>
      <c r="D89" s="68">
        <f>Residential!D87</f>
        <v>0.60699999999999998</v>
      </c>
      <c r="E89" s="91">
        <f t="shared" si="18"/>
        <v>541.03124000000003</v>
      </c>
      <c r="F89" s="70" t="s">
        <v>36</v>
      </c>
      <c r="H89" s="51" t="s">
        <v>27</v>
      </c>
      <c r="I89" s="11"/>
      <c r="J89" s="67">
        <f>$L$21</f>
        <v>5137.3999999999996</v>
      </c>
      <c r="K89" s="68">
        <f>Residential!K86</f>
        <v>1.1819999999999999</v>
      </c>
      <c r="L89" s="71">
        <f>J89*K89</f>
        <v>6072.4067999999988</v>
      </c>
      <c r="M89" s="98" t="s">
        <v>36</v>
      </c>
      <c r="N89" s="50"/>
      <c r="T89" s="51" t="s">
        <v>29</v>
      </c>
      <c r="U89" s="67"/>
      <c r="V89" s="67">
        <f>V70</f>
        <v>2861.16</v>
      </c>
      <c r="W89" s="68">
        <f>Residential!W87</f>
        <v>1.032</v>
      </c>
      <c r="X89" s="91">
        <f t="shared" si="19"/>
        <v>2952.7171199999998</v>
      </c>
      <c r="Y89" s="70" t="s">
        <v>36</v>
      </c>
      <c r="AA89" s="51" t="s">
        <v>29</v>
      </c>
      <c r="AB89" s="11"/>
      <c r="AC89" s="67">
        <f t="shared" si="20"/>
        <v>1336.32</v>
      </c>
      <c r="AD89" s="68">
        <f>Residential!AD87</f>
        <v>0.93400000000000005</v>
      </c>
      <c r="AE89" s="71">
        <f t="shared" ref="AE89:AE90" si="21">AC89*AD89</f>
        <v>1248.1228800000001</v>
      </c>
      <c r="AF89" s="70" t="s">
        <v>36</v>
      </c>
    </row>
    <row r="90" spans="1:32" x14ac:dyDescent="0.3">
      <c r="A90" s="51" t="s">
        <v>84</v>
      </c>
      <c r="B90" s="67"/>
      <c r="C90" s="67">
        <f>C71</f>
        <v>8168.88</v>
      </c>
      <c r="D90" s="68">
        <f>Residential!D88</f>
        <v>0.52500000000000002</v>
      </c>
      <c r="E90" s="91">
        <f t="shared" si="18"/>
        <v>4288.6620000000003</v>
      </c>
      <c r="F90" s="70" t="s">
        <v>36</v>
      </c>
      <c r="H90" s="51" t="s">
        <v>28</v>
      </c>
      <c r="I90" s="11"/>
      <c r="J90" s="67">
        <f>$M$21</f>
        <v>8001.52</v>
      </c>
      <c r="K90" s="68">
        <f>Residential!K87</f>
        <v>1.095</v>
      </c>
      <c r="L90" s="71">
        <f t="shared" ref="L90:L94" si="22">J90*K90</f>
        <v>8761.6643999999997</v>
      </c>
      <c r="M90" s="98" t="s">
        <v>36</v>
      </c>
      <c r="N90" s="50"/>
      <c r="T90" s="51" t="s">
        <v>84</v>
      </c>
      <c r="U90" s="67"/>
      <c r="V90" s="67">
        <f>V71</f>
        <v>11776.48</v>
      </c>
      <c r="W90" s="68">
        <f>Residential!W88</f>
        <v>0.84399999999999997</v>
      </c>
      <c r="X90" s="91">
        <f t="shared" si="19"/>
        <v>9939.3491199999989</v>
      </c>
      <c r="Y90" s="70" t="s">
        <v>36</v>
      </c>
      <c r="AA90" s="51" t="s">
        <v>84</v>
      </c>
      <c r="AB90" s="11"/>
      <c r="AC90" s="67">
        <f t="shared" si="20"/>
        <v>8603.59</v>
      </c>
      <c r="AD90" s="68">
        <f>Residential!AD88</f>
        <v>0.69199999999999995</v>
      </c>
      <c r="AE90" s="71">
        <f t="shared" si="21"/>
        <v>5953.6842799999995</v>
      </c>
      <c r="AF90" s="70" t="s">
        <v>36</v>
      </c>
    </row>
    <row r="91" spans="1:32" x14ac:dyDescent="0.3">
      <c r="A91" s="51"/>
      <c r="B91" s="67"/>
      <c r="C91" s="11"/>
      <c r="D91" s="11"/>
      <c r="E91" s="11"/>
      <c r="F91" s="50"/>
      <c r="H91" s="51" t="s">
        <v>29</v>
      </c>
      <c r="I91" s="11"/>
      <c r="J91" s="67">
        <f>$N$21</f>
        <v>15288.560000000001</v>
      </c>
      <c r="K91" s="68">
        <f>Residential!K88</f>
        <v>0.93500000000000005</v>
      </c>
      <c r="L91" s="71">
        <f t="shared" si="22"/>
        <v>14294.803600000003</v>
      </c>
      <c r="M91" s="98" t="s">
        <v>36</v>
      </c>
      <c r="N91" s="50"/>
      <c r="T91" s="51"/>
      <c r="U91" s="67"/>
      <c r="V91" s="11"/>
      <c r="W91" s="11"/>
      <c r="X91" s="11"/>
      <c r="Y91" s="50"/>
      <c r="AA91" s="51"/>
      <c r="AB91" s="11"/>
      <c r="AC91" s="67"/>
      <c r="AD91" s="68"/>
      <c r="AE91" s="71"/>
      <c r="AF91" s="70"/>
    </row>
    <row r="92" spans="1:32" x14ac:dyDescent="0.3">
      <c r="A92" s="59" t="s">
        <v>4</v>
      </c>
      <c r="B92" s="72">
        <f>SUM(B85:B91)</f>
        <v>48</v>
      </c>
      <c r="C92" s="73">
        <f>SUM(C85:C91)</f>
        <v>10546.8</v>
      </c>
      <c r="D92" s="74"/>
      <c r="E92" s="75">
        <f>SUM(E85:E91)</f>
        <v>14611.676439999999</v>
      </c>
      <c r="F92" s="76"/>
      <c r="H92" s="51" t="s">
        <v>30</v>
      </c>
      <c r="I92" s="11"/>
      <c r="J92" s="67">
        <f>$O$21</f>
        <v>18073.349999999999</v>
      </c>
      <c r="K92" s="68">
        <f>Residential!K89</f>
        <v>0.71199999999999997</v>
      </c>
      <c r="L92" s="71">
        <f t="shared" si="22"/>
        <v>12868.225199999999</v>
      </c>
      <c r="M92" s="98" t="s">
        <v>36</v>
      </c>
      <c r="N92" s="50"/>
      <c r="T92" s="59" t="s">
        <v>4</v>
      </c>
      <c r="U92" s="72">
        <f>SUM(U85:U91)</f>
        <v>186</v>
      </c>
      <c r="V92" s="73">
        <f>SUM(V85:V91)</f>
        <v>20386.080000000002</v>
      </c>
      <c r="W92" s="74"/>
      <c r="X92" s="75">
        <f>SUM(X85:X91)</f>
        <v>44485.204639999996</v>
      </c>
      <c r="Y92" s="76"/>
      <c r="AA92" s="51"/>
      <c r="AB92" s="11"/>
      <c r="AC92" s="67"/>
      <c r="AD92" s="68"/>
      <c r="AE92" s="71"/>
      <c r="AF92" s="70"/>
    </row>
    <row r="93" spans="1:32" x14ac:dyDescent="0.3">
      <c r="H93" s="51" t="s">
        <v>31</v>
      </c>
      <c r="I93" s="11"/>
      <c r="J93" s="67">
        <f>$P$21</f>
        <v>15288.369999999999</v>
      </c>
      <c r="K93" s="68">
        <f>Residential!K90</f>
        <v>0.68100000000000005</v>
      </c>
      <c r="L93" s="71">
        <f t="shared" si="22"/>
        <v>10411.37997</v>
      </c>
      <c r="M93" s="98" t="s">
        <v>36</v>
      </c>
      <c r="N93" s="50"/>
      <c r="AA93" s="51"/>
      <c r="AB93" s="11"/>
      <c r="AC93" s="67"/>
      <c r="AD93" s="68"/>
      <c r="AE93" s="71"/>
      <c r="AF93" s="70"/>
    </row>
    <row r="94" spans="1:32" x14ac:dyDescent="0.3">
      <c r="H94" s="51" t="s">
        <v>32</v>
      </c>
      <c r="I94" s="11"/>
      <c r="J94" s="67">
        <f>$Q$21</f>
        <v>48472.68</v>
      </c>
      <c r="K94" s="68">
        <f>Residential!K91</f>
        <v>0.67</v>
      </c>
      <c r="L94" s="71">
        <f t="shared" si="22"/>
        <v>32476.695600000003</v>
      </c>
      <c r="M94" s="98" t="s">
        <v>36</v>
      </c>
      <c r="N94" s="50"/>
      <c r="AA94" s="51"/>
      <c r="AB94" s="11"/>
      <c r="AC94" s="11"/>
      <c r="AD94" s="11"/>
      <c r="AE94" s="11"/>
      <c r="AF94" s="50"/>
    </row>
    <row r="95" spans="1:32" x14ac:dyDescent="0.3">
      <c r="H95" s="51"/>
      <c r="I95" s="11"/>
      <c r="J95" s="11"/>
      <c r="K95" s="11"/>
      <c r="L95" s="11"/>
      <c r="M95" s="11"/>
      <c r="N95" s="50"/>
      <c r="AA95" s="59" t="s">
        <v>4</v>
      </c>
      <c r="AB95" s="73">
        <f>SUM(AB85:AB94)</f>
        <v>144</v>
      </c>
      <c r="AC95" s="73">
        <f>SUM(AC85:AC94)</f>
        <v>13607</v>
      </c>
      <c r="AD95" s="74"/>
      <c r="AE95" s="75">
        <f>SUM(AE85:AE94)</f>
        <v>20292.863870000001</v>
      </c>
      <c r="AF95" s="76"/>
    </row>
    <row r="96" spans="1:32" x14ac:dyDescent="0.3">
      <c r="H96" s="59" t="s">
        <v>4</v>
      </c>
      <c r="I96" s="60">
        <f>SUM(I86:I95)</f>
        <v>1046</v>
      </c>
      <c r="J96" s="60">
        <f>SUM(J86:J95)</f>
        <v>125022.56</v>
      </c>
      <c r="K96" s="74"/>
      <c r="L96" s="75">
        <f>SUM(L86:L95)</f>
        <v>198239.72936999999</v>
      </c>
      <c r="M96" s="99"/>
      <c r="N96" s="76"/>
    </row>
    <row r="97" spans="1:32" x14ac:dyDescent="0.3">
      <c r="A97" s="136"/>
      <c r="B97" s="136"/>
      <c r="C97" s="136"/>
      <c r="D97" s="136"/>
      <c r="E97" s="136"/>
      <c r="F97" s="136"/>
      <c r="T97" s="136"/>
      <c r="U97" s="136"/>
      <c r="V97" s="136"/>
      <c r="W97" s="136"/>
      <c r="X97" s="136"/>
      <c r="Y97" s="136"/>
      <c r="AA97" s="135"/>
      <c r="AB97" s="135"/>
      <c r="AC97" s="135"/>
      <c r="AD97" s="135"/>
      <c r="AE97" s="135"/>
      <c r="AF97" s="135"/>
    </row>
    <row r="98" spans="1:32" x14ac:dyDescent="0.3">
      <c r="A98" s="136"/>
      <c r="B98" s="136"/>
      <c r="C98" s="136"/>
      <c r="D98" s="136"/>
      <c r="E98" s="136"/>
      <c r="F98" s="136"/>
      <c r="T98" s="136"/>
      <c r="U98" s="136"/>
      <c r="V98" s="136"/>
      <c r="W98" s="136"/>
      <c r="X98" s="136"/>
      <c r="Y98" s="136"/>
      <c r="AA98" s="136"/>
      <c r="AB98" s="136"/>
      <c r="AC98" s="136"/>
      <c r="AD98" s="136"/>
      <c r="AE98" s="136"/>
      <c r="AF98" s="136"/>
    </row>
    <row r="99" spans="1:32" x14ac:dyDescent="0.3">
      <c r="A99" s="136" t="s">
        <v>51</v>
      </c>
      <c r="B99" s="136"/>
      <c r="C99" s="136"/>
      <c r="D99" s="136"/>
      <c r="E99" s="136"/>
      <c r="F99" s="136"/>
      <c r="H99" s="135" t="s">
        <v>75</v>
      </c>
      <c r="I99" s="135"/>
      <c r="J99" s="135"/>
      <c r="K99" s="135"/>
      <c r="L99" s="135"/>
      <c r="M99" s="135"/>
      <c r="N99" s="135"/>
      <c r="T99" s="136" t="s">
        <v>98</v>
      </c>
      <c r="U99" s="136"/>
      <c r="V99" s="136"/>
      <c r="W99" s="136"/>
      <c r="X99" s="136"/>
      <c r="Y99" s="136"/>
      <c r="AA99" s="135" t="s">
        <v>109</v>
      </c>
      <c r="AB99" s="135"/>
      <c r="AC99" s="135"/>
      <c r="AD99" s="135"/>
      <c r="AE99" s="135"/>
      <c r="AF99" s="135"/>
    </row>
    <row r="100" spans="1:32" x14ac:dyDescent="0.3">
      <c r="A100" s="136" t="s">
        <v>74</v>
      </c>
      <c r="B100" s="136"/>
      <c r="C100" s="136"/>
      <c r="D100" s="136"/>
      <c r="E100" s="136"/>
      <c r="F100" s="136"/>
      <c r="H100" s="136" t="s">
        <v>74</v>
      </c>
      <c r="I100" s="136"/>
      <c r="J100" s="136"/>
      <c r="K100" s="136"/>
      <c r="L100" s="136"/>
      <c r="M100" s="136"/>
      <c r="N100" s="136"/>
      <c r="T100" s="136" t="s">
        <v>74</v>
      </c>
      <c r="U100" s="136"/>
      <c r="V100" s="136"/>
      <c r="W100" s="136"/>
      <c r="X100" s="136"/>
      <c r="Y100" s="136"/>
      <c r="AA100" s="136" t="s">
        <v>74</v>
      </c>
      <c r="AB100" s="136"/>
      <c r="AC100" s="136"/>
      <c r="AD100" s="136"/>
      <c r="AE100" s="136"/>
      <c r="AF100" s="136"/>
    </row>
    <row r="101" spans="1:32" x14ac:dyDescent="0.3">
      <c r="A101" s="137" t="s">
        <v>42</v>
      </c>
      <c r="B101" s="137"/>
      <c r="C101" s="137"/>
      <c r="D101" s="137"/>
      <c r="E101" s="137"/>
      <c r="F101" s="137"/>
      <c r="H101" s="136" t="s">
        <v>42</v>
      </c>
      <c r="I101" s="136"/>
      <c r="J101" s="136"/>
      <c r="K101" s="136"/>
      <c r="L101" s="136"/>
      <c r="M101" s="136"/>
      <c r="N101" s="136"/>
      <c r="T101" s="137" t="s">
        <v>42</v>
      </c>
      <c r="U101" s="137"/>
      <c r="V101" s="137"/>
      <c r="W101" s="137"/>
      <c r="X101" s="137"/>
      <c r="Y101" s="137"/>
      <c r="AA101" s="137" t="s">
        <v>42</v>
      </c>
      <c r="AB101" s="137"/>
      <c r="AC101" s="137"/>
      <c r="AD101" s="137"/>
      <c r="AE101" s="137"/>
      <c r="AF101" s="137"/>
    </row>
    <row r="102" spans="1:32" x14ac:dyDescent="0.3">
      <c r="A102" s="64">
        <v>-1</v>
      </c>
      <c r="B102" s="65">
        <v>-2</v>
      </c>
      <c r="C102" s="65">
        <v>-3</v>
      </c>
      <c r="D102" s="65">
        <v>-4</v>
      </c>
      <c r="E102" s="65">
        <v>-5</v>
      </c>
      <c r="F102" s="47"/>
      <c r="H102" s="64">
        <v>-1</v>
      </c>
      <c r="I102" s="65">
        <v>-2</v>
      </c>
      <c r="J102" s="65">
        <v>-3</v>
      </c>
      <c r="K102" s="65">
        <v>-4</v>
      </c>
      <c r="L102" s="65">
        <v>-5</v>
      </c>
      <c r="M102" s="46"/>
      <c r="N102" s="47"/>
      <c r="T102" s="64">
        <v>-1</v>
      </c>
      <c r="U102" s="65">
        <v>-2</v>
      </c>
      <c r="V102" s="65">
        <v>-3</v>
      </c>
      <c r="W102" s="65">
        <v>-4</v>
      </c>
      <c r="X102" s="65">
        <v>-5</v>
      </c>
      <c r="Y102" s="47"/>
      <c r="AA102" s="64">
        <v>-1</v>
      </c>
      <c r="AB102" s="65">
        <v>-2</v>
      </c>
      <c r="AC102" s="65">
        <v>-3</v>
      </c>
      <c r="AD102" s="65">
        <v>-4</v>
      </c>
      <c r="AE102" s="65">
        <v>-5</v>
      </c>
      <c r="AF102" s="47"/>
    </row>
    <row r="103" spans="1:32" x14ac:dyDescent="0.3">
      <c r="A103" s="51"/>
      <c r="B103" s="83" t="s">
        <v>5</v>
      </c>
      <c r="C103" s="83" t="s">
        <v>0</v>
      </c>
      <c r="D103" s="83" t="s">
        <v>15</v>
      </c>
      <c r="E103" s="83" t="s">
        <v>16</v>
      </c>
      <c r="F103" s="10" t="s">
        <v>35</v>
      </c>
      <c r="H103" s="51"/>
      <c r="I103" s="83" t="s">
        <v>5</v>
      </c>
      <c r="J103" s="83" t="s">
        <v>0</v>
      </c>
      <c r="K103" s="83" t="s">
        <v>15</v>
      </c>
      <c r="L103" s="83" t="s">
        <v>16</v>
      </c>
      <c r="M103" s="83" t="s">
        <v>35</v>
      </c>
      <c r="N103" s="50"/>
      <c r="T103" s="51"/>
      <c r="U103" s="83" t="s">
        <v>5</v>
      </c>
      <c r="V103" s="83" t="s">
        <v>0</v>
      </c>
      <c r="W103" s="83" t="s">
        <v>15</v>
      </c>
      <c r="X103" s="83" t="s">
        <v>16</v>
      </c>
      <c r="Y103" s="10" t="s">
        <v>35</v>
      </c>
      <c r="AA103" s="51"/>
      <c r="AB103" s="63" t="s">
        <v>5</v>
      </c>
      <c r="AC103" s="66" t="s">
        <v>0</v>
      </c>
      <c r="AD103" s="66" t="s">
        <v>15</v>
      </c>
      <c r="AE103" s="66" t="s">
        <v>16</v>
      </c>
      <c r="AF103" s="10" t="s">
        <v>35</v>
      </c>
    </row>
    <row r="104" spans="1:32" x14ac:dyDescent="0.3">
      <c r="A104" s="51" t="s">
        <v>85</v>
      </c>
      <c r="B104" s="67"/>
      <c r="C104" s="67"/>
      <c r="D104" s="80">
        <f>Residential!D102</f>
        <v>43.73</v>
      </c>
      <c r="E104" s="69">
        <f>B104*D104</f>
        <v>0</v>
      </c>
      <c r="F104" s="70" t="s">
        <v>24</v>
      </c>
      <c r="H104" s="51" t="s">
        <v>85</v>
      </c>
      <c r="I104" s="100">
        <f>I86</f>
        <v>662</v>
      </c>
      <c r="J104" s="83"/>
      <c r="K104" s="80">
        <f>Residential!K102</f>
        <v>43.73</v>
      </c>
      <c r="L104" s="69">
        <f>I104*K104</f>
        <v>28949.26</v>
      </c>
      <c r="M104" s="98" t="s">
        <v>24</v>
      </c>
      <c r="N104" s="50"/>
      <c r="T104" s="51" t="s">
        <v>85</v>
      </c>
      <c r="U104" s="67">
        <f>U85</f>
        <v>54</v>
      </c>
      <c r="V104" s="67"/>
      <c r="W104" s="80">
        <f>Residential!W102</f>
        <v>43.73</v>
      </c>
      <c r="X104" s="69">
        <f>U104*W104</f>
        <v>2361.4199999999996</v>
      </c>
      <c r="Y104" s="70" t="s">
        <v>24</v>
      </c>
      <c r="AA104" s="51" t="s">
        <v>85</v>
      </c>
      <c r="AB104" s="82">
        <f>AB85</f>
        <v>120</v>
      </c>
      <c r="AC104" s="66"/>
      <c r="AD104" s="80">
        <f>Residential!AD102</f>
        <v>43.73</v>
      </c>
      <c r="AE104" s="69">
        <f>AB104*AD104</f>
        <v>5247.5999999999995</v>
      </c>
      <c r="AF104" s="70" t="s">
        <v>24</v>
      </c>
    </row>
    <row r="105" spans="1:32" x14ac:dyDescent="0.3">
      <c r="A105" s="51" t="s">
        <v>89</v>
      </c>
      <c r="B105" s="67">
        <f>B92</f>
        <v>48</v>
      </c>
      <c r="C105" s="67"/>
      <c r="D105" s="80">
        <f>Residential!D103</f>
        <v>256.16000000000003</v>
      </c>
      <c r="E105" s="71">
        <f>B105*D105</f>
        <v>12295.68</v>
      </c>
      <c r="F105" s="70" t="s">
        <v>24</v>
      </c>
      <c r="H105" s="51" t="s">
        <v>89</v>
      </c>
      <c r="I105" s="100">
        <f>I87</f>
        <v>384</v>
      </c>
      <c r="J105" s="83"/>
      <c r="K105" s="80">
        <f>Residential!K103</f>
        <v>256.16000000000003</v>
      </c>
      <c r="L105" s="71">
        <f>I105*K105</f>
        <v>98365.440000000002</v>
      </c>
      <c r="M105" s="98" t="s">
        <v>24</v>
      </c>
      <c r="N105" s="50"/>
      <c r="T105" s="51" t="s">
        <v>89</v>
      </c>
      <c r="U105" s="67">
        <f>U86</f>
        <v>132</v>
      </c>
      <c r="V105" s="67"/>
      <c r="W105" s="80">
        <f>Residential!W103</f>
        <v>256.16000000000003</v>
      </c>
      <c r="X105" s="71">
        <f>U105*W105</f>
        <v>33813.120000000003</v>
      </c>
      <c r="Y105" s="70" t="s">
        <v>24</v>
      </c>
      <c r="AA105" s="51" t="s">
        <v>89</v>
      </c>
      <c r="AB105" s="82">
        <f>AB86</f>
        <v>24</v>
      </c>
      <c r="AC105" s="66"/>
      <c r="AD105" s="80">
        <f>Residential!AD103</f>
        <v>256.16000000000003</v>
      </c>
      <c r="AE105" s="71">
        <f>AB105*AD105</f>
        <v>6147.84</v>
      </c>
      <c r="AF105" s="70" t="s">
        <v>24</v>
      </c>
    </row>
    <row r="106" spans="1:32" x14ac:dyDescent="0.3">
      <c r="A106" s="51" t="s">
        <v>34</v>
      </c>
      <c r="B106" s="67"/>
      <c r="C106" s="67">
        <f>C87</f>
        <v>769.44</v>
      </c>
      <c r="D106" s="68">
        <f>Residential!D104</f>
        <v>1.9259999999999999</v>
      </c>
      <c r="E106" s="91">
        <f>C106*D106</f>
        <v>1481.9414400000001</v>
      </c>
      <c r="F106" s="70" t="s">
        <v>36</v>
      </c>
      <c r="H106" s="51" t="s">
        <v>34</v>
      </c>
      <c r="I106" s="57"/>
      <c r="J106" s="67">
        <f>$K$21</f>
        <v>14760.68</v>
      </c>
      <c r="K106" s="68">
        <f>Residential!K104</f>
        <v>1.9259999999999999</v>
      </c>
      <c r="L106" s="71">
        <f>J106*K106</f>
        <v>28429.069680000001</v>
      </c>
      <c r="M106" s="98" t="s">
        <v>36</v>
      </c>
      <c r="N106" s="50"/>
      <c r="T106" s="51" t="s">
        <v>34</v>
      </c>
      <c r="U106" s="67"/>
      <c r="V106" s="67">
        <f>V87</f>
        <v>2853.32</v>
      </c>
      <c r="W106" s="68">
        <f>Residential!W104</f>
        <v>1.9259999999999999</v>
      </c>
      <c r="X106" s="91">
        <f>V106*W106</f>
        <v>5495.4943199999998</v>
      </c>
      <c r="Y106" s="70" t="s">
        <v>36</v>
      </c>
      <c r="AA106" s="51" t="s">
        <v>34</v>
      </c>
      <c r="AB106" s="57"/>
      <c r="AC106" s="67">
        <f>AC87</f>
        <v>2048.2200000000003</v>
      </c>
      <c r="AD106" s="68">
        <f>Residential!AD104</f>
        <v>1.9259999999999999</v>
      </c>
      <c r="AE106" s="71">
        <f>AC106*AD106</f>
        <v>3944.8717200000006</v>
      </c>
      <c r="AF106" s="70" t="s">
        <v>36</v>
      </c>
    </row>
    <row r="107" spans="1:32" x14ac:dyDescent="0.3">
      <c r="A107" s="51" t="s">
        <v>83</v>
      </c>
      <c r="B107" s="67"/>
      <c r="C107" s="67">
        <f>C88</f>
        <v>717.16</v>
      </c>
      <c r="D107" s="68">
        <f>Residential!D105</f>
        <v>1.1559999999999999</v>
      </c>
      <c r="E107" s="91">
        <f t="shared" ref="E107:E109" si="23">C107*D107</f>
        <v>829.03695999999991</v>
      </c>
      <c r="F107" s="70" t="s">
        <v>36</v>
      </c>
      <c r="H107" s="51" t="s">
        <v>83</v>
      </c>
      <c r="I107" s="11"/>
      <c r="J107" s="67">
        <f>$L$21+M21</f>
        <v>13138.92</v>
      </c>
      <c r="K107" s="68">
        <f>Residential!K105</f>
        <v>1.1559999999999999</v>
      </c>
      <c r="L107" s="71">
        <f>J107*K107</f>
        <v>15188.591519999998</v>
      </c>
      <c r="M107" s="98" t="s">
        <v>36</v>
      </c>
      <c r="N107" s="50"/>
      <c r="T107" s="51" t="s">
        <v>83</v>
      </c>
      <c r="U107" s="67"/>
      <c r="V107" s="67">
        <f>V88</f>
        <v>2895.12</v>
      </c>
      <c r="W107" s="68">
        <f>Residential!W105</f>
        <v>1.1559999999999999</v>
      </c>
      <c r="X107" s="91">
        <f t="shared" ref="X107:X109" si="24">V107*W107</f>
        <v>3346.7587199999998</v>
      </c>
      <c r="Y107" s="70" t="s">
        <v>36</v>
      </c>
      <c r="AA107" s="51" t="s">
        <v>83</v>
      </c>
      <c r="AB107" s="11"/>
      <c r="AC107" s="67">
        <f t="shared" ref="AC107:AC109" si="25">AC88</f>
        <v>1618.87</v>
      </c>
      <c r="AD107" s="68">
        <f>Residential!AD105</f>
        <v>1.1559999999999999</v>
      </c>
      <c r="AE107" s="71">
        <f>AC107*AD107</f>
        <v>1871.4137199999998</v>
      </c>
      <c r="AF107" s="70" t="s">
        <v>36</v>
      </c>
    </row>
    <row r="108" spans="1:32" x14ac:dyDescent="0.3">
      <c r="A108" s="51" t="s">
        <v>29</v>
      </c>
      <c r="B108" s="67"/>
      <c r="C108" s="67">
        <f>C89</f>
        <v>891.32</v>
      </c>
      <c r="D108" s="68">
        <f>Residential!D106</f>
        <v>0.96299999999999997</v>
      </c>
      <c r="E108" s="91">
        <f t="shared" si="23"/>
        <v>858.34116000000006</v>
      </c>
      <c r="F108" s="70" t="s">
        <v>36</v>
      </c>
      <c r="H108" s="51" t="s">
        <v>29</v>
      </c>
      <c r="I108" s="11"/>
      <c r="J108" s="67">
        <f>$N$21</f>
        <v>15288.560000000001</v>
      </c>
      <c r="K108" s="68">
        <f>Residential!K106</f>
        <v>0.96299999999999997</v>
      </c>
      <c r="L108" s="71">
        <f t="shared" ref="L108:L109" si="26">J108*K108</f>
        <v>14722.88328</v>
      </c>
      <c r="M108" s="98" t="s">
        <v>36</v>
      </c>
      <c r="N108" s="50"/>
      <c r="T108" s="51" t="s">
        <v>29</v>
      </c>
      <c r="U108" s="67"/>
      <c r="V108" s="67">
        <f>V89</f>
        <v>2861.16</v>
      </c>
      <c r="W108" s="68">
        <f>Residential!W106</f>
        <v>0.96299999999999997</v>
      </c>
      <c r="X108" s="91">
        <f t="shared" si="24"/>
        <v>2755.2970799999998</v>
      </c>
      <c r="Y108" s="70" t="s">
        <v>36</v>
      </c>
      <c r="AA108" s="51" t="s">
        <v>29</v>
      </c>
      <c r="AB108" s="11"/>
      <c r="AC108" s="67">
        <f t="shared" si="25"/>
        <v>1336.32</v>
      </c>
      <c r="AD108" s="68">
        <f>Residential!AD106</f>
        <v>0.96299999999999997</v>
      </c>
      <c r="AE108" s="71">
        <f t="shared" ref="AE108:AE109" si="27">AC108*AD108</f>
        <v>1286.8761599999998</v>
      </c>
      <c r="AF108" s="70" t="s">
        <v>36</v>
      </c>
    </row>
    <row r="109" spans="1:32" x14ac:dyDescent="0.3">
      <c r="A109" s="51" t="s">
        <v>84</v>
      </c>
      <c r="B109" s="67"/>
      <c r="C109" s="67">
        <f>C90</f>
        <v>8168.88</v>
      </c>
      <c r="D109" s="68">
        <f>Residential!D107</f>
        <v>0.67400000000000004</v>
      </c>
      <c r="E109" s="91">
        <f t="shared" si="23"/>
        <v>5505.8251200000004</v>
      </c>
      <c r="F109" s="70" t="s">
        <v>36</v>
      </c>
      <c r="H109" s="51" t="s">
        <v>84</v>
      </c>
      <c r="I109" s="11"/>
      <c r="J109" s="67">
        <f>$O$21+P21+Q21</f>
        <v>81834.399999999994</v>
      </c>
      <c r="K109" s="68">
        <f>Residential!K107</f>
        <v>0.67400000000000004</v>
      </c>
      <c r="L109" s="71">
        <f t="shared" si="26"/>
        <v>55156.385600000001</v>
      </c>
      <c r="M109" s="98" t="s">
        <v>36</v>
      </c>
      <c r="N109" s="50"/>
      <c r="T109" s="51" t="s">
        <v>84</v>
      </c>
      <c r="U109" s="67"/>
      <c r="V109" s="67">
        <f>V90</f>
        <v>11776.48</v>
      </c>
      <c r="W109" s="68">
        <f>Residential!W107</f>
        <v>0.67400000000000004</v>
      </c>
      <c r="X109" s="91">
        <f t="shared" si="24"/>
        <v>7937.3475200000003</v>
      </c>
      <c r="Y109" s="70" t="s">
        <v>36</v>
      </c>
      <c r="AA109" s="51" t="s">
        <v>84</v>
      </c>
      <c r="AB109" s="11"/>
      <c r="AC109" s="67">
        <f t="shared" si="25"/>
        <v>8603.59</v>
      </c>
      <c r="AD109" s="68">
        <f>Residential!AD107</f>
        <v>0.67400000000000004</v>
      </c>
      <c r="AE109" s="71">
        <f t="shared" si="27"/>
        <v>5798.8196600000001</v>
      </c>
      <c r="AF109" s="70" t="s">
        <v>36</v>
      </c>
    </row>
    <row r="110" spans="1:32" x14ac:dyDescent="0.3">
      <c r="A110" s="51"/>
      <c r="B110" s="67"/>
      <c r="C110" s="11"/>
      <c r="D110" s="11"/>
      <c r="E110" s="11"/>
      <c r="F110" s="50"/>
      <c r="H110" s="51"/>
      <c r="I110" s="11"/>
      <c r="J110" s="11"/>
      <c r="K110" s="11"/>
      <c r="L110" s="11"/>
      <c r="M110" s="11"/>
      <c r="N110" s="50"/>
      <c r="T110" s="51"/>
      <c r="U110" s="67"/>
      <c r="V110" s="11"/>
      <c r="W110" s="11"/>
      <c r="X110" s="11"/>
      <c r="Y110" s="50"/>
      <c r="AA110" s="51"/>
      <c r="AB110" s="11"/>
      <c r="AC110" s="11"/>
      <c r="AD110" s="11"/>
      <c r="AE110" s="11"/>
      <c r="AF110" s="50"/>
    </row>
    <row r="111" spans="1:32" x14ac:dyDescent="0.3">
      <c r="A111" s="59" t="s">
        <v>4</v>
      </c>
      <c r="B111" s="72">
        <f>SUM(B104:B110)</f>
        <v>48</v>
      </c>
      <c r="C111" s="73">
        <f>SUM(C104:C110)</f>
        <v>10546.8</v>
      </c>
      <c r="D111" s="74"/>
      <c r="E111" s="75">
        <f>SUM(E104:E110)</f>
        <v>20970.824680000002</v>
      </c>
      <c r="F111" s="76"/>
      <c r="H111" s="59" t="s">
        <v>4</v>
      </c>
      <c r="I111" s="60">
        <f>SUM(I104:I110)</f>
        <v>1046</v>
      </c>
      <c r="J111" s="60">
        <f>SUM(J104:J110)</f>
        <v>125022.56</v>
      </c>
      <c r="K111" s="74"/>
      <c r="L111" s="75">
        <f>SUM(L104:L110)</f>
        <v>240811.63008</v>
      </c>
      <c r="M111" s="99"/>
      <c r="N111" s="76"/>
      <c r="T111" s="59" t="s">
        <v>4</v>
      </c>
      <c r="U111" s="72">
        <f>SUM(U104:U110)</f>
        <v>186</v>
      </c>
      <c r="V111" s="73">
        <f>SUM(V104:V110)</f>
        <v>20386.080000000002</v>
      </c>
      <c r="W111" s="74"/>
      <c r="X111" s="75">
        <f>SUM(X104:X110)</f>
        <v>55709.437639999996</v>
      </c>
      <c r="Y111" s="76"/>
      <c r="AA111" s="59" t="s">
        <v>4</v>
      </c>
      <c r="AB111" s="73">
        <f>SUM(AB104:AB110)</f>
        <v>144</v>
      </c>
      <c r="AC111" s="73">
        <f>SUM(AC104:AC110)</f>
        <v>13607</v>
      </c>
      <c r="AD111" s="74"/>
      <c r="AE111" s="75">
        <f>SUM(AE104:AE110)</f>
        <v>24297.421259999999</v>
      </c>
      <c r="AF111" s="76"/>
    </row>
  </sheetData>
  <mergeCells count="90">
    <mergeCell ref="AA100:AF100"/>
    <mergeCell ref="AA101:AF101"/>
    <mergeCell ref="AA81:AF81"/>
    <mergeCell ref="AA82:AF82"/>
    <mergeCell ref="AA79:AF79"/>
    <mergeCell ref="AA80:AF80"/>
    <mergeCell ref="AA97:AF97"/>
    <mergeCell ref="AA98:AF98"/>
    <mergeCell ref="AA99:AF99"/>
    <mergeCell ref="AA43:AF43"/>
    <mergeCell ref="AA59:AF59"/>
    <mergeCell ref="AA60:AF60"/>
    <mergeCell ref="AA61:AF61"/>
    <mergeCell ref="AA78:AF78"/>
    <mergeCell ref="AA62:AF62"/>
    <mergeCell ref="AA63:AF63"/>
    <mergeCell ref="AA24:AF24"/>
    <mergeCell ref="AA25:AF25"/>
    <mergeCell ref="AA26:AF26"/>
    <mergeCell ref="AA41:AF41"/>
    <mergeCell ref="AA42:AF42"/>
    <mergeCell ref="T5:X5"/>
    <mergeCell ref="T6:X6"/>
    <mergeCell ref="T7:X7"/>
    <mergeCell ref="AA5:AH5"/>
    <mergeCell ref="AA6:AH6"/>
    <mergeCell ref="AA7:AH7"/>
    <mergeCell ref="T97:Y97"/>
    <mergeCell ref="T98:Y98"/>
    <mergeCell ref="T99:Y99"/>
    <mergeCell ref="T100:Y100"/>
    <mergeCell ref="T101:Y101"/>
    <mergeCell ref="T78:Y78"/>
    <mergeCell ref="T79:Y79"/>
    <mergeCell ref="T80:Y80"/>
    <mergeCell ref="T81:Y81"/>
    <mergeCell ref="T82:Y82"/>
    <mergeCell ref="A101:F101"/>
    <mergeCell ref="A98:F98"/>
    <mergeCell ref="A99:F99"/>
    <mergeCell ref="T24:Y24"/>
    <mergeCell ref="T25:Y25"/>
    <mergeCell ref="T26:Y26"/>
    <mergeCell ref="T41:Y41"/>
    <mergeCell ref="T42:Y42"/>
    <mergeCell ref="T43:Y43"/>
    <mergeCell ref="T59:Y59"/>
    <mergeCell ref="T60:Y60"/>
    <mergeCell ref="T61:Y61"/>
    <mergeCell ref="T62:Y62"/>
    <mergeCell ref="T63:Y63"/>
    <mergeCell ref="A24:F24"/>
    <mergeCell ref="A41:F41"/>
    <mergeCell ref="A25:F25"/>
    <mergeCell ref="A26:F26"/>
    <mergeCell ref="A78:F78"/>
    <mergeCell ref="A43:F43"/>
    <mergeCell ref="A100:F100"/>
    <mergeCell ref="A42:F42"/>
    <mergeCell ref="A63:F63"/>
    <mergeCell ref="A79:F79"/>
    <mergeCell ref="A80:F80"/>
    <mergeCell ref="A97:F97"/>
    <mergeCell ref="A81:F81"/>
    <mergeCell ref="A82:F82"/>
    <mergeCell ref="A61:F61"/>
    <mergeCell ref="A62:F62"/>
    <mergeCell ref="A5:F5"/>
    <mergeCell ref="H5:R5"/>
    <mergeCell ref="A6:F6"/>
    <mergeCell ref="H6:R6"/>
    <mergeCell ref="A7:F7"/>
    <mergeCell ref="H7:R7"/>
    <mergeCell ref="H43:N43"/>
    <mergeCell ref="H61:N61"/>
    <mergeCell ref="H62:N62"/>
    <mergeCell ref="A59:F59"/>
    <mergeCell ref="A60:F60"/>
    <mergeCell ref="H24:N24"/>
    <mergeCell ref="H25:N25"/>
    <mergeCell ref="H26:N26"/>
    <mergeCell ref="H41:N41"/>
    <mergeCell ref="H42:N42"/>
    <mergeCell ref="H100:N100"/>
    <mergeCell ref="H101:N101"/>
    <mergeCell ref="H63:N63"/>
    <mergeCell ref="H80:N80"/>
    <mergeCell ref="H81:N81"/>
    <mergeCell ref="H82:N82"/>
    <mergeCell ref="H99:N99"/>
  </mergeCells>
  <printOptions horizontalCentered="1"/>
  <pageMargins left="0.25" right="0.25" top="0.75" bottom="0.75" header="0.3" footer="0.3"/>
  <pageSetup scale="70" fitToWidth="3" orientation="portrait" verticalDpi="1200" r:id="rId1"/>
  <rowBreaks count="1" manualBreakCount="1">
    <brk id="59" max="16383" man="1"/>
  </rowBreaks>
  <colBreaks count="3" manualBreakCount="3">
    <brk id="7" max="1048575" man="1"/>
    <brk id="18" max="1048575" man="1"/>
    <brk id="2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2"/>
  <sheetViews>
    <sheetView topLeftCell="A3" zoomScale="80" zoomScaleNormal="80" zoomScaleSheetLayoutView="50" workbookViewId="0">
      <selection activeCell="A41" sqref="A41:F41"/>
    </sheetView>
  </sheetViews>
  <sheetFormatPr defaultRowHeight="14.4" x14ac:dyDescent="0.3"/>
  <cols>
    <col min="1" max="1" width="29.5546875" style="12" customWidth="1"/>
    <col min="2" max="2" width="8.88671875" style="12"/>
    <col min="3" max="3" width="12.44140625" style="12" customWidth="1"/>
    <col min="4" max="4" width="12.6640625" style="12" customWidth="1"/>
    <col min="5" max="5" width="15.109375" style="12" customWidth="1"/>
    <col min="6" max="6" width="14.44140625" style="12" customWidth="1"/>
    <col min="8" max="8" width="29.44140625" style="12" customWidth="1"/>
    <col min="9" max="9" width="8.88671875" style="12"/>
    <col min="10" max="10" width="13.109375" style="12" customWidth="1"/>
    <col min="11" max="11" width="12.44140625" style="12" customWidth="1"/>
    <col min="12" max="12" width="14.44140625" style="12" customWidth="1"/>
    <col min="13" max="13" width="15.109375" style="12" bestFit="1" customWidth="1"/>
    <col min="14" max="18" width="13.6640625" style="12" customWidth="1"/>
  </cols>
  <sheetData>
    <row r="1" spans="1:18" x14ac:dyDescent="0.3">
      <c r="A1" s="43" t="s">
        <v>17</v>
      </c>
      <c r="H1" s="43" t="s">
        <v>17</v>
      </c>
    </row>
    <row r="2" spans="1:18" x14ac:dyDescent="0.3">
      <c r="A2" s="43" t="s">
        <v>65</v>
      </c>
      <c r="H2" s="43" t="s">
        <v>65</v>
      </c>
    </row>
    <row r="3" spans="1:18" x14ac:dyDescent="0.3">
      <c r="A3" s="43" t="s">
        <v>71</v>
      </c>
      <c r="H3" s="43" t="s">
        <v>71</v>
      </c>
    </row>
    <row r="4" spans="1:18" x14ac:dyDescent="0.3">
      <c r="A4" s="43" t="s">
        <v>39</v>
      </c>
      <c r="H4" s="43" t="s">
        <v>39</v>
      </c>
    </row>
    <row r="5" spans="1:18" x14ac:dyDescent="0.3">
      <c r="A5" s="136" t="s">
        <v>69</v>
      </c>
      <c r="B5" s="136"/>
      <c r="C5" s="136"/>
      <c r="D5" s="136"/>
      <c r="E5" s="136"/>
      <c r="F5" s="136"/>
      <c r="H5" s="136" t="s">
        <v>76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x14ac:dyDescent="0.3">
      <c r="A6" s="136" t="s">
        <v>41</v>
      </c>
      <c r="B6" s="136"/>
      <c r="C6" s="136"/>
      <c r="D6" s="136"/>
      <c r="E6" s="136"/>
      <c r="F6" s="136"/>
      <c r="H6" s="136" t="s">
        <v>41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</row>
    <row r="7" spans="1:18" x14ac:dyDescent="0.3">
      <c r="A7" s="137" t="s">
        <v>2</v>
      </c>
      <c r="B7" s="137"/>
      <c r="C7" s="137"/>
      <c r="D7" s="137"/>
      <c r="E7" s="137"/>
      <c r="F7" s="137"/>
      <c r="H7" s="137" t="s">
        <v>2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1:18" x14ac:dyDescent="0.3">
      <c r="A8" s="44" t="s">
        <v>49</v>
      </c>
      <c r="B8" s="45"/>
      <c r="C8" s="46"/>
      <c r="D8" s="46"/>
      <c r="E8" s="46"/>
      <c r="F8" s="47"/>
      <c r="H8" s="44" t="s">
        <v>126</v>
      </c>
      <c r="I8" s="45"/>
      <c r="J8" s="46"/>
      <c r="K8" s="46"/>
      <c r="L8" s="46"/>
      <c r="M8" s="46"/>
      <c r="N8" s="46"/>
      <c r="O8" s="46"/>
      <c r="P8" s="46"/>
      <c r="Q8" s="46"/>
      <c r="R8" s="47"/>
    </row>
    <row r="9" spans="1:18" x14ac:dyDescent="0.3">
      <c r="A9" s="48" t="s">
        <v>125</v>
      </c>
      <c r="B9" s="49"/>
      <c r="C9" s="11"/>
      <c r="D9" s="11"/>
      <c r="E9" s="11"/>
      <c r="F9" s="50"/>
      <c r="H9" s="48" t="s">
        <v>125</v>
      </c>
      <c r="I9" s="49"/>
      <c r="J9" s="11"/>
      <c r="K9" s="11"/>
      <c r="L9" s="11"/>
      <c r="M9" s="11"/>
      <c r="N9" s="11"/>
      <c r="O9" s="11"/>
      <c r="P9" s="11"/>
      <c r="Q9" s="11"/>
      <c r="R9" s="50"/>
    </row>
    <row r="10" spans="1:18" x14ac:dyDescent="0.3">
      <c r="A10" s="51"/>
      <c r="B10" s="11"/>
      <c r="C10" s="11"/>
      <c r="D10" s="11"/>
      <c r="E10" s="11"/>
      <c r="F10" s="50"/>
      <c r="H10" s="51"/>
      <c r="I10" s="11"/>
      <c r="J10" s="11"/>
      <c r="K10" s="11"/>
      <c r="L10" s="11"/>
      <c r="M10" s="11"/>
      <c r="N10" s="11"/>
      <c r="O10" s="11"/>
      <c r="P10" s="11"/>
      <c r="Q10" s="11"/>
      <c r="R10" s="50"/>
    </row>
    <row r="11" spans="1:18" x14ac:dyDescent="0.3">
      <c r="A11" s="52">
        <v>-1</v>
      </c>
      <c r="B11" s="53">
        <v>-2</v>
      </c>
      <c r="C11" s="53">
        <v>-3</v>
      </c>
      <c r="D11" s="53">
        <v>-4</v>
      </c>
      <c r="E11" s="53">
        <v>-5</v>
      </c>
      <c r="F11" s="54">
        <v>-6</v>
      </c>
      <c r="H11" s="52">
        <v>-1</v>
      </c>
      <c r="I11" s="53">
        <v>-2</v>
      </c>
      <c r="J11" s="53">
        <v>-3</v>
      </c>
      <c r="K11" s="53">
        <v>-4</v>
      </c>
      <c r="L11" s="53">
        <v>-5</v>
      </c>
      <c r="M11" s="53">
        <v>-6</v>
      </c>
      <c r="N11" s="53">
        <v>-7</v>
      </c>
      <c r="O11" s="53">
        <v>-8</v>
      </c>
      <c r="P11" s="53">
        <v>-9</v>
      </c>
      <c r="Q11" s="53">
        <v>-10</v>
      </c>
      <c r="R11" s="54">
        <v>-11</v>
      </c>
    </row>
    <row r="12" spans="1:18" x14ac:dyDescent="0.3">
      <c r="A12" s="52"/>
      <c r="B12" s="53" t="s">
        <v>5</v>
      </c>
      <c r="C12" s="55" t="s">
        <v>0</v>
      </c>
      <c r="D12" s="53" t="s">
        <v>6</v>
      </c>
      <c r="E12" s="53" t="s">
        <v>3</v>
      </c>
      <c r="F12" s="54" t="s">
        <v>0</v>
      </c>
      <c r="H12" s="96"/>
      <c r="I12" s="53" t="s">
        <v>5</v>
      </c>
      <c r="J12" s="55" t="s">
        <v>0</v>
      </c>
      <c r="K12" s="53" t="s">
        <v>8</v>
      </c>
      <c r="L12" s="53" t="s">
        <v>9</v>
      </c>
      <c r="M12" s="53" t="s">
        <v>10</v>
      </c>
      <c r="N12" s="53" t="s">
        <v>11</v>
      </c>
      <c r="O12" s="53" t="s">
        <v>12</v>
      </c>
      <c r="P12" s="53" t="s">
        <v>13</v>
      </c>
      <c r="Q12" s="53" t="s">
        <v>14</v>
      </c>
      <c r="R12" s="54" t="s">
        <v>0</v>
      </c>
    </row>
    <row r="13" spans="1:18" x14ac:dyDescent="0.3">
      <c r="A13" s="51" t="s">
        <v>53</v>
      </c>
      <c r="B13" s="11"/>
      <c r="C13" s="57"/>
      <c r="D13" s="57"/>
      <c r="E13" s="57"/>
      <c r="F13" s="58">
        <f>SUM(D13:E13)</f>
        <v>0</v>
      </c>
      <c r="H13" s="51" t="s">
        <v>26</v>
      </c>
      <c r="I13" s="57"/>
      <c r="J13" s="57"/>
      <c r="K13" s="57"/>
      <c r="L13" s="57"/>
      <c r="M13" s="57"/>
      <c r="N13" s="57"/>
      <c r="O13" s="57"/>
      <c r="P13" s="57"/>
      <c r="Q13" s="57"/>
      <c r="R13" s="58">
        <f>SUM(K13:Q13)</f>
        <v>0</v>
      </c>
    </row>
    <row r="14" spans="1:18" x14ac:dyDescent="0.3">
      <c r="A14" s="51" t="s">
        <v>33</v>
      </c>
      <c r="B14" s="11">
        <v>11</v>
      </c>
      <c r="C14" s="90">
        <v>3066.8</v>
      </c>
      <c r="D14" s="57">
        <v>1370.44</v>
      </c>
      <c r="E14" s="57">
        <v>1696.36</v>
      </c>
      <c r="F14" s="58">
        <f>SUM(D14:E14)</f>
        <v>3066.8</v>
      </c>
      <c r="H14" s="51" t="s">
        <v>27</v>
      </c>
      <c r="I14" s="57"/>
      <c r="J14" s="57"/>
      <c r="K14" s="57"/>
      <c r="L14" s="57"/>
      <c r="M14" s="57"/>
      <c r="N14" s="57"/>
      <c r="O14" s="57"/>
      <c r="P14" s="57"/>
      <c r="Q14" s="57"/>
      <c r="R14" s="58">
        <f t="shared" ref="R14:R18" si="0">SUM(K14:Q14)</f>
        <v>0</v>
      </c>
    </row>
    <row r="15" spans="1:18" x14ac:dyDescent="0.3">
      <c r="A15" s="51"/>
      <c r="B15" s="11"/>
      <c r="C15" s="57"/>
      <c r="D15" s="57"/>
      <c r="E15" s="57"/>
      <c r="F15" s="58"/>
      <c r="H15" s="51" t="s">
        <v>28</v>
      </c>
      <c r="I15" s="57"/>
      <c r="J15" s="57"/>
      <c r="K15" s="57"/>
      <c r="L15" s="57"/>
      <c r="M15" s="57"/>
      <c r="N15" s="57"/>
      <c r="O15" s="57"/>
      <c r="P15" s="57"/>
      <c r="Q15" s="57"/>
      <c r="R15" s="58">
        <f t="shared" si="0"/>
        <v>0</v>
      </c>
    </row>
    <row r="16" spans="1:18" x14ac:dyDescent="0.3">
      <c r="A16" s="59" t="s">
        <v>4</v>
      </c>
      <c r="B16" s="72">
        <f>SUM(B13:B14)</f>
        <v>11</v>
      </c>
      <c r="C16" s="60">
        <f t="shared" ref="C16:D16" si="1">SUM(C13:C14)</f>
        <v>3066.8</v>
      </c>
      <c r="D16" s="60">
        <f t="shared" si="1"/>
        <v>1370.44</v>
      </c>
      <c r="E16" s="60">
        <f>SUM(E13:E14)</f>
        <v>1696.36</v>
      </c>
      <c r="F16" s="61">
        <f>SUM(F13:F14)</f>
        <v>3066.8</v>
      </c>
      <c r="H16" s="51" t="s">
        <v>29</v>
      </c>
      <c r="I16" s="57"/>
      <c r="J16" s="57"/>
      <c r="K16" s="57"/>
      <c r="L16" s="57"/>
      <c r="M16" s="57"/>
      <c r="N16" s="57"/>
      <c r="O16" s="57"/>
      <c r="P16" s="57"/>
      <c r="Q16" s="57"/>
      <c r="R16" s="58">
        <f t="shared" si="0"/>
        <v>0</v>
      </c>
    </row>
    <row r="17" spans="1:27" x14ac:dyDescent="0.3">
      <c r="H17" s="51" t="s">
        <v>30</v>
      </c>
      <c r="I17" s="57"/>
      <c r="J17" s="57"/>
      <c r="K17" s="57"/>
      <c r="L17" s="57"/>
      <c r="M17" s="57"/>
      <c r="N17" s="57"/>
      <c r="O17" s="57"/>
      <c r="P17" s="57"/>
      <c r="Q17" s="57"/>
      <c r="R17" s="58">
        <f t="shared" si="0"/>
        <v>0</v>
      </c>
    </row>
    <row r="18" spans="1:27" x14ac:dyDescent="0.3">
      <c r="H18" s="51" t="s">
        <v>31</v>
      </c>
      <c r="I18" s="57"/>
      <c r="J18" s="57"/>
      <c r="K18" s="57"/>
      <c r="L18" s="57"/>
      <c r="M18" s="57"/>
      <c r="N18" s="57"/>
      <c r="O18" s="57"/>
      <c r="P18" s="57"/>
      <c r="Q18" s="57"/>
      <c r="R18" s="58">
        <f t="shared" si="0"/>
        <v>0</v>
      </c>
    </row>
    <row r="19" spans="1:27" x14ac:dyDescent="0.3">
      <c r="H19" s="51" t="s">
        <v>32</v>
      </c>
      <c r="I19" s="57">
        <v>1</v>
      </c>
      <c r="J19" s="57">
        <v>1047.2</v>
      </c>
      <c r="K19" s="57">
        <v>20</v>
      </c>
      <c r="L19" s="57">
        <v>10</v>
      </c>
      <c r="M19" s="57">
        <v>20</v>
      </c>
      <c r="N19" s="57">
        <v>50</v>
      </c>
      <c r="O19" s="57">
        <v>100</v>
      </c>
      <c r="P19" s="57">
        <v>200</v>
      </c>
      <c r="Q19" s="57">
        <v>647.20000000000005</v>
      </c>
      <c r="R19" s="58">
        <f>SUM(K19:Q19)</f>
        <v>1047.2</v>
      </c>
    </row>
    <row r="20" spans="1:27" x14ac:dyDescent="0.3">
      <c r="H20" s="51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27" x14ac:dyDescent="0.3">
      <c r="H21" s="59" t="s">
        <v>4</v>
      </c>
      <c r="I21" s="60">
        <f t="shared" ref="I21:R21" si="2">SUM(I13:I19)</f>
        <v>1</v>
      </c>
      <c r="J21" s="60">
        <f t="shared" si="2"/>
        <v>1047.2</v>
      </c>
      <c r="K21" s="60">
        <f t="shared" si="2"/>
        <v>20</v>
      </c>
      <c r="L21" s="60">
        <f t="shared" si="2"/>
        <v>10</v>
      </c>
      <c r="M21" s="60">
        <f t="shared" si="2"/>
        <v>20</v>
      </c>
      <c r="N21" s="60">
        <f t="shared" si="2"/>
        <v>50</v>
      </c>
      <c r="O21" s="60">
        <f t="shared" si="2"/>
        <v>100</v>
      </c>
      <c r="P21" s="60">
        <f t="shared" si="2"/>
        <v>200</v>
      </c>
      <c r="Q21" s="60">
        <f t="shared" si="2"/>
        <v>647.20000000000005</v>
      </c>
      <c r="R21" s="61">
        <f t="shared" si="2"/>
        <v>1047.2</v>
      </c>
    </row>
    <row r="22" spans="1:27" x14ac:dyDescent="0.3">
      <c r="H22" s="49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27" x14ac:dyDescent="0.3">
      <c r="H23" s="49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136" t="s">
        <v>69</v>
      </c>
      <c r="B24" s="136"/>
      <c r="C24" s="136"/>
      <c r="D24" s="136"/>
      <c r="E24" s="136"/>
      <c r="F24" s="136"/>
      <c r="I24" s="135" t="s">
        <v>76</v>
      </c>
      <c r="J24" s="135"/>
      <c r="K24" s="135"/>
      <c r="L24" s="135"/>
      <c r="M24" s="135"/>
      <c r="N24" s="135"/>
      <c r="O24" s="62"/>
      <c r="P24" s="62"/>
      <c r="Q24" s="62"/>
      <c r="R24" s="62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136" t="s">
        <v>46</v>
      </c>
      <c r="B25" s="136"/>
      <c r="C25" s="136"/>
      <c r="D25" s="136"/>
      <c r="E25" s="136"/>
      <c r="F25" s="136"/>
      <c r="I25" s="136" t="s">
        <v>46</v>
      </c>
      <c r="J25" s="136"/>
      <c r="K25" s="136"/>
      <c r="L25" s="136"/>
      <c r="M25" s="136"/>
      <c r="N25" s="136"/>
      <c r="S25" s="3"/>
      <c r="T25" s="3"/>
      <c r="U25" s="3"/>
      <c r="V25" s="2"/>
      <c r="W25" s="2"/>
      <c r="X25" s="2"/>
      <c r="Y25" s="2"/>
      <c r="Z25" s="3"/>
      <c r="AA25" s="3"/>
    </row>
    <row r="26" spans="1:27" x14ac:dyDescent="0.3">
      <c r="A26" s="135" t="s">
        <v>42</v>
      </c>
      <c r="B26" s="135"/>
      <c r="C26" s="135"/>
      <c r="D26" s="135"/>
      <c r="E26" s="135"/>
      <c r="F26" s="135"/>
      <c r="I26" s="135" t="s">
        <v>42</v>
      </c>
      <c r="J26" s="135"/>
      <c r="K26" s="135"/>
      <c r="L26" s="135"/>
      <c r="M26" s="135"/>
      <c r="N26" s="135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64">
        <v>-1</v>
      </c>
      <c r="B27" s="65">
        <v>-2</v>
      </c>
      <c r="C27" s="65">
        <v>-3</v>
      </c>
      <c r="D27" s="65">
        <v>-4</v>
      </c>
      <c r="E27" s="65">
        <v>-5</v>
      </c>
      <c r="F27" s="47"/>
      <c r="H27" s="97"/>
      <c r="I27" s="46"/>
      <c r="J27" s="46"/>
      <c r="K27" s="46"/>
      <c r="L27" s="46"/>
      <c r="M27" s="46"/>
      <c r="N27" s="47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51"/>
      <c r="B28" s="83" t="s">
        <v>5</v>
      </c>
      <c r="C28" s="55" t="s">
        <v>0</v>
      </c>
      <c r="D28" s="83" t="s">
        <v>15</v>
      </c>
      <c r="E28" s="83" t="s">
        <v>16</v>
      </c>
      <c r="F28" s="10" t="s">
        <v>35</v>
      </c>
      <c r="H28" s="52">
        <v>-1</v>
      </c>
      <c r="I28" s="53">
        <v>-2</v>
      </c>
      <c r="J28" s="53">
        <v>-3</v>
      </c>
      <c r="K28" s="53">
        <v>-4</v>
      </c>
      <c r="L28" s="53">
        <v>-5</v>
      </c>
      <c r="M28" s="11"/>
      <c r="N28" s="50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51" t="s">
        <v>53</v>
      </c>
      <c r="B29" s="11">
        <f>$B$16</f>
        <v>11</v>
      </c>
      <c r="C29" s="67">
        <f>D16</f>
        <v>1370.44</v>
      </c>
      <c r="D29" s="80">
        <f>Residential!D29</f>
        <v>32.67</v>
      </c>
      <c r="E29" s="69">
        <f>B29*D29</f>
        <v>359.37</v>
      </c>
      <c r="F29" s="70" t="s">
        <v>24</v>
      </c>
      <c r="H29" s="51"/>
      <c r="I29" s="83" t="s">
        <v>5</v>
      </c>
      <c r="J29" s="66" t="s">
        <v>0</v>
      </c>
      <c r="K29" s="83" t="s">
        <v>15</v>
      </c>
      <c r="L29" s="83" t="s">
        <v>16</v>
      </c>
      <c r="M29" s="83" t="s">
        <v>35</v>
      </c>
      <c r="N29" s="50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51" t="s">
        <v>33</v>
      </c>
      <c r="B30" s="11"/>
      <c r="C30" s="67">
        <f>E16</f>
        <v>1696.36</v>
      </c>
      <c r="D30" s="68">
        <f>Residential!D30</f>
        <v>0.27200000000000002</v>
      </c>
      <c r="E30" s="91">
        <f>C30*D30</f>
        <v>461.40992</v>
      </c>
      <c r="F30" s="70" t="s">
        <v>36</v>
      </c>
      <c r="H30" s="51" t="s">
        <v>34</v>
      </c>
      <c r="I30" s="57">
        <f>$I$21</f>
        <v>1</v>
      </c>
      <c r="J30" s="67">
        <f>$K$21</f>
        <v>20</v>
      </c>
      <c r="K30" s="80">
        <f>Residential!K29</f>
        <v>27.19</v>
      </c>
      <c r="L30" s="69">
        <f>I30*K30</f>
        <v>27.19</v>
      </c>
      <c r="M30" s="98" t="s">
        <v>24</v>
      </c>
      <c r="N30" s="50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51"/>
      <c r="B31" s="11"/>
      <c r="C31" s="11"/>
      <c r="D31" s="11"/>
      <c r="E31" s="11"/>
      <c r="F31" s="50"/>
      <c r="H31" s="51" t="s">
        <v>27</v>
      </c>
      <c r="I31" s="11"/>
      <c r="J31" s="67">
        <f>$L$21</f>
        <v>10</v>
      </c>
      <c r="K31" s="68">
        <f>Residential!K30</f>
        <v>1.2350000000000001</v>
      </c>
      <c r="L31" s="69">
        <f>J31*K31</f>
        <v>12.350000000000001</v>
      </c>
      <c r="M31" s="98" t="s">
        <v>36</v>
      </c>
      <c r="N31" s="50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59" t="s">
        <v>4</v>
      </c>
      <c r="B32" s="72">
        <f>SUM(B29:B31)</f>
        <v>11</v>
      </c>
      <c r="C32" s="73">
        <f>SUM(C29:C31)</f>
        <v>3066.8</v>
      </c>
      <c r="D32" s="74"/>
      <c r="E32" s="75">
        <f>SUM(E29:E31)</f>
        <v>820.77991999999995</v>
      </c>
      <c r="F32" s="76"/>
      <c r="H32" s="51" t="s">
        <v>28</v>
      </c>
      <c r="I32" s="11"/>
      <c r="J32" s="67">
        <f>$M$21</f>
        <v>20</v>
      </c>
      <c r="K32" s="68">
        <f>Residential!K31</f>
        <v>0.97199999999999998</v>
      </c>
      <c r="L32" s="69">
        <f t="shared" ref="L32:L36" si="3">J32*K32</f>
        <v>19.439999999999998</v>
      </c>
      <c r="M32" s="98" t="s">
        <v>36</v>
      </c>
      <c r="N32" s="50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H33" s="51" t="s">
        <v>29</v>
      </c>
      <c r="I33" s="11"/>
      <c r="J33" s="67">
        <f>$N$21</f>
        <v>50</v>
      </c>
      <c r="K33" s="68">
        <f>Residential!K32</f>
        <v>0.88</v>
      </c>
      <c r="L33" s="69">
        <f t="shared" si="3"/>
        <v>44</v>
      </c>
      <c r="M33" s="98" t="s">
        <v>36</v>
      </c>
      <c r="N33" s="50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D34" s="11"/>
      <c r="E34" s="69"/>
      <c r="F34" s="11"/>
      <c r="H34" s="51" t="s">
        <v>30</v>
      </c>
      <c r="I34" s="11"/>
      <c r="J34" s="67">
        <f>$O$21</f>
        <v>100</v>
      </c>
      <c r="K34" s="68">
        <f>Residential!K33</f>
        <v>0.78700000000000003</v>
      </c>
      <c r="L34" s="69">
        <f t="shared" si="3"/>
        <v>78.7</v>
      </c>
      <c r="M34" s="98" t="s">
        <v>36</v>
      </c>
      <c r="N34" s="50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D35" s="11"/>
      <c r="E35" s="11"/>
      <c r="F35" s="11"/>
      <c r="H35" s="51" t="s">
        <v>31</v>
      </c>
      <c r="I35" s="11"/>
      <c r="J35" s="67">
        <f>$P$21</f>
        <v>200</v>
      </c>
      <c r="K35" s="68">
        <f>Residential!K34</f>
        <v>0.69399999999999995</v>
      </c>
      <c r="L35" s="69">
        <f t="shared" si="3"/>
        <v>138.79999999999998</v>
      </c>
      <c r="M35" s="98" t="s">
        <v>36</v>
      </c>
      <c r="N35" s="50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3">
      <c r="D36" s="11"/>
      <c r="E36" s="92"/>
      <c r="F36" s="11"/>
      <c r="H36" s="51" t="s">
        <v>32</v>
      </c>
      <c r="I36" s="11"/>
      <c r="J36" s="67">
        <f>$Q$21</f>
        <v>647.20000000000005</v>
      </c>
      <c r="K36" s="68">
        <f>Residential!K35</f>
        <v>0.66200000000000003</v>
      </c>
      <c r="L36" s="69">
        <f t="shared" si="3"/>
        <v>428.44640000000004</v>
      </c>
      <c r="M36" s="98" t="s">
        <v>36</v>
      </c>
      <c r="N36" s="50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3">
      <c r="D37" s="11"/>
      <c r="E37" s="93"/>
      <c r="F37" s="11"/>
      <c r="H37" s="51"/>
      <c r="I37" s="11"/>
      <c r="J37" s="11"/>
      <c r="K37" s="11"/>
      <c r="L37" s="11"/>
      <c r="M37" s="11"/>
      <c r="N37" s="50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3">
      <c r="D38" s="11"/>
      <c r="E38" s="11"/>
      <c r="F38" s="11"/>
      <c r="H38" s="59" t="s">
        <v>4</v>
      </c>
      <c r="I38" s="74">
        <f>SUM(I30:I37)</f>
        <v>1</v>
      </c>
      <c r="J38" s="73">
        <f>SUM(J30:J37)</f>
        <v>1047.2</v>
      </c>
      <c r="K38" s="74"/>
      <c r="L38" s="75">
        <f>SUM(L30:L37)</f>
        <v>748.92640000000006</v>
      </c>
      <c r="M38" s="99"/>
      <c r="N38" s="76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D39" s="11"/>
      <c r="E39" s="11"/>
      <c r="F39" s="11"/>
      <c r="S39" s="3"/>
      <c r="T39" s="3"/>
      <c r="U39" s="3"/>
      <c r="V39" s="2"/>
      <c r="W39" s="2"/>
      <c r="X39" s="2"/>
      <c r="Y39" s="2"/>
      <c r="Z39" s="3"/>
      <c r="AA39" s="3"/>
    </row>
    <row r="40" spans="1:27" x14ac:dyDescent="0.3">
      <c r="D40" s="11"/>
      <c r="E40" s="94"/>
      <c r="F40" s="11"/>
      <c r="L40" s="78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136" t="s">
        <v>69</v>
      </c>
      <c r="B41" s="136"/>
      <c r="C41" s="136"/>
      <c r="D41" s="136"/>
      <c r="E41" s="136"/>
      <c r="F41" s="136"/>
      <c r="I41" s="135" t="s">
        <v>76</v>
      </c>
      <c r="J41" s="135"/>
      <c r="K41" s="135"/>
      <c r="L41" s="135"/>
      <c r="M41" s="135"/>
      <c r="N41" s="135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136" t="s">
        <v>45</v>
      </c>
      <c r="B42" s="136"/>
      <c r="C42" s="136"/>
      <c r="D42" s="136"/>
      <c r="E42" s="136"/>
      <c r="F42" s="136"/>
      <c r="I42" s="136" t="s">
        <v>45</v>
      </c>
      <c r="J42" s="136"/>
      <c r="K42" s="136"/>
      <c r="L42" s="136"/>
      <c r="M42" s="136"/>
      <c r="N42" s="136"/>
      <c r="O42" s="62"/>
      <c r="P42" s="62"/>
      <c r="Q42" s="62"/>
      <c r="R42" s="62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135" t="s">
        <v>42</v>
      </c>
      <c r="B43" s="135"/>
      <c r="C43" s="135"/>
      <c r="D43" s="135"/>
      <c r="E43" s="135"/>
      <c r="F43" s="135"/>
      <c r="I43" s="135" t="s">
        <v>42</v>
      </c>
      <c r="J43" s="135"/>
      <c r="K43" s="135"/>
      <c r="L43" s="135"/>
      <c r="M43" s="135"/>
      <c r="N43" s="135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64">
        <v>-1</v>
      </c>
      <c r="B44" s="65">
        <v>-2</v>
      </c>
      <c r="C44" s="65">
        <v>-3</v>
      </c>
      <c r="D44" s="65">
        <v>-4</v>
      </c>
      <c r="E44" s="65">
        <v>-5</v>
      </c>
      <c r="F44" s="47"/>
      <c r="H44" s="97"/>
      <c r="I44" s="46"/>
      <c r="J44" s="46"/>
      <c r="K44" s="46"/>
      <c r="L44" s="46"/>
      <c r="M44" s="46"/>
      <c r="N44" s="47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51"/>
      <c r="B45" s="83" t="s">
        <v>5</v>
      </c>
      <c r="C45" s="55" t="s">
        <v>0</v>
      </c>
      <c r="D45" s="83" t="s">
        <v>15</v>
      </c>
      <c r="E45" s="83" t="s">
        <v>16</v>
      </c>
      <c r="F45" s="10" t="s">
        <v>35</v>
      </c>
      <c r="H45" s="52">
        <v>-1</v>
      </c>
      <c r="I45" s="53">
        <v>-2</v>
      </c>
      <c r="J45" s="53" t="s">
        <v>0</v>
      </c>
      <c r="K45" s="53">
        <v>-4</v>
      </c>
      <c r="L45" s="53">
        <v>-5</v>
      </c>
      <c r="M45" s="11"/>
      <c r="N45" s="50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51" t="s">
        <v>85</v>
      </c>
      <c r="B46" s="67"/>
      <c r="C46" s="67"/>
      <c r="D46" s="80">
        <f>Residential!D46</f>
        <v>34.33</v>
      </c>
      <c r="E46" s="69">
        <f>B46*D46</f>
        <v>0</v>
      </c>
      <c r="F46" s="70" t="s">
        <v>24</v>
      </c>
      <c r="H46" s="51"/>
      <c r="I46" s="83" t="s">
        <v>5</v>
      </c>
      <c r="J46" s="83" t="s">
        <v>25</v>
      </c>
      <c r="K46" s="83" t="s">
        <v>15</v>
      </c>
      <c r="L46" s="83" t="s">
        <v>16</v>
      </c>
      <c r="M46" s="83" t="s">
        <v>35</v>
      </c>
      <c r="N46" s="50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51" t="s">
        <v>89</v>
      </c>
      <c r="B47" s="67">
        <f>B32</f>
        <v>11</v>
      </c>
      <c r="C47" s="67"/>
      <c r="D47" s="80">
        <f>Residential!D47</f>
        <v>66.19</v>
      </c>
      <c r="E47" s="71">
        <f>B47*D47</f>
        <v>728.08999999999992</v>
      </c>
      <c r="F47" s="70" t="s">
        <v>24</v>
      </c>
      <c r="H47" s="51" t="s">
        <v>85</v>
      </c>
      <c r="I47" s="57"/>
      <c r="J47" s="83"/>
      <c r="K47" s="80">
        <f>Residential!K46</f>
        <v>30.17</v>
      </c>
      <c r="L47" s="69">
        <f>I47*K47</f>
        <v>0</v>
      </c>
      <c r="M47" s="98" t="s">
        <v>24</v>
      </c>
      <c r="N47" s="50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51" t="s">
        <v>34</v>
      </c>
      <c r="B48" s="67"/>
      <c r="C48" s="67">
        <v>33</v>
      </c>
      <c r="D48" s="68">
        <f>Residential!D48</f>
        <v>0.28899999999999998</v>
      </c>
      <c r="E48" s="91">
        <f>C48*D48</f>
        <v>9.536999999999999</v>
      </c>
      <c r="F48" s="70" t="s">
        <v>36</v>
      </c>
      <c r="H48" s="51" t="s">
        <v>89</v>
      </c>
      <c r="I48" s="57"/>
      <c r="J48" s="83"/>
      <c r="K48" s="80">
        <f>Residential!K47</f>
        <v>68.400000000000006</v>
      </c>
      <c r="L48" s="71">
        <f>I48*K48</f>
        <v>0</v>
      </c>
      <c r="M48" s="98" t="s">
        <v>24</v>
      </c>
      <c r="N48" s="50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51" t="s">
        <v>83</v>
      </c>
      <c r="B49" s="67"/>
      <c r="C49" s="67">
        <v>302.44</v>
      </c>
      <c r="D49" s="68">
        <f>Residential!D49</f>
        <v>0.17299999999999999</v>
      </c>
      <c r="E49" s="91">
        <f t="shared" ref="E49:E51" si="4">C49*D49</f>
        <v>52.322119999999998</v>
      </c>
      <c r="F49" s="70" t="s">
        <v>36</v>
      </c>
      <c r="H49" s="51" t="s">
        <v>34</v>
      </c>
      <c r="I49" s="57"/>
      <c r="J49" s="67"/>
      <c r="K49" s="68">
        <f>Residential!K48</f>
        <v>0.34699999999999998</v>
      </c>
      <c r="L49" s="71">
        <f>J49*K49</f>
        <v>0</v>
      </c>
      <c r="M49" s="98" t="s">
        <v>36</v>
      </c>
      <c r="N49" s="50"/>
    </row>
    <row r="50" spans="1:27" x14ac:dyDescent="0.3">
      <c r="A50" s="51" t="s">
        <v>29</v>
      </c>
      <c r="B50" s="67"/>
      <c r="C50" s="67">
        <v>500</v>
      </c>
      <c r="D50" s="68">
        <f>Residential!D50</f>
        <v>0.14399999999999999</v>
      </c>
      <c r="E50" s="91">
        <f t="shared" si="4"/>
        <v>72</v>
      </c>
      <c r="F50" s="70" t="s">
        <v>36</v>
      </c>
      <c r="H50" s="51" t="s">
        <v>27</v>
      </c>
      <c r="I50" s="11"/>
      <c r="J50" s="67"/>
      <c r="K50" s="68">
        <f>Residential!K49</f>
        <v>1.2210000000000001</v>
      </c>
      <c r="L50" s="71">
        <f>J50*K50</f>
        <v>0</v>
      </c>
      <c r="M50" s="98" t="s">
        <v>36</v>
      </c>
      <c r="N50" s="50"/>
    </row>
    <row r="51" spans="1:27" x14ac:dyDescent="0.3">
      <c r="A51" s="51" t="s">
        <v>84</v>
      </c>
      <c r="B51" s="67"/>
      <c r="C51" s="67">
        <v>2231.36</v>
      </c>
      <c r="D51" s="68">
        <f>Residential!D51</f>
        <v>0.33200000000000002</v>
      </c>
      <c r="E51" s="91">
        <f t="shared" si="4"/>
        <v>740.81152000000009</v>
      </c>
      <c r="F51" s="70" t="s">
        <v>36</v>
      </c>
      <c r="H51" s="51" t="s">
        <v>28</v>
      </c>
      <c r="I51" s="11"/>
      <c r="J51" s="67"/>
      <c r="K51" s="68">
        <f>Residential!K50</f>
        <v>1.0049999999999999</v>
      </c>
      <c r="L51" s="71">
        <f t="shared" ref="L51:L55" si="5">J51*K51</f>
        <v>0</v>
      </c>
      <c r="M51" s="98" t="s">
        <v>36</v>
      </c>
      <c r="N51" s="50"/>
    </row>
    <row r="52" spans="1:27" x14ac:dyDescent="0.3">
      <c r="A52" s="51"/>
      <c r="B52" s="67"/>
      <c r="C52" s="11"/>
      <c r="D52" s="11"/>
      <c r="E52" s="11"/>
      <c r="F52" s="50"/>
      <c r="H52" s="51" t="s">
        <v>29</v>
      </c>
      <c r="I52" s="11"/>
      <c r="J52" s="67"/>
      <c r="K52" s="68">
        <f>Residential!K51</f>
        <v>0.89500000000000002</v>
      </c>
      <c r="L52" s="71">
        <f t="shared" si="5"/>
        <v>0</v>
      </c>
      <c r="M52" s="98" t="s">
        <v>36</v>
      </c>
      <c r="N52" s="50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59" t="s">
        <v>4</v>
      </c>
      <c r="B53" s="72">
        <f>SUM(B46:B52)</f>
        <v>11</v>
      </c>
      <c r="C53" s="73">
        <f>SUM(C46:C52)</f>
        <v>3066.8</v>
      </c>
      <c r="D53" s="74"/>
      <c r="E53" s="75">
        <f>SUM(E46:E52)</f>
        <v>1602.76064</v>
      </c>
      <c r="F53" s="76"/>
      <c r="H53" s="51" t="s">
        <v>30</v>
      </c>
      <c r="I53" s="11"/>
      <c r="J53" s="67"/>
      <c r="K53" s="68">
        <f>Residential!K52</f>
        <v>0.76700000000000002</v>
      </c>
      <c r="L53" s="71">
        <f t="shared" si="5"/>
        <v>0</v>
      </c>
      <c r="M53" s="98" t="s">
        <v>36</v>
      </c>
      <c r="N53" s="50"/>
      <c r="S53" s="3"/>
      <c r="T53" s="3"/>
      <c r="U53" s="3"/>
      <c r="V53" s="2"/>
      <c r="W53" s="2"/>
      <c r="X53" s="2"/>
      <c r="Y53" s="2"/>
      <c r="Z53" s="3"/>
      <c r="AA53" s="3"/>
    </row>
    <row r="54" spans="1:27" x14ac:dyDescent="0.3">
      <c r="D54" s="11"/>
      <c r="E54" s="92"/>
      <c r="F54" s="11"/>
      <c r="H54" s="51" t="s">
        <v>31</v>
      </c>
      <c r="I54" s="11"/>
      <c r="J54" s="67"/>
      <c r="K54" s="68">
        <f>Residential!K53</f>
        <v>0.69</v>
      </c>
      <c r="L54" s="71">
        <f t="shared" si="5"/>
        <v>0</v>
      </c>
      <c r="M54" s="98" t="s">
        <v>36</v>
      </c>
      <c r="N54" s="50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D55" s="11"/>
      <c r="E55" s="93"/>
      <c r="F55" s="11"/>
      <c r="H55" s="51" t="s">
        <v>32</v>
      </c>
      <c r="I55" s="11"/>
      <c r="J55" s="67"/>
      <c r="K55" s="68">
        <f>Residential!K54</f>
        <v>0.66400000000000003</v>
      </c>
      <c r="L55" s="71">
        <f t="shared" si="5"/>
        <v>0</v>
      </c>
      <c r="M55" s="98" t="s">
        <v>36</v>
      </c>
      <c r="N55" s="50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H56" s="51"/>
      <c r="I56" s="11"/>
      <c r="J56" s="11"/>
      <c r="K56" s="11"/>
      <c r="L56" s="11"/>
      <c r="M56" s="11"/>
      <c r="N56" s="50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H57" s="51"/>
      <c r="I57" s="11"/>
      <c r="J57" s="11"/>
      <c r="K57" s="11"/>
      <c r="L57" s="11"/>
      <c r="M57" s="11"/>
      <c r="N57" s="50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H58" s="59" t="s">
        <v>4</v>
      </c>
      <c r="I58" s="60">
        <f>SUM(I47:I56)</f>
        <v>0</v>
      </c>
      <c r="J58" s="60">
        <f>SUM(J47:J56)</f>
        <v>0</v>
      </c>
      <c r="K58" s="74"/>
      <c r="L58" s="75">
        <f>SUM(L47:L56)</f>
        <v>0</v>
      </c>
      <c r="M58" s="99"/>
      <c r="N58" s="76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136"/>
      <c r="B59" s="136"/>
      <c r="C59" s="136"/>
      <c r="D59" s="136"/>
      <c r="E59" s="136"/>
      <c r="F59" s="136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136"/>
      <c r="B60" s="136"/>
      <c r="C60" s="136"/>
      <c r="D60" s="136"/>
      <c r="E60" s="136"/>
      <c r="F60" s="136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136" t="s">
        <v>69</v>
      </c>
      <c r="B61" s="136"/>
      <c r="C61" s="136"/>
      <c r="D61" s="136"/>
      <c r="E61" s="136"/>
      <c r="F61" s="136"/>
      <c r="I61" s="135" t="s">
        <v>76</v>
      </c>
      <c r="J61" s="135"/>
      <c r="K61" s="135"/>
      <c r="L61" s="135"/>
      <c r="M61" s="135"/>
      <c r="N61" s="135"/>
      <c r="O61" s="62"/>
      <c r="P61" s="62"/>
      <c r="Q61" s="62"/>
      <c r="R61" s="62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136" t="s">
        <v>47</v>
      </c>
      <c r="B62" s="136"/>
      <c r="C62" s="136"/>
      <c r="D62" s="136"/>
      <c r="E62" s="136"/>
      <c r="F62" s="136"/>
      <c r="I62" s="136" t="s">
        <v>47</v>
      </c>
      <c r="J62" s="136"/>
      <c r="K62" s="136"/>
      <c r="L62" s="136"/>
      <c r="M62" s="136"/>
      <c r="N62" s="136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137" t="s">
        <v>42</v>
      </c>
      <c r="B63" s="137"/>
      <c r="C63" s="137"/>
      <c r="D63" s="137"/>
      <c r="E63" s="137"/>
      <c r="F63" s="137"/>
      <c r="I63" s="135" t="s">
        <v>42</v>
      </c>
      <c r="J63" s="135"/>
      <c r="K63" s="135"/>
      <c r="L63" s="135"/>
      <c r="M63" s="135"/>
      <c r="N63" s="135"/>
    </row>
    <row r="64" spans="1:27" x14ac:dyDescent="0.3">
      <c r="A64" s="64">
        <v>-1</v>
      </c>
      <c r="B64" s="65">
        <v>-2</v>
      </c>
      <c r="C64" s="65">
        <v>-3</v>
      </c>
      <c r="D64" s="65">
        <v>-4</v>
      </c>
      <c r="E64" s="65">
        <v>-5</v>
      </c>
      <c r="F64" s="47"/>
      <c r="H64" s="97"/>
      <c r="I64" s="46"/>
      <c r="J64" s="46"/>
      <c r="K64" s="46"/>
      <c r="L64" s="46"/>
      <c r="M64" s="46"/>
      <c r="N64" s="47"/>
    </row>
    <row r="65" spans="1:14" x14ac:dyDescent="0.3">
      <c r="A65" s="51"/>
      <c r="B65" s="83" t="s">
        <v>5</v>
      </c>
      <c r="C65" s="55" t="s">
        <v>0</v>
      </c>
      <c r="D65" s="83" t="s">
        <v>15</v>
      </c>
      <c r="E65" s="83" t="s">
        <v>16</v>
      </c>
      <c r="F65" s="10" t="s">
        <v>35</v>
      </c>
      <c r="H65" s="52">
        <v>-1</v>
      </c>
      <c r="I65" s="53">
        <v>-2</v>
      </c>
      <c r="J65" s="53">
        <v>-3</v>
      </c>
      <c r="K65" s="53">
        <v>-4</v>
      </c>
      <c r="L65" s="53">
        <v>-5</v>
      </c>
      <c r="M65" s="11"/>
      <c r="N65" s="50"/>
    </row>
    <row r="66" spans="1:14" x14ac:dyDescent="0.3">
      <c r="A66" s="51" t="s">
        <v>85</v>
      </c>
      <c r="B66" s="67"/>
      <c r="C66" s="67"/>
      <c r="D66" s="80">
        <f>Residential!D64</f>
        <v>36.54</v>
      </c>
      <c r="E66" s="69">
        <f>B66*D66</f>
        <v>0</v>
      </c>
      <c r="F66" s="70" t="s">
        <v>24</v>
      </c>
      <c r="H66" s="51"/>
      <c r="I66" s="83" t="s">
        <v>5</v>
      </c>
      <c r="J66" s="83" t="s">
        <v>0</v>
      </c>
      <c r="K66" s="83" t="s">
        <v>15</v>
      </c>
      <c r="L66" s="83" t="s">
        <v>16</v>
      </c>
      <c r="M66" s="83" t="s">
        <v>35</v>
      </c>
      <c r="N66" s="50"/>
    </row>
    <row r="67" spans="1:14" x14ac:dyDescent="0.3">
      <c r="A67" s="51" t="s">
        <v>89</v>
      </c>
      <c r="B67" s="67">
        <f>B53</f>
        <v>11</v>
      </c>
      <c r="C67" s="67"/>
      <c r="D67" s="80">
        <f>Residential!D65</f>
        <v>110.89</v>
      </c>
      <c r="E67" s="71">
        <f>B67*D67</f>
        <v>1219.79</v>
      </c>
      <c r="F67" s="70" t="s">
        <v>24</v>
      </c>
      <c r="H67" s="51" t="s">
        <v>85</v>
      </c>
      <c r="I67" s="103"/>
      <c r="J67" s="83"/>
      <c r="K67" s="80">
        <f>Residential!K64</f>
        <v>33.81</v>
      </c>
      <c r="L67" s="69">
        <f>I67*K67</f>
        <v>0</v>
      </c>
      <c r="M67" s="98" t="s">
        <v>24</v>
      </c>
      <c r="N67" s="50"/>
    </row>
    <row r="68" spans="1:14" x14ac:dyDescent="0.3">
      <c r="A68" s="51" t="s">
        <v>34</v>
      </c>
      <c r="B68" s="67"/>
      <c r="C68" s="67">
        <f>C48</f>
        <v>33</v>
      </c>
      <c r="D68" s="68">
        <f>Residential!D66</f>
        <v>0.67400000000000004</v>
      </c>
      <c r="E68" s="91">
        <f>C68*D68</f>
        <v>22.242000000000001</v>
      </c>
      <c r="F68" s="70" t="s">
        <v>36</v>
      </c>
      <c r="H68" s="51" t="s">
        <v>89</v>
      </c>
      <c r="I68" s="103"/>
      <c r="J68" s="83"/>
      <c r="K68" s="80">
        <f>Residential!K65</f>
        <v>118.78</v>
      </c>
      <c r="L68" s="71">
        <f>I68*K68</f>
        <v>0</v>
      </c>
      <c r="M68" s="98" t="s">
        <v>24</v>
      </c>
      <c r="N68" s="50"/>
    </row>
    <row r="69" spans="1:14" x14ac:dyDescent="0.3">
      <c r="A69" s="51" t="s">
        <v>83</v>
      </c>
      <c r="B69" s="67"/>
      <c r="C69" s="67">
        <f>C49</f>
        <v>302.44</v>
      </c>
      <c r="D69" s="68">
        <f>Residential!D67</f>
        <v>0.40500000000000003</v>
      </c>
      <c r="E69" s="91">
        <f t="shared" ref="E69:E71" si="6">C69*D69</f>
        <v>122.48820000000001</v>
      </c>
      <c r="F69" s="70" t="s">
        <v>36</v>
      </c>
      <c r="H69" s="51" t="s">
        <v>34</v>
      </c>
      <c r="I69" s="57"/>
      <c r="J69" s="67"/>
      <c r="K69" s="68">
        <f>Residential!K66</f>
        <v>0.77</v>
      </c>
      <c r="L69" s="71">
        <f>J69*K69</f>
        <v>0</v>
      </c>
      <c r="M69" s="98" t="s">
        <v>36</v>
      </c>
      <c r="N69" s="50"/>
    </row>
    <row r="70" spans="1:14" x14ac:dyDescent="0.3">
      <c r="A70" s="51" t="s">
        <v>29</v>
      </c>
      <c r="B70" s="67"/>
      <c r="C70" s="67">
        <f>C50</f>
        <v>500</v>
      </c>
      <c r="D70" s="68">
        <f>Residential!D68</f>
        <v>0.33700000000000002</v>
      </c>
      <c r="E70" s="91">
        <f t="shared" si="6"/>
        <v>168.5</v>
      </c>
      <c r="F70" s="70" t="s">
        <v>36</v>
      </c>
      <c r="H70" s="51" t="s">
        <v>27</v>
      </c>
      <c r="I70" s="11"/>
      <c r="J70" s="67"/>
      <c r="K70" s="68">
        <f>Residential!K67</f>
        <v>1.2030000000000001</v>
      </c>
      <c r="L70" s="71">
        <f>J70*K70</f>
        <v>0</v>
      </c>
      <c r="M70" s="98" t="s">
        <v>36</v>
      </c>
      <c r="N70" s="50"/>
    </row>
    <row r="71" spans="1:14" x14ac:dyDescent="0.3">
      <c r="A71" s="51" t="s">
        <v>84</v>
      </c>
      <c r="B71" s="67"/>
      <c r="C71" s="67">
        <f>C51</f>
        <v>2231.36</v>
      </c>
      <c r="D71" s="68">
        <f>Residential!D69</f>
        <v>0.41299999999999998</v>
      </c>
      <c r="E71" s="91">
        <f t="shared" si="6"/>
        <v>921.55168000000003</v>
      </c>
      <c r="F71" s="70" t="s">
        <v>36</v>
      </c>
      <c r="H71" s="51" t="s">
        <v>28</v>
      </c>
      <c r="I71" s="11"/>
      <c r="J71" s="67"/>
      <c r="K71" s="68">
        <f>Residential!K68</f>
        <v>1.046</v>
      </c>
      <c r="L71" s="71">
        <f t="shared" ref="L71:L75" si="7">J71*K71</f>
        <v>0</v>
      </c>
      <c r="M71" s="98" t="s">
        <v>36</v>
      </c>
      <c r="N71" s="50"/>
    </row>
    <row r="72" spans="1:14" x14ac:dyDescent="0.3">
      <c r="A72" s="51"/>
      <c r="B72" s="67"/>
      <c r="C72" s="11"/>
      <c r="D72" s="11"/>
      <c r="E72" s="11"/>
      <c r="F72" s="50"/>
      <c r="H72" s="51" t="s">
        <v>29</v>
      </c>
      <c r="I72" s="11"/>
      <c r="J72" s="67"/>
      <c r="K72" s="68">
        <f>Residential!K69</f>
        <v>0.91300000000000003</v>
      </c>
      <c r="L72" s="71">
        <f t="shared" si="7"/>
        <v>0</v>
      </c>
      <c r="M72" s="98" t="s">
        <v>36</v>
      </c>
      <c r="N72" s="50"/>
    </row>
    <row r="73" spans="1:14" x14ac:dyDescent="0.3">
      <c r="A73" s="59" t="s">
        <v>4</v>
      </c>
      <c r="B73" s="72">
        <f>SUM(B66:B72)</f>
        <v>11</v>
      </c>
      <c r="C73" s="73">
        <f>SUM(C66:C72)</f>
        <v>3066.8</v>
      </c>
      <c r="D73" s="74"/>
      <c r="E73" s="75">
        <f>SUM(E66:E72)</f>
        <v>2454.57188</v>
      </c>
      <c r="F73" s="76"/>
      <c r="H73" s="51" t="s">
        <v>30</v>
      </c>
      <c r="I73" s="11"/>
      <c r="J73" s="67"/>
      <c r="K73" s="68">
        <f>Residential!K70</f>
        <v>0.74199999999999999</v>
      </c>
      <c r="L73" s="71">
        <f t="shared" si="7"/>
        <v>0</v>
      </c>
      <c r="M73" s="98" t="s">
        <v>36</v>
      </c>
      <c r="N73" s="50"/>
    </row>
    <row r="74" spans="1:14" x14ac:dyDescent="0.3">
      <c r="D74" s="11"/>
      <c r="E74" s="11"/>
      <c r="F74" s="11"/>
      <c r="H74" s="51" t="s">
        <v>31</v>
      </c>
      <c r="I74" s="11"/>
      <c r="J74" s="67"/>
      <c r="K74" s="68">
        <f>Residential!K71</f>
        <v>0.68600000000000005</v>
      </c>
      <c r="L74" s="71">
        <f t="shared" si="7"/>
        <v>0</v>
      </c>
      <c r="M74" s="98" t="s">
        <v>36</v>
      </c>
      <c r="N74" s="50"/>
    </row>
    <row r="75" spans="1:14" x14ac:dyDescent="0.3">
      <c r="D75" s="11"/>
      <c r="E75" s="92"/>
      <c r="F75" s="11"/>
      <c r="H75" s="51" t="s">
        <v>32</v>
      </c>
      <c r="I75" s="11"/>
      <c r="J75" s="67"/>
      <c r="K75" s="68">
        <f>Residential!K72</f>
        <v>0.66700000000000004</v>
      </c>
      <c r="L75" s="71">
        <f t="shared" si="7"/>
        <v>0</v>
      </c>
      <c r="M75" s="98" t="s">
        <v>36</v>
      </c>
      <c r="N75" s="50"/>
    </row>
    <row r="76" spans="1:14" x14ac:dyDescent="0.3">
      <c r="D76" s="11"/>
      <c r="E76" s="93"/>
      <c r="F76" s="11"/>
      <c r="H76" s="51"/>
      <c r="I76" s="11"/>
      <c r="J76" s="11"/>
      <c r="K76" s="11"/>
      <c r="L76" s="11"/>
      <c r="M76" s="11"/>
      <c r="N76" s="50"/>
    </row>
    <row r="77" spans="1:14" x14ac:dyDescent="0.3">
      <c r="H77" s="59" t="s">
        <v>4</v>
      </c>
      <c r="I77" s="60">
        <f>SUM(I67:I76)</f>
        <v>0</v>
      </c>
      <c r="J77" s="60">
        <f>SUM(J67:J76)</f>
        <v>0</v>
      </c>
      <c r="K77" s="74"/>
      <c r="L77" s="75">
        <f>SUM(L67:L76)</f>
        <v>0</v>
      </c>
      <c r="M77" s="99"/>
      <c r="N77" s="76"/>
    </row>
    <row r="78" spans="1:14" x14ac:dyDescent="0.3">
      <c r="A78" s="136"/>
      <c r="B78" s="136"/>
      <c r="C78" s="136"/>
      <c r="D78" s="136"/>
      <c r="E78" s="136"/>
      <c r="F78" s="136"/>
    </row>
    <row r="79" spans="1:14" x14ac:dyDescent="0.3">
      <c r="A79" s="136"/>
      <c r="B79" s="136"/>
      <c r="C79" s="136"/>
      <c r="D79" s="136"/>
      <c r="E79" s="136"/>
      <c r="F79" s="136"/>
    </row>
    <row r="80" spans="1:14" x14ac:dyDescent="0.3">
      <c r="A80" s="136" t="s">
        <v>69</v>
      </c>
      <c r="B80" s="136"/>
      <c r="C80" s="136"/>
      <c r="D80" s="136"/>
      <c r="E80" s="136"/>
      <c r="F80" s="136"/>
      <c r="I80" s="135" t="s">
        <v>76</v>
      </c>
      <c r="J80" s="135"/>
      <c r="K80" s="135"/>
      <c r="L80" s="135"/>
      <c r="M80" s="135"/>
      <c r="N80" s="135"/>
    </row>
    <row r="81" spans="1:14" x14ac:dyDescent="0.3">
      <c r="A81" s="136" t="s">
        <v>73</v>
      </c>
      <c r="B81" s="136"/>
      <c r="C81" s="136"/>
      <c r="D81" s="136"/>
      <c r="E81" s="136"/>
      <c r="F81" s="136"/>
      <c r="I81" s="136" t="s">
        <v>73</v>
      </c>
      <c r="J81" s="136"/>
      <c r="K81" s="136"/>
      <c r="L81" s="136"/>
      <c r="M81" s="136"/>
      <c r="N81" s="136"/>
    </row>
    <row r="82" spans="1:14" x14ac:dyDescent="0.3">
      <c r="A82" s="137" t="s">
        <v>42</v>
      </c>
      <c r="B82" s="137"/>
      <c r="C82" s="137"/>
      <c r="D82" s="137"/>
      <c r="E82" s="137"/>
      <c r="F82" s="137"/>
      <c r="I82" s="135" t="s">
        <v>42</v>
      </c>
      <c r="J82" s="135"/>
      <c r="K82" s="135"/>
      <c r="L82" s="135"/>
      <c r="M82" s="135"/>
      <c r="N82" s="135"/>
    </row>
    <row r="83" spans="1:14" x14ac:dyDescent="0.3">
      <c r="A83" s="64">
        <v>-1</v>
      </c>
      <c r="B83" s="65">
        <v>-2</v>
      </c>
      <c r="C83" s="65">
        <v>-3</v>
      </c>
      <c r="D83" s="65">
        <v>-4</v>
      </c>
      <c r="E83" s="65">
        <v>-5</v>
      </c>
      <c r="F83" s="47"/>
      <c r="H83" s="97"/>
      <c r="I83" s="46"/>
      <c r="J83" s="46"/>
      <c r="K83" s="46"/>
      <c r="L83" s="46"/>
      <c r="M83" s="46"/>
      <c r="N83" s="47"/>
    </row>
    <row r="84" spans="1:14" x14ac:dyDescent="0.3">
      <c r="A84" s="51"/>
      <c r="B84" s="83" t="s">
        <v>5</v>
      </c>
      <c r="C84" s="55" t="s">
        <v>0</v>
      </c>
      <c r="D84" s="83" t="s">
        <v>15</v>
      </c>
      <c r="E84" s="83" t="s">
        <v>16</v>
      </c>
      <c r="F84" s="10" t="s">
        <v>35</v>
      </c>
      <c r="H84" s="52">
        <v>-1</v>
      </c>
      <c r="I84" s="53">
        <v>-2</v>
      </c>
      <c r="J84" s="53">
        <v>-3</v>
      </c>
      <c r="K84" s="53">
        <v>-4</v>
      </c>
      <c r="L84" s="53">
        <v>-5</v>
      </c>
      <c r="M84" s="11"/>
      <c r="N84" s="50"/>
    </row>
    <row r="85" spans="1:14" x14ac:dyDescent="0.3">
      <c r="A85" s="51" t="s">
        <v>85</v>
      </c>
      <c r="B85" s="67"/>
      <c r="C85" s="67"/>
      <c r="D85" s="80">
        <f>Residential!D83</f>
        <v>39.64</v>
      </c>
      <c r="E85" s="69">
        <f>B85*D85</f>
        <v>0</v>
      </c>
      <c r="F85" s="70" t="s">
        <v>24</v>
      </c>
      <c r="H85" s="51"/>
      <c r="I85" s="83" t="s">
        <v>5</v>
      </c>
      <c r="J85" s="83" t="s">
        <v>0</v>
      </c>
      <c r="K85" s="83" t="s">
        <v>15</v>
      </c>
      <c r="L85" s="83" t="s">
        <v>16</v>
      </c>
      <c r="M85" s="83" t="s">
        <v>35</v>
      </c>
      <c r="N85" s="50"/>
    </row>
    <row r="86" spans="1:14" x14ac:dyDescent="0.3">
      <c r="A86" s="51" t="s">
        <v>89</v>
      </c>
      <c r="B86" s="67">
        <f>B73</f>
        <v>11</v>
      </c>
      <c r="C86" s="67"/>
      <c r="D86" s="80">
        <f>Residential!D84</f>
        <v>173.47</v>
      </c>
      <c r="E86" s="71">
        <f>B86*D86</f>
        <v>1908.17</v>
      </c>
      <c r="F86" s="70" t="s">
        <v>24</v>
      </c>
      <c r="H86" s="51" t="s">
        <v>85</v>
      </c>
      <c r="I86" s="103"/>
      <c r="J86" s="83"/>
      <c r="K86" s="80">
        <f>Residential!K83</f>
        <v>38.22</v>
      </c>
      <c r="L86" s="69">
        <f>I86*K86</f>
        <v>0</v>
      </c>
      <c r="M86" s="98" t="s">
        <v>24</v>
      </c>
      <c r="N86" s="50"/>
    </row>
    <row r="87" spans="1:14" x14ac:dyDescent="0.3">
      <c r="A87" s="51" t="s">
        <v>34</v>
      </c>
      <c r="B87" s="67"/>
      <c r="C87" s="67">
        <f>C68</f>
        <v>33</v>
      </c>
      <c r="D87" s="68">
        <f>Residential!D85</f>
        <v>1.2130000000000001</v>
      </c>
      <c r="E87" s="91">
        <f>C87*D87</f>
        <v>40.029000000000003</v>
      </c>
      <c r="F87" s="70" t="s">
        <v>36</v>
      </c>
      <c r="H87" s="51" t="s">
        <v>89</v>
      </c>
      <c r="I87" s="103"/>
      <c r="J87" s="83"/>
      <c r="K87" s="80">
        <f>Residential!K84</f>
        <v>179.91</v>
      </c>
      <c r="L87" s="71">
        <f>I87*K87</f>
        <v>0</v>
      </c>
      <c r="M87" s="98" t="s">
        <v>24</v>
      </c>
      <c r="N87" s="50"/>
    </row>
    <row r="88" spans="1:14" x14ac:dyDescent="0.3">
      <c r="A88" s="51" t="s">
        <v>83</v>
      </c>
      <c r="B88" s="67"/>
      <c r="C88" s="67">
        <f>C69</f>
        <v>302.44</v>
      </c>
      <c r="D88" s="68">
        <f>Residential!D86</f>
        <v>0.72799999999999998</v>
      </c>
      <c r="E88" s="91">
        <f t="shared" ref="E88:E90" si="8">C88*D88</f>
        <v>220.17632</v>
      </c>
      <c r="F88" s="70" t="s">
        <v>36</v>
      </c>
      <c r="H88" s="51" t="s">
        <v>26</v>
      </c>
      <c r="I88" s="57"/>
      <c r="J88" s="67"/>
      <c r="K88" s="68">
        <f>Residential!K85</f>
        <v>1.2849999999999999</v>
      </c>
      <c r="L88" s="71">
        <f>J88*K88</f>
        <v>0</v>
      </c>
      <c r="M88" s="98" t="s">
        <v>36</v>
      </c>
      <c r="N88" s="50"/>
    </row>
    <row r="89" spans="1:14" x14ac:dyDescent="0.3">
      <c r="A89" s="51" t="s">
        <v>29</v>
      </c>
      <c r="B89" s="67"/>
      <c r="C89" s="67">
        <f>C70</f>
        <v>500</v>
      </c>
      <c r="D89" s="68">
        <f>Residential!D87</f>
        <v>0.60699999999999998</v>
      </c>
      <c r="E89" s="91">
        <f t="shared" si="8"/>
        <v>303.5</v>
      </c>
      <c r="F89" s="70" t="s">
        <v>36</v>
      </c>
      <c r="H89" s="51" t="s">
        <v>27</v>
      </c>
      <c r="I89" s="11"/>
      <c r="J89" s="67"/>
      <c r="K89" s="68">
        <f>Residential!K86</f>
        <v>1.1819999999999999</v>
      </c>
      <c r="L89" s="71">
        <f>J89*K89</f>
        <v>0</v>
      </c>
      <c r="M89" s="98" t="s">
        <v>36</v>
      </c>
      <c r="N89" s="50"/>
    </row>
    <row r="90" spans="1:14" x14ac:dyDescent="0.3">
      <c r="A90" s="51" t="s">
        <v>84</v>
      </c>
      <c r="B90" s="67"/>
      <c r="C90" s="67">
        <f>C71</f>
        <v>2231.36</v>
      </c>
      <c r="D90" s="68">
        <f>Residential!D88</f>
        <v>0.52500000000000002</v>
      </c>
      <c r="E90" s="91">
        <f t="shared" si="8"/>
        <v>1171.4640000000002</v>
      </c>
      <c r="F90" s="70" t="s">
        <v>36</v>
      </c>
      <c r="H90" s="51" t="s">
        <v>28</v>
      </c>
      <c r="I90" s="11"/>
      <c r="J90" s="67"/>
      <c r="K90" s="68">
        <f>Residential!K87</f>
        <v>1.095</v>
      </c>
      <c r="L90" s="71">
        <f t="shared" ref="L90:L94" si="9">J90*K90</f>
        <v>0</v>
      </c>
      <c r="M90" s="98" t="s">
        <v>36</v>
      </c>
      <c r="N90" s="50"/>
    </row>
    <row r="91" spans="1:14" x14ac:dyDescent="0.3">
      <c r="A91" s="51"/>
      <c r="B91" s="67"/>
      <c r="C91" s="11"/>
      <c r="D91" s="11"/>
      <c r="E91" s="11"/>
      <c r="F91" s="50"/>
      <c r="H91" s="51" t="s">
        <v>29</v>
      </c>
      <c r="I91" s="11"/>
      <c r="J91" s="67"/>
      <c r="K91" s="68">
        <f>Residential!K88</f>
        <v>0.93500000000000005</v>
      </c>
      <c r="L91" s="71">
        <f t="shared" si="9"/>
        <v>0</v>
      </c>
      <c r="M91" s="98" t="s">
        <v>36</v>
      </c>
      <c r="N91" s="50"/>
    </row>
    <row r="92" spans="1:14" x14ac:dyDescent="0.3">
      <c r="A92" s="59" t="s">
        <v>4</v>
      </c>
      <c r="B92" s="72">
        <f>SUM(B85:B91)</f>
        <v>11</v>
      </c>
      <c r="C92" s="73">
        <f>SUM(C85:C91)</f>
        <v>3066.8</v>
      </c>
      <c r="D92" s="74"/>
      <c r="E92" s="75">
        <f>SUM(E85:E91)</f>
        <v>3643.33932</v>
      </c>
      <c r="F92" s="76"/>
      <c r="H92" s="51" t="s">
        <v>30</v>
      </c>
      <c r="I92" s="11"/>
      <c r="J92" s="67"/>
      <c r="K92" s="68">
        <f>Residential!K89</f>
        <v>0.71199999999999997</v>
      </c>
      <c r="L92" s="71">
        <f t="shared" si="9"/>
        <v>0</v>
      </c>
      <c r="M92" s="98" t="s">
        <v>36</v>
      </c>
      <c r="N92" s="50"/>
    </row>
    <row r="93" spans="1:14" x14ac:dyDescent="0.3">
      <c r="H93" s="51" t="s">
        <v>31</v>
      </c>
      <c r="I93" s="11"/>
      <c r="J93" s="67"/>
      <c r="K93" s="68">
        <f>Residential!K90</f>
        <v>0.68100000000000005</v>
      </c>
      <c r="L93" s="71">
        <f t="shared" si="9"/>
        <v>0</v>
      </c>
      <c r="M93" s="98" t="s">
        <v>36</v>
      </c>
      <c r="N93" s="50"/>
    </row>
    <row r="94" spans="1:14" x14ac:dyDescent="0.3">
      <c r="H94" s="51" t="s">
        <v>32</v>
      </c>
      <c r="I94" s="11"/>
      <c r="J94" s="67"/>
      <c r="K94" s="68">
        <f>Residential!K91</f>
        <v>0.67</v>
      </c>
      <c r="L94" s="71">
        <f t="shared" si="9"/>
        <v>0</v>
      </c>
      <c r="M94" s="98" t="s">
        <v>36</v>
      </c>
      <c r="N94" s="50"/>
    </row>
    <row r="95" spans="1:14" x14ac:dyDescent="0.3">
      <c r="H95" s="51"/>
      <c r="I95" s="11"/>
      <c r="J95" s="11"/>
      <c r="K95" s="11"/>
      <c r="L95" s="11"/>
      <c r="M95" s="11"/>
      <c r="N95" s="50"/>
    </row>
    <row r="96" spans="1:14" x14ac:dyDescent="0.3">
      <c r="H96" s="59" t="s">
        <v>4</v>
      </c>
      <c r="I96" s="60">
        <f>SUM(I86:I95)</f>
        <v>0</v>
      </c>
      <c r="J96" s="60">
        <f>SUM(J86:J95)</f>
        <v>0</v>
      </c>
      <c r="K96" s="74"/>
      <c r="L96" s="75">
        <f>SUM(L86:L95)</f>
        <v>0</v>
      </c>
      <c r="M96" s="99"/>
      <c r="N96" s="76"/>
    </row>
    <row r="97" spans="1:14" x14ac:dyDescent="0.3">
      <c r="A97" s="136"/>
      <c r="B97" s="136"/>
      <c r="C97" s="136"/>
      <c r="D97" s="136"/>
      <c r="E97" s="136"/>
      <c r="F97" s="136"/>
    </row>
    <row r="98" spans="1:14" x14ac:dyDescent="0.3">
      <c r="A98" s="136"/>
      <c r="B98" s="136"/>
      <c r="C98" s="136"/>
      <c r="D98" s="136"/>
      <c r="E98" s="136"/>
      <c r="F98" s="136"/>
    </row>
    <row r="99" spans="1:14" x14ac:dyDescent="0.3">
      <c r="A99" s="136" t="s">
        <v>69</v>
      </c>
      <c r="B99" s="136"/>
      <c r="C99" s="136"/>
      <c r="D99" s="136"/>
      <c r="E99" s="136"/>
      <c r="F99" s="136"/>
      <c r="I99" s="135" t="s">
        <v>76</v>
      </c>
      <c r="J99" s="135"/>
      <c r="K99" s="135"/>
      <c r="L99" s="135"/>
      <c r="M99" s="135"/>
      <c r="N99" s="135"/>
    </row>
    <row r="100" spans="1:14" x14ac:dyDescent="0.3">
      <c r="A100" s="136" t="s">
        <v>74</v>
      </c>
      <c r="B100" s="136"/>
      <c r="C100" s="136"/>
      <c r="D100" s="136"/>
      <c r="E100" s="136"/>
      <c r="F100" s="136"/>
      <c r="I100" s="136" t="s">
        <v>74</v>
      </c>
      <c r="J100" s="136"/>
      <c r="K100" s="136"/>
      <c r="L100" s="136"/>
      <c r="M100" s="136"/>
      <c r="N100" s="136"/>
    </row>
    <row r="101" spans="1:14" x14ac:dyDescent="0.3">
      <c r="A101" s="137" t="s">
        <v>42</v>
      </c>
      <c r="B101" s="137"/>
      <c r="C101" s="137"/>
      <c r="D101" s="137"/>
      <c r="E101" s="137"/>
      <c r="F101" s="137"/>
      <c r="I101" s="135" t="s">
        <v>42</v>
      </c>
      <c r="J101" s="135"/>
      <c r="K101" s="135"/>
      <c r="L101" s="135"/>
      <c r="M101" s="135"/>
      <c r="N101" s="135"/>
    </row>
    <row r="102" spans="1:14" x14ac:dyDescent="0.3">
      <c r="A102" s="64">
        <v>-1</v>
      </c>
      <c r="B102" s="65">
        <v>-2</v>
      </c>
      <c r="C102" s="65">
        <v>-3</v>
      </c>
      <c r="D102" s="65">
        <v>-4</v>
      </c>
      <c r="E102" s="65">
        <v>-5</v>
      </c>
      <c r="F102" s="47"/>
      <c r="H102" s="97"/>
      <c r="I102" s="46"/>
      <c r="J102" s="46"/>
      <c r="K102" s="46"/>
      <c r="L102" s="46"/>
      <c r="M102" s="46"/>
      <c r="N102" s="47"/>
    </row>
    <row r="103" spans="1:14" x14ac:dyDescent="0.3">
      <c r="A103" s="51"/>
      <c r="B103" s="83" t="s">
        <v>5</v>
      </c>
      <c r="C103" s="55" t="s">
        <v>0</v>
      </c>
      <c r="D103" s="83" t="s">
        <v>15</v>
      </c>
      <c r="E103" s="83" t="s">
        <v>16</v>
      </c>
      <c r="F103" s="10" t="s">
        <v>35</v>
      </c>
      <c r="H103" s="52">
        <v>-1</v>
      </c>
      <c r="I103" s="53">
        <v>-2</v>
      </c>
      <c r="J103" s="53">
        <v>-3</v>
      </c>
      <c r="K103" s="53">
        <v>-4</v>
      </c>
      <c r="L103" s="53">
        <v>-5</v>
      </c>
      <c r="M103" s="11"/>
      <c r="N103" s="50"/>
    </row>
    <row r="104" spans="1:14" x14ac:dyDescent="0.3">
      <c r="A104" s="51" t="s">
        <v>85</v>
      </c>
      <c r="B104" s="67"/>
      <c r="C104" s="67"/>
      <c r="D104" s="80">
        <f>Residential!D102</f>
        <v>43.73</v>
      </c>
      <c r="E104" s="69">
        <f>B104*D104</f>
        <v>0</v>
      </c>
      <c r="F104" s="70" t="s">
        <v>24</v>
      </c>
      <c r="H104" s="51"/>
      <c r="I104" s="83" t="s">
        <v>5</v>
      </c>
      <c r="J104" s="83" t="s">
        <v>0</v>
      </c>
      <c r="K104" s="83" t="s">
        <v>15</v>
      </c>
      <c r="L104" s="83" t="s">
        <v>16</v>
      </c>
      <c r="M104" s="83" t="s">
        <v>35</v>
      </c>
      <c r="N104" s="50"/>
    </row>
    <row r="105" spans="1:14" x14ac:dyDescent="0.3">
      <c r="A105" s="51" t="s">
        <v>89</v>
      </c>
      <c r="B105" s="67">
        <f>B92</f>
        <v>11</v>
      </c>
      <c r="C105" s="67"/>
      <c r="D105" s="80">
        <f>Residential!D103</f>
        <v>256.16000000000003</v>
      </c>
      <c r="E105" s="71">
        <f>B105*D105</f>
        <v>2817.76</v>
      </c>
      <c r="F105" s="70" t="s">
        <v>24</v>
      </c>
      <c r="H105" s="51" t="s">
        <v>85</v>
      </c>
      <c r="I105" s="104"/>
      <c r="J105" s="83"/>
      <c r="K105" s="80">
        <f>Residential!K102</f>
        <v>43.73</v>
      </c>
      <c r="L105" s="69">
        <f>I105*K105</f>
        <v>0</v>
      </c>
      <c r="M105" s="98" t="s">
        <v>24</v>
      </c>
      <c r="N105" s="50"/>
    </row>
    <row r="106" spans="1:14" x14ac:dyDescent="0.3">
      <c r="A106" s="51" t="s">
        <v>34</v>
      </c>
      <c r="B106" s="67"/>
      <c r="C106" s="67">
        <f>C87</f>
        <v>33</v>
      </c>
      <c r="D106" s="68">
        <f>Residential!D104</f>
        <v>1.9259999999999999</v>
      </c>
      <c r="E106" s="91">
        <f>C106*D106</f>
        <v>63.558</v>
      </c>
      <c r="F106" s="70" t="s">
        <v>36</v>
      </c>
      <c r="H106" s="51" t="s">
        <v>89</v>
      </c>
      <c r="I106" s="103"/>
      <c r="J106" s="83"/>
      <c r="K106" s="80">
        <f>Residential!K103</f>
        <v>256.16000000000003</v>
      </c>
      <c r="L106" s="71">
        <f>I106*K106</f>
        <v>0</v>
      </c>
      <c r="M106" s="98" t="s">
        <v>24</v>
      </c>
      <c r="N106" s="50"/>
    </row>
    <row r="107" spans="1:14" x14ac:dyDescent="0.3">
      <c r="A107" s="51" t="s">
        <v>83</v>
      </c>
      <c r="B107" s="67"/>
      <c r="C107" s="67">
        <f>C88</f>
        <v>302.44</v>
      </c>
      <c r="D107" s="68">
        <f>Residential!D105</f>
        <v>1.1559999999999999</v>
      </c>
      <c r="E107" s="91">
        <f t="shared" ref="E107:E109" si="10">C107*D107</f>
        <v>349.62063999999998</v>
      </c>
      <c r="F107" s="70" t="s">
        <v>36</v>
      </c>
      <c r="H107" s="51" t="s">
        <v>34</v>
      </c>
      <c r="I107" s="57"/>
      <c r="J107" s="67"/>
      <c r="K107" s="68">
        <f>Residential!K104</f>
        <v>1.9259999999999999</v>
      </c>
      <c r="L107" s="71">
        <f>J107*K107</f>
        <v>0</v>
      </c>
      <c r="M107" s="98" t="s">
        <v>36</v>
      </c>
      <c r="N107" s="50"/>
    </row>
    <row r="108" spans="1:14" x14ac:dyDescent="0.3">
      <c r="A108" s="51" t="s">
        <v>29</v>
      </c>
      <c r="B108" s="67"/>
      <c r="C108" s="67">
        <f>C89</f>
        <v>500</v>
      </c>
      <c r="D108" s="68">
        <f>Residential!D106</f>
        <v>0.96299999999999997</v>
      </c>
      <c r="E108" s="91">
        <f t="shared" si="10"/>
        <v>481.5</v>
      </c>
      <c r="F108" s="70" t="s">
        <v>36</v>
      </c>
      <c r="H108" s="51" t="s">
        <v>83</v>
      </c>
      <c r="I108" s="11"/>
      <c r="J108" s="67"/>
      <c r="K108" s="68">
        <f>Residential!K105</f>
        <v>1.1559999999999999</v>
      </c>
      <c r="L108" s="71">
        <f>J108*K108</f>
        <v>0</v>
      </c>
      <c r="M108" s="98" t="s">
        <v>36</v>
      </c>
      <c r="N108" s="50"/>
    </row>
    <row r="109" spans="1:14" x14ac:dyDescent="0.3">
      <c r="A109" s="51" t="s">
        <v>84</v>
      </c>
      <c r="B109" s="67"/>
      <c r="C109" s="67">
        <f>C90</f>
        <v>2231.36</v>
      </c>
      <c r="D109" s="68">
        <f>Residential!D107</f>
        <v>0.67400000000000004</v>
      </c>
      <c r="E109" s="91">
        <f t="shared" si="10"/>
        <v>1503.9366400000001</v>
      </c>
      <c r="F109" s="70" t="s">
        <v>36</v>
      </c>
      <c r="H109" s="51" t="s">
        <v>29</v>
      </c>
      <c r="I109" s="11"/>
      <c r="J109" s="67"/>
      <c r="K109" s="68">
        <f>Residential!K106</f>
        <v>0.96299999999999997</v>
      </c>
      <c r="L109" s="71">
        <f t="shared" ref="L109:L110" si="11">J109*K109</f>
        <v>0</v>
      </c>
      <c r="M109" s="98" t="s">
        <v>36</v>
      </c>
      <c r="N109" s="50"/>
    </row>
    <row r="110" spans="1:14" x14ac:dyDescent="0.3">
      <c r="A110" s="51"/>
      <c r="B110" s="67"/>
      <c r="C110" s="11"/>
      <c r="D110" s="11"/>
      <c r="E110" s="11"/>
      <c r="F110" s="50"/>
      <c r="H110" s="51" t="s">
        <v>84</v>
      </c>
      <c r="I110" s="11"/>
      <c r="J110" s="67"/>
      <c r="K110" s="68">
        <f>Residential!K107</f>
        <v>0.67400000000000004</v>
      </c>
      <c r="L110" s="71">
        <f t="shared" si="11"/>
        <v>0</v>
      </c>
      <c r="M110" s="98" t="s">
        <v>36</v>
      </c>
      <c r="N110" s="50"/>
    </row>
    <row r="111" spans="1:14" x14ac:dyDescent="0.3">
      <c r="A111" s="59" t="s">
        <v>4</v>
      </c>
      <c r="B111" s="72">
        <f>SUM(B104:B110)</f>
        <v>11</v>
      </c>
      <c r="C111" s="73">
        <f>SUM(C104:C110)</f>
        <v>3066.8</v>
      </c>
      <c r="D111" s="74"/>
      <c r="E111" s="75">
        <f>SUM(E104:E110)</f>
        <v>5216.3752800000002</v>
      </c>
      <c r="F111" s="76"/>
      <c r="H111" s="51"/>
      <c r="I111" s="11"/>
      <c r="J111" s="11"/>
      <c r="K111" s="11"/>
      <c r="L111" s="11"/>
      <c r="M111" s="11"/>
      <c r="N111" s="50"/>
    </row>
    <row r="112" spans="1:14" x14ac:dyDescent="0.3">
      <c r="H112" s="59" t="s">
        <v>4</v>
      </c>
      <c r="I112" s="60">
        <f>SUM(I105:I111)</f>
        <v>0</v>
      </c>
      <c r="J112" s="60">
        <f>SUM(J105:J111)</f>
        <v>0</v>
      </c>
      <c r="K112" s="74"/>
      <c r="L112" s="75">
        <f>SUM(L105:L111)</f>
        <v>0</v>
      </c>
      <c r="M112" s="99"/>
      <c r="N112" s="76"/>
    </row>
  </sheetData>
  <mergeCells count="42">
    <mergeCell ref="A97:F97"/>
    <mergeCell ref="A98:F98"/>
    <mergeCell ref="A99:F99"/>
    <mergeCell ref="A100:F100"/>
    <mergeCell ref="A101:F101"/>
    <mergeCell ref="I99:N99"/>
    <mergeCell ref="I100:N100"/>
    <mergeCell ref="I101:N101"/>
    <mergeCell ref="A41:F41"/>
    <mergeCell ref="A42:F42"/>
    <mergeCell ref="A43:F43"/>
    <mergeCell ref="A59:F59"/>
    <mergeCell ref="A60:F60"/>
    <mergeCell ref="A61:F61"/>
    <mergeCell ref="A62:F62"/>
    <mergeCell ref="A63:F63"/>
    <mergeCell ref="A78:F78"/>
    <mergeCell ref="A79:F79"/>
    <mergeCell ref="A80:F80"/>
    <mergeCell ref="A81:F81"/>
    <mergeCell ref="A82:F82"/>
    <mergeCell ref="I62:N62"/>
    <mergeCell ref="I63:N63"/>
    <mergeCell ref="I80:N80"/>
    <mergeCell ref="I81:N81"/>
    <mergeCell ref="I82:N82"/>
    <mergeCell ref="I26:N26"/>
    <mergeCell ref="I41:N41"/>
    <mergeCell ref="I42:N42"/>
    <mergeCell ref="I43:N43"/>
    <mergeCell ref="I61:N61"/>
    <mergeCell ref="H5:R5"/>
    <mergeCell ref="H6:R6"/>
    <mergeCell ref="H7:R7"/>
    <mergeCell ref="I24:N24"/>
    <mergeCell ref="I25:N25"/>
    <mergeCell ref="A26:F26"/>
    <mergeCell ref="A5:F5"/>
    <mergeCell ref="A6:F6"/>
    <mergeCell ref="A7:F7"/>
    <mergeCell ref="A24:F24"/>
    <mergeCell ref="A25:F25"/>
  </mergeCells>
  <printOptions horizontalCentered="1"/>
  <pageMargins left="0.25" right="0.25" top="0.75" bottom="0.75" header="0.3" footer="0.3"/>
  <pageSetup scale="71" orientation="portrait" verticalDpi="1200" r:id="rId1"/>
  <colBreaks count="1" manualBreakCount="1">
    <brk id="6" max="111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14"/>
  <sheetViews>
    <sheetView topLeftCell="A87" zoomScale="80" zoomScaleNormal="80" zoomScaleSheetLayoutView="50" workbookViewId="0">
      <selection activeCell="B25" sqref="B25:G25"/>
    </sheetView>
  </sheetViews>
  <sheetFormatPr defaultRowHeight="14.4" x14ac:dyDescent="0.3"/>
  <cols>
    <col min="1" max="1" width="29.109375" style="12" customWidth="1"/>
    <col min="2" max="2" width="10.88671875" style="12" customWidth="1"/>
    <col min="3" max="3" width="15.88671875" style="12" customWidth="1"/>
    <col min="4" max="4" width="15.44140625" style="12" customWidth="1"/>
    <col min="5" max="5" width="15" style="12" customWidth="1"/>
    <col min="6" max="6" width="14.5546875" style="12" bestFit="1" customWidth="1"/>
    <col min="7" max="11" width="12.109375" style="12" customWidth="1"/>
    <col min="12" max="12" width="4.44140625" customWidth="1"/>
    <col min="13" max="13" width="24.5546875" style="12" bestFit="1" customWidth="1"/>
    <col min="14" max="14" width="8.88671875" style="12"/>
    <col min="15" max="15" width="11.88671875" style="12" customWidth="1"/>
    <col min="16" max="16" width="13.109375" style="12" customWidth="1"/>
    <col min="17" max="17" width="15.109375" style="12" customWidth="1"/>
    <col min="18" max="18" width="15.109375" style="12" bestFit="1" customWidth="1"/>
    <col min="20" max="20" width="24.44140625" style="12" customWidth="1"/>
    <col min="21" max="21" width="7.109375" style="12" bestFit="1" customWidth="1"/>
    <col min="22" max="22" width="14" style="12" customWidth="1"/>
    <col min="23" max="23" width="12.109375" style="12" customWidth="1"/>
    <col min="24" max="24" width="15.5546875" style="12" customWidth="1"/>
    <col min="25" max="25" width="14.109375" style="12" bestFit="1" customWidth="1"/>
    <col min="26" max="26" width="11.33203125" customWidth="1"/>
    <col min="27" max="27" width="11" customWidth="1"/>
  </cols>
  <sheetData>
    <row r="1" spans="1:27" x14ac:dyDescent="0.3">
      <c r="A1" s="105" t="s">
        <v>17</v>
      </c>
      <c r="M1" s="43" t="s">
        <v>17</v>
      </c>
      <c r="T1" s="43" t="s">
        <v>17</v>
      </c>
    </row>
    <row r="2" spans="1:27" x14ac:dyDescent="0.3">
      <c r="A2" s="105" t="s">
        <v>78</v>
      </c>
      <c r="M2" s="43" t="s">
        <v>65</v>
      </c>
      <c r="T2" s="43" t="s">
        <v>65</v>
      </c>
    </row>
    <row r="3" spans="1:27" x14ac:dyDescent="0.3">
      <c r="A3" s="105" t="s">
        <v>40</v>
      </c>
      <c r="M3" s="43" t="s">
        <v>71</v>
      </c>
      <c r="T3" s="43" t="s">
        <v>71</v>
      </c>
    </row>
    <row r="4" spans="1:27" x14ac:dyDescent="0.3">
      <c r="M4" s="43" t="s">
        <v>40</v>
      </c>
      <c r="T4" s="43" t="s">
        <v>40</v>
      </c>
    </row>
    <row r="5" spans="1:27" x14ac:dyDescent="0.3">
      <c r="A5" s="136" t="s">
        <v>77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M5" s="136" t="s">
        <v>100</v>
      </c>
      <c r="N5" s="136"/>
      <c r="O5" s="136"/>
      <c r="P5" s="136"/>
      <c r="Q5" s="136"/>
      <c r="R5" s="95"/>
      <c r="T5" s="136" t="s">
        <v>110</v>
      </c>
      <c r="U5" s="136"/>
      <c r="V5" s="136"/>
      <c r="W5" s="136"/>
      <c r="X5" s="136"/>
      <c r="Y5" s="136"/>
      <c r="Z5" s="136"/>
      <c r="AA5" s="136"/>
    </row>
    <row r="6" spans="1:27" x14ac:dyDescent="0.3">
      <c r="A6" s="136" t="s">
        <v>41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M6" s="136" t="s">
        <v>41</v>
      </c>
      <c r="N6" s="136"/>
      <c r="O6" s="136"/>
      <c r="P6" s="136"/>
      <c r="Q6" s="136"/>
      <c r="R6" s="95"/>
      <c r="T6" s="136" t="s">
        <v>41</v>
      </c>
      <c r="U6" s="136"/>
      <c r="V6" s="136"/>
      <c r="W6" s="136"/>
      <c r="X6" s="136"/>
      <c r="Y6" s="136"/>
      <c r="Z6" s="136"/>
      <c r="AA6" s="136"/>
    </row>
    <row r="7" spans="1:27" x14ac:dyDescent="0.3">
      <c r="A7" s="137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M7" s="137" t="s">
        <v>2</v>
      </c>
      <c r="N7" s="137"/>
      <c r="O7" s="137"/>
      <c r="P7" s="137"/>
      <c r="Q7" s="137"/>
      <c r="R7" s="29"/>
      <c r="T7" s="137" t="s">
        <v>2</v>
      </c>
      <c r="U7" s="137"/>
      <c r="V7" s="137"/>
      <c r="W7" s="137"/>
      <c r="X7" s="137"/>
      <c r="Y7" s="137"/>
      <c r="Z7" s="137"/>
      <c r="AA7" s="137"/>
    </row>
    <row r="8" spans="1:27" x14ac:dyDescent="0.3">
      <c r="A8" s="44" t="s">
        <v>72</v>
      </c>
      <c r="B8" s="45"/>
      <c r="C8" s="46"/>
      <c r="D8" s="46"/>
      <c r="E8" s="46"/>
      <c r="F8" s="46"/>
      <c r="G8" s="46"/>
      <c r="H8" s="46"/>
      <c r="I8" s="46"/>
      <c r="J8" s="46"/>
      <c r="K8" s="47"/>
      <c r="M8" s="44" t="s">
        <v>99</v>
      </c>
      <c r="N8" s="45"/>
      <c r="O8" s="46"/>
      <c r="P8" s="46"/>
      <c r="Q8" s="47"/>
      <c r="R8" s="11"/>
      <c r="T8" s="44" t="s">
        <v>103</v>
      </c>
      <c r="U8" s="45"/>
      <c r="V8" s="46"/>
      <c r="W8" s="46"/>
      <c r="X8" s="46"/>
      <c r="Y8" s="46"/>
      <c r="Z8" s="46"/>
      <c r="AA8" s="47"/>
    </row>
    <row r="9" spans="1:27" x14ac:dyDescent="0.3">
      <c r="A9" s="48" t="s">
        <v>101</v>
      </c>
      <c r="B9" s="49"/>
      <c r="C9" s="11"/>
      <c r="D9" s="11"/>
      <c r="E9" s="11"/>
      <c r="F9" s="11"/>
      <c r="G9" s="11"/>
      <c r="H9" s="11"/>
      <c r="I9" s="11"/>
      <c r="J9" s="11"/>
      <c r="K9" s="50"/>
      <c r="M9" s="48" t="s">
        <v>101</v>
      </c>
      <c r="N9" s="49"/>
      <c r="O9" s="11"/>
      <c r="P9" s="11"/>
      <c r="Q9" s="50"/>
      <c r="T9" s="48" t="s">
        <v>101</v>
      </c>
      <c r="U9" s="49"/>
      <c r="V9" s="11"/>
      <c r="W9" s="11"/>
      <c r="X9" s="11"/>
      <c r="Y9" s="11"/>
      <c r="Z9" s="11"/>
      <c r="AA9" s="50"/>
    </row>
    <row r="10" spans="1:27" x14ac:dyDescent="0.3">
      <c r="A10" s="51"/>
      <c r="B10" s="11"/>
      <c r="C10" s="11"/>
      <c r="D10" s="11"/>
      <c r="E10" s="11"/>
      <c r="F10" s="11"/>
      <c r="G10" s="11"/>
      <c r="H10" s="11"/>
      <c r="I10" s="11"/>
      <c r="J10" s="11"/>
      <c r="K10" s="50"/>
      <c r="M10" s="51"/>
      <c r="N10" s="11"/>
      <c r="O10" s="11"/>
      <c r="P10" s="11"/>
      <c r="Q10" s="50"/>
      <c r="T10" s="51"/>
      <c r="U10" s="11"/>
      <c r="V10" s="11"/>
      <c r="W10" s="11"/>
      <c r="X10" s="11"/>
      <c r="Y10" s="11"/>
      <c r="Z10" s="11"/>
      <c r="AA10" s="50"/>
    </row>
    <row r="11" spans="1:27" x14ac:dyDescent="0.3">
      <c r="A11" s="52">
        <v>-1</v>
      </c>
      <c r="B11" s="53">
        <v>-2</v>
      </c>
      <c r="C11" s="53">
        <v>-3</v>
      </c>
      <c r="D11" s="53">
        <v>-4</v>
      </c>
      <c r="E11" s="53">
        <v>-5</v>
      </c>
      <c r="F11" s="53">
        <v>-6</v>
      </c>
      <c r="G11" s="53">
        <v>-7</v>
      </c>
      <c r="H11" s="53">
        <v>-8</v>
      </c>
      <c r="I11" s="53">
        <v>-9</v>
      </c>
      <c r="J11" s="53">
        <v>-10</v>
      </c>
      <c r="K11" s="54">
        <v>-11</v>
      </c>
      <c r="M11" s="52">
        <v>-1</v>
      </c>
      <c r="N11" s="53">
        <v>-2</v>
      </c>
      <c r="O11" s="53">
        <v>-3</v>
      </c>
      <c r="P11" s="53">
        <v>-4</v>
      </c>
      <c r="Q11" s="54">
        <v>-5</v>
      </c>
      <c r="T11" s="52">
        <v>-1</v>
      </c>
      <c r="U11" s="53">
        <v>-2</v>
      </c>
      <c r="V11" s="53">
        <v>-3</v>
      </c>
      <c r="W11" s="53">
        <v>-4</v>
      </c>
      <c r="X11" s="53"/>
      <c r="Y11" s="53"/>
      <c r="Z11" s="53"/>
      <c r="AA11" s="54">
        <v>-5</v>
      </c>
    </row>
    <row r="12" spans="1:27" x14ac:dyDescent="0.3">
      <c r="A12" s="96"/>
      <c r="B12" s="53" t="s">
        <v>5</v>
      </c>
      <c r="C12" s="55" t="s">
        <v>0</v>
      </c>
      <c r="D12" s="53" t="s">
        <v>8</v>
      </c>
      <c r="E12" s="53" t="s">
        <v>9</v>
      </c>
      <c r="F12" s="53" t="s">
        <v>10</v>
      </c>
      <c r="G12" s="53" t="s">
        <v>11</v>
      </c>
      <c r="H12" s="53" t="s">
        <v>12</v>
      </c>
      <c r="I12" s="53" t="s">
        <v>13</v>
      </c>
      <c r="J12" s="53" t="s">
        <v>14</v>
      </c>
      <c r="K12" s="54" t="s">
        <v>0</v>
      </c>
      <c r="M12" s="52"/>
      <c r="N12" s="53" t="s">
        <v>5</v>
      </c>
      <c r="O12" s="55" t="s">
        <v>0</v>
      </c>
      <c r="P12" s="53" t="s">
        <v>6</v>
      </c>
      <c r="Q12" s="54" t="s">
        <v>0</v>
      </c>
      <c r="T12" s="52"/>
      <c r="U12" s="55" t="s">
        <v>5</v>
      </c>
      <c r="V12" s="55" t="s">
        <v>0</v>
      </c>
      <c r="W12" s="55" t="s">
        <v>8</v>
      </c>
      <c r="X12" s="55" t="s">
        <v>104</v>
      </c>
      <c r="Y12" s="55" t="s">
        <v>11</v>
      </c>
      <c r="Z12" s="55" t="s">
        <v>12</v>
      </c>
      <c r="AA12" s="56" t="s">
        <v>0</v>
      </c>
    </row>
    <row r="13" spans="1:27" x14ac:dyDescent="0.3">
      <c r="A13" s="51" t="s">
        <v>26</v>
      </c>
      <c r="B13" s="57">
        <f>73+29</f>
        <v>102</v>
      </c>
      <c r="C13" s="57">
        <v>707.78</v>
      </c>
      <c r="D13" s="57">
        <v>707.78</v>
      </c>
      <c r="E13" s="57"/>
      <c r="F13" s="57"/>
      <c r="G13" s="57"/>
      <c r="H13" s="57"/>
      <c r="I13" s="57"/>
      <c r="J13" s="57"/>
      <c r="K13" s="58">
        <f>SUM(D13:J13)</f>
        <v>707.78</v>
      </c>
      <c r="M13" s="51" t="s">
        <v>94</v>
      </c>
      <c r="N13" s="11">
        <v>13</v>
      </c>
      <c r="O13" s="57">
        <v>294</v>
      </c>
      <c r="P13" s="57">
        <v>294</v>
      </c>
      <c r="Q13" s="58">
        <f>SUM(P13:P13)</f>
        <v>294</v>
      </c>
      <c r="T13" s="51" t="s">
        <v>105</v>
      </c>
      <c r="U13" s="57">
        <v>13</v>
      </c>
      <c r="V13" s="57">
        <v>31.96</v>
      </c>
      <c r="W13" s="57">
        <v>31.96</v>
      </c>
      <c r="X13" s="57"/>
      <c r="Y13" s="57"/>
      <c r="Z13" s="57"/>
      <c r="AA13" s="58">
        <f>SUM(W13:Z13)</f>
        <v>31.96</v>
      </c>
    </row>
    <row r="14" spans="1:27" x14ac:dyDescent="0.3">
      <c r="A14" s="51" t="s">
        <v>27</v>
      </c>
      <c r="B14" s="57">
        <v>12</v>
      </c>
      <c r="C14" s="57">
        <v>304.39</v>
      </c>
      <c r="D14" s="57">
        <v>240</v>
      </c>
      <c r="E14" s="57">
        <v>64.39</v>
      </c>
      <c r="F14" s="57"/>
      <c r="G14" s="57"/>
      <c r="H14" s="57"/>
      <c r="I14" s="57"/>
      <c r="J14" s="57"/>
      <c r="K14" s="58">
        <f t="shared" ref="K14:K18" si="0">SUM(D14:J14)</f>
        <v>304.39</v>
      </c>
      <c r="M14" s="51"/>
      <c r="N14" s="11"/>
      <c r="O14" s="90"/>
      <c r="P14" s="57"/>
      <c r="Q14" s="58">
        <f>SUM(P14:P14)</f>
        <v>0</v>
      </c>
      <c r="T14" s="51" t="s">
        <v>106</v>
      </c>
      <c r="U14" s="57">
        <v>5</v>
      </c>
      <c r="V14" s="57">
        <v>157.08000000000001</v>
      </c>
      <c r="W14" s="57">
        <v>100</v>
      </c>
      <c r="X14" s="57">
        <v>57.08</v>
      </c>
      <c r="Y14" s="57"/>
      <c r="Z14" s="57"/>
      <c r="AA14" s="58">
        <f t="shared" ref="AA14:AA16" si="1">SUM(W14:Z14)</f>
        <v>157.07999999999998</v>
      </c>
    </row>
    <row r="15" spans="1:27" x14ac:dyDescent="0.3">
      <c r="A15" s="51" t="s">
        <v>28</v>
      </c>
      <c r="B15" s="57">
        <v>12</v>
      </c>
      <c r="C15" s="57">
        <v>462.96</v>
      </c>
      <c r="D15" s="57">
        <v>240</v>
      </c>
      <c r="E15" s="57">
        <v>120</v>
      </c>
      <c r="F15" s="57">
        <v>102.96</v>
      </c>
      <c r="G15" s="57"/>
      <c r="H15" s="57"/>
      <c r="I15" s="57"/>
      <c r="J15" s="57"/>
      <c r="K15" s="58">
        <f t="shared" si="0"/>
        <v>462.96</v>
      </c>
      <c r="M15" s="51"/>
      <c r="N15" s="11"/>
      <c r="O15" s="57"/>
      <c r="P15" s="57"/>
      <c r="Q15" s="58"/>
      <c r="T15" s="51" t="s">
        <v>107</v>
      </c>
      <c r="U15" s="57">
        <v>1</v>
      </c>
      <c r="V15" s="57">
        <v>74.8</v>
      </c>
      <c r="W15" s="57">
        <v>20</v>
      </c>
      <c r="X15" s="57">
        <v>30</v>
      </c>
      <c r="Y15" s="57">
        <v>24.8</v>
      </c>
      <c r="Z15" s="57"/>
      <c r="AA15" s="58">
        <f t="shared" si="1"/>
        <v>74.8</v>
      </c>
    </row>
    <row r="16" spans="1:27" x14ac:dyDescent="0.3">
      <c r="A16" s="51" t="s">
        <v>29</v>
      </c>
      <c r="B16" s="57">
        <v>23</v>
      </c>
      <c r="C16" s="57">
        <v>1481.04</v>
      </c>
      <c r="D16" s="57">
        <v>460</v>
      </c>
      <c r="E16" s="57">
        <v>230</v>
      </c>
      <c r="F16" s="57">
        <v>460</v>
      </c>
      <c r="G16" s="57">
        <v>331.04</v>
      </c>
      <c r="H16" s="57"/>
      <c r="I16" s="57"/>
      <c r="J16" s="57"/>
      <c r="K16" s="58">
        <f t="shared" si="0"/>
        <v>1481.04</v>
      </c>
      <c r="M16" s="59" t="s">
        <v>4</v>
      </c>
      <c r="N16" s="72">
        <f>SUM(N13:N14)</f>
        <v>13</v>
      </c>
      <c r="O16" s="60">
        <f t="shared" ref="O16:P16" si="2">SUM(O13:O14)</f>
        <v>294</v>
      </c>
      <c r="P16" s="60">
        <f t="shared" si="2"/>
        <v>294</v>
      </c>
      <c r="Q16" s="61">
        <f>SUM(Q13:Q14)</f>
        <v>294</v>
      </c>
      <c r="T16" s="51" t="s">
        <v>108</v>
      </c>
      <c r="U16" s="57">
        <v>5</v>
      </c>
      <c r="V16" s="57">
        <v>1047.2</v>
      </c>
      <c r="W16" s="57">
        <v>100</v>
      </c>
      <c r="X16" s="57">
        <v>150</v>
      </c>
      <c r="Y16" s="57">
        <v>250</v>
      </c>
      <c r="Z16" s="57">
        <v>547.20000000000005</v>
      </c>
      <c r="AA16" s="58">
        <f t="shared" si="1"/>
        <v>1047.2</v>
      </c>
    </row>
    <row r="17" spans="1:27" x14ac:dyDescent="0.3">
      <c r="A17" s="51" t="s">
        <v>30</v>
      </c>
      <c r="B17" s="57">
        <v>16</v>
      </c>
      <c r="C17" s="57">
        <v>2465.64</v>
      </c>
      <c r="D17" s="57">
        <v>300</v>
      </c>
      <c r="E17" s="57">
        <v>150</v>
      </c>
      <c r="F17" s="57">
        <v>300</v>
      </c>
      <c r="G17" s="57">
        <v>750</v>
      </c>
      <c r="H17" s="57">
        <v>965.64</v>
      </c>
      <c r="I17" s="57"/>
      <c r="J17" s="57"/>
      <c r="K17" s="58">
        <f t="shared" si="0"/>
        <v>2465.64</v>
      </c>
      <c r="T17" s="51"/>
      <c r="U17" s="57"/>
      <c r="V17" s="57"/>
      <c r="W17" s="57"/>
      <c r="X17" s="57"/>
      <c r="Y17" s="57"/>
      <c r="Z17" s="57"/>
      <c r="AA17" s="58"/>
    </row>
    <row r="18" spans="1:27" x14ac:dyDescent="0.3">
      <c r="A18" s="51" t="s">
        <v>31</v>
      </c>
      <c r="B18" s="57">
        <v>21</v>
      </c>
      <c r="C18" s="57">
        <v>6131.8</v>
      </c>
      <c r="D18" s="57">
        <v>420</v>
      </c>
      <c r="E18" s="57">
        <v>210</v>
      </c>
      <c r="F18" s="57">
        <v>420</v>
      </c>
      <c r="G18" s="57">
        <v>1050</v>
      </c>
      <c r="H18" s="57">
        <v>2140.5500000000002</v>
      </c>
      <c r="I18" s="57">
        <v>1891.25</v>
      </c>
      <c r="J18" s="57"/>
      <c r="K18" s="58">
        <f t="shared" si="0"/>
        <v>6131.8</v>
      </c>
      <c r="T18" s="51"/>
      <c r="U18" s="57"/>
      <c r="V18" s="57"/>
      <c r="W18" s="57"/>
      <c r="X18" s="57"/>
      <c r="Y18" s="57"/>
      <c r="Z18" s="57"/>
      <c r="AA18" s="58"/>
    </row>
    <row r="19" spans="1:27" x14ac:dyDescent="0.3">
      <c r="A19" s="51" t="s">
        <v>32</v>
      </c>
      <c r="B19" s="57">
        <v>6</v>
      </c>
      <c r="C19" s="57">
        <v>-775.4</v>
      </c>
      <c r="D19" s="57">
        <v>120</v>
      </c>
      <c r="E19" s="57">
        <v>60</v>
      </c>
      <c r="F19" s="57">
        <v>120</v>
      </c>
      <c r="G19" s="57">
        <v>300</v>
      </c>
      <c r="H19" s="57">
        <v>506.16</v>
      </c>
      <c r="I19" s="57">
        <v>566</v>
      </c>
      <c r="J19" s="57">
        <v>-2447.36</v>
      </c>
      <c r="K19" s="58">
        <f>SUM(D19:J19)</f>
        <v>-775.2</v>
      </c>
      <c r="T19" s="51"/>
      <c r="U19" s="57"/>
      <c r="V19" s="57"/>
      <c r="W19" s="57"/>
      <c r="X19" s="57"/>
      <c r="Y19" s="57"/>
      <c r="Z19" s="57"/>
      <c r="AA19" s="58"/>
    </row>
    <row r="20" spans="1:27" x14ac:dyDescent="0.3">
      <c r="A20" s="51"/>
      <c r="B20" s="57"/>
      <c r="C20" s="57"/>
      <c r="D20" s="57"/>
      <c r="E20" s="57"/>
      <c r="F20" s="57"/>
      <c r="G20" s="57"/>
      <c r="H20" s="57"/>
      <c r="I20" s="57"/>
      <c r="J20" s="57"/>
      <c r="K20" s="58"/>
      <c r="T20" s="51"/>
      <c r="U20" s="57"/>
      <c r="V20" s="57"/>
      <c r="W20" s="57"/>
      <c r="X20" s="57"/>
      <c r="Y20" s="57"/>
      <c r="Z20" s="57"/>
      <c r="AA20" s="58"/>
    </row>
    <row r="21" spans="1:27" x14ac:dyDescent="0.3">
      <c r="A21" s="59" t="s">
        <v>4</v>
      </c>
      <c r="B21" s="60">
        <f t="shared" ref="B21:K21" si="3">SUM(B13:B19)</f>
        <v>192</v>
      </c>
      <c r="C21" s="60">
        <f t="shared" si="3"/>
        <v>10778.210000000001</v>
      </c>
      <c r="D21" s="60">
        <f t="shared" si="3"/>
        <v>2487.7799999999997</v>
      </c>
      <c r="E21" s="60">
        <f t="shared" si="3"/>
        <v>834.39</v>
      </c>
      <c r="F21" s="60">
        <f t="shared" si="3"/>
        <v>1402.96</v>
      </c>
      <c r="G21" s="60">
        <f t="shared" si="3"/>
        <v>2431.04</v>
      </c>
      <c r="H21" s="60">
        <f t="shared" si="3"/>
        <v>3612.35</v>
      </c>
      <c r="I21" s="60">
        <f t="shared" si="3"/>
        <v>2457.25</v>
      </c>
      <c r="J21" s="60">
        <f t="shared" si="3"/>
        <v>-2447.36</v>
      </c>
      <c r="K21" s="61">
        <f t="shared" si="3"/>
        <v>10778.41</v>
      </c>
      <c r="T21" s="59" t="s">
        <v>4</v>
      </c>
      <c r="U21" s="60">
        <f t="shared" ref="U21:AA21" si="4">SUM(U13:U19)</f>
        <v>24</v>
      </c>
      <c r="V21" s="60">
        <f t="shared" si="4"/>
        <v>1311.04</v>
      </c>
      <c r="W21" s="60">
        <f t="shared" si="4"/>
        <v>251.96</v>
      </c>
      <c r="X21" s="60">
        <f t="shared" si="4"/>
        <v>237.07999999999998</v>
      </c>
      <c r="Y21" s="60">
        <f t="shared" si="4"/>
        <v>274.8</v>
      </c>
      <c r="Z21" s="60">
        <f t="shared" si="4"/>
        <v>547.20000000000005</v>
      </c>
      <c r="AA21" s="61">
        <f t="shared" si="4"/>
        <v>1311.04</v>
      </c>
    </row>
    <row r="22" spans="1:27" x14ac:dyDescent="0.3">
      <c r="A22" s="49"/>
      <c r="B22" s="62"/>
      <c r="C22" s="62"/>
      <c r="D22" s="62"/>
      <c r="E22" s="62"/>
      <c r="F22" s="62"/>
      <c r="G22" s="62"/>
      <c r="H22" s="62"/>
      <c r="I22" s="62"/>
      <c r="J22" s="62"/>
      <c r="K22" s="62"/>
      <c r="T22" s="49"/>
      <c r="U22" s="62"/>
      <c r="V22" s="62"/>
      <c r="W22" s="62"/>
      <c r="X22" s="62"/>
      <c r="Y22" s="62"/>
    </row>
    <row r="23" spans="1:27" x14ac:dyDescent="0.3">
      <c r="A23" s="49"/>
      <c r="B23" s="62"/>
      <c r="C23" s="62"/>
      <c r="D23" s="62"/>
      <c r="E23" s="62"/>
      <c r="F23" s="62"/>
      <c r="G23" s="62"/>
      <c r="H23" s="62"/>
      <c r="I23" s="62"/>
      <c r="J23" s="62"/>
      <c r="K23" s="62"/>
      <c r="T23" s="49"/>
      <c r="U23" s="62"/>
      <c r="V23" s="62"/>
      <c r="W23" s="62"/>
      <c r="X23" s="62"/>
      <c r="Y23" s="62"/>
    </row>
    <row r="24" spans="1:27" x14ac:dyDescent="0.3">
      <c r="A24" s="49"/>
      <c r="B24" s="62"/>
      <c r="C24" s="62"/>
      <c r="D24" s="62"/>
      <c r="E24" s="62"/>
      <c r="F24" s="62"/>
      <c r="G24" s="62"/>
      <c r="H24" s="62"/>
      <c r="I24" s="62"/>
      <c r="J24" s="62"/>
      <c r="K24" s="62"/>
      <c r="M24" s="136"/>
      <c r="N24" s="136"/>
      <c r="O24" s="136"/>
      <c r="P24" s="136"/>
      <c r="Q24" s="136"/>
      <c r="R24" s="136"/>
      <c r="T24" s="135"/>
      <c r="U24" s="135"/>
      <c r="V24" s="135"/>
      <c r="W24" s="135"/>
      <c r="X24" s="135"/>
      <c r="Y24" s="135"/>
    </row>
    <row r="25" spans="1:27" x14ac:dyDescent="0.3">
      <c r="B25" s="135" t="s">
        <v>77</v>
      </c>
      <c r="C25" s="135"/>
      <c r="D25" s="135"/>
      <c r="E25" s="135"/>
      <c r="F25" s="135"/>
      <c r="G25" s="135"/>
      <c r="H25" s="62"/>
      <c r="I25" s="62"/>
      <c r="J25" s="62"/>
      <c r="K25" s="62"/>
      <c r="M25" s="136" t="s">
        <v>100</v>
      </c>
      <c r="N25" s="136"/>
      <c r="O25" s="136"/>
      <c r="P25" s="136"/>
      <c r="Q25" s="136"/>
      <c r="R25" s="136"/>
      <c r="T25" s="135" t="s">
        <v>110</v>
      </c>
      <c r="U25" s="135"/>
      <c r="V25" s="135"/>
      <c r="W25" s="135"/>
      <c r="X25" s="135"/>
      <c r="Y25" s="135"/>
    </row>
    <row r="26" spans="1:27" x14ac:dyDescent="0.3">
      <c r="B26" s="136" t="s">
        <v>46</v>
      </c>
      <c r="C26" s="136"/>
      <c r="D26" s="136"/>
      <c r="E26" s="136"/>
      <c r="F26" s="136"/>
      <c r="G26" s="136"/>
      <c r="M26" s="136" t="s">
        <v>46</v>
      </c>
      <c r="N26" s="136"/>
      <c r="O26" s="136"/>
      <c r="P26" s="136"/>
      <c r="Q26" s="136"/>
      <c r="R26" s="136"/>
      <c r="T26" s="136" t="s">
        <v>46</v>
      </c>
      <c r="U26" s="136"/>
      <c r="V26" s="136"/>
      <c r="W26" s="136"/>
      <c r="X26" s="136"/>
      <c r="Y26" s="136"/>
    </row>
    <row r="27" spans="1:27" x14ac:dyDescent="0.3">
      <c r="B27" s="135" t="s">
        <v>42</v>
      </c>
      <c r="C27" s="135"/>
      <c r="D27" s="135"/>
      <c r="E27" s="135"/>
      <c r="F27" s="135"/>
      <c r="G27" s="135"/>
      <c r="L27" s="3"/>
      <c r="M27" s="137" t="s">
        <v>42</v>
      </c>
      <c r="N27" s="137"/>
      <c r="O27" s="137"/>
      <c r="P27" s="137"/>
      <c r="Q27" s="137"/>
      <c r="R27" s="137"/>
      <c r="T27" s="137" t="s">
        <v>42</v>
      </c>
      <c r="U27" s="137"/>
      <c r="V27" s="137"/>
      <c r="W27" s="137"/>
      <c r="X27" s="137"/>
      <c r="Y27" s="137"/>
    </row>
    <row r="28" spans="1:27" x14ac:dyDescent="0.3">
      <c r="A28" s="97"/>
      <c r="B28" s="46"/>
      <c r="C28" s="46"/>
      <c r="D28" s="46"/>
      <c r="E28" s="46"/>
      <c r="F28" s="46"/>
      <c r="G28" s="47"/>
      <c r="L28" s="3"/>
      <c r="M28" s="64">
        <v>-1</v>
      </c>
      <c r="N28" s="65">
        <v>-2</v>
      </c>
      <c r="O28" s="65">
        <v>-3</v>
      </c>
      <c r="P28" s="65">
        <v>-4</v>
      </c>
      <c r="Q28" s="65">
        <v>-5</v>
      </c>
      <c r="R28" s="47"/>
      <c r="T28" s="64">
        <v>-1</v>
      </c>
      <c r="U28" s="65">
        <v>-2</v>
      </c>
      <c r="V28" s="65">
        <v>-3</v>
      </c>
      <c r="W28" s="65">
        <v>-4</v>
      </c>
      <c r="X28" s="65">
        <v>-5</v>
      </c>
      <c r="Y28" s="47"/>
    </row>
    <row r="29" spans="1:27" x14ac:dyDescent="0.3">
      <c r="A29" s="52">
        <v>-1</v>
      </c>
      <c r="B29" s="53">
        <v>-2</v>
      </c>
      <c r="C29" s="53">
        <v>-3</v>
      </c>
      <c r="D29" s="53">
        <v>-4</v>
      </c>
      <c r="E29" s="53">
        <v>-5</v>
      </c>
      <c r="F29" s="11"/>
      <c r="G29" s="50"/>
      <c r="L29" s="3"/>
      <c r="M29" s="51"/>
      <c r="N29" s="83" t="s">
        <v>5</v>
      </c>
      <c r="O29" s="55" t="s">
        <v>0</v>
      </c>
      <c r="P29" s="83" t="s">
        <v>15</v>
      </c>
      <c r="Q29" s="83" t="s">
        <v>16</v>
      </c>
      <c r="R29" s="10" t="s">
        <v>35</v>
      </c>
      <c r="T29" s="51"/>
      <c r="U29" s="63" t="s">
        <v>5</v>
      </c>
      <c r="V29" s="66" t="s">
        <v>0</v>
      </c>
      <c r="W29" s="63" t="s">
        <v>15</v>
      </c>
      <c r="X29" s="63" t="s">
        <v>16</v>
      </c>
      <c r="Y29" s="10" t="s">
        <v>35</v>
      </c>
    </row>
    <row r="30" spans="1:27" x14ac:dyDescent="0.3">
      <c r="A30" s="51"/>
      <c r="B30" s="83" t="s">
        <v>5</v>
      </c>
      <c r="C30" s="66" t="s">
        <v>0</v>
      </c>
      <c r="D30" s="83" t="s">
        <v>15</v>
      </c>
      <c r="E30" s="83" t="s">
        <v>16</v>
      </c>
      <c r="F30" s="83" t="s">
        <v>35</v>
      </c>
      <c r="G30" s="50"/>
      <c r="L30" s="3"/>
      <c r="M30" s="51" t="s">
        <v>94</v>
      </c>
      <c r="N30" s="101">
        <f>N16</f>
        <v>13</v>
      </c>
      <c r="O30" s="67">
        <f>O16</f>
        <v>294</v>
      </c>
      <c r="P30" s="68">
        <f>Residential!W30</f>
        <v>1.1599999999999999</v>
      </c>
      <c r="Q30" s="69">
        <f>O30*P30</f>
        <v>341.03999999999996</v>
      </c>
      <c r="R30" s="70" t="s">
        <v>36</v>
      </c>
      <c r="T30" s="51" t="s">
        <v>105</v>
      </c>
      <c r="U30" s="57">
        <f>U21</f>
        <v>24</v>
      </c>
      <c r="V30" s="67">
        <f>W21</f>
        <v>251.96</v>
      </c>
      <c r="W30" s="68">
        <f>Residential!AD29</f>
        <v>23.99</v>
      </c>
      <c r="X30" s="69">
        <f>U30*W30</f>
        <v>575.76</v>
      </c>
      <c r="Y30" s="70" t="s">
        <v>24</v>
      </c>
    </row>
    <row r="31" spans="1:27" x14ac:dyDescent="0.3">
      <c r="A31" s="51" t="s">
        <v>34</v>
      </c>
      <c r="B31" s="57">
        <f>B21</f>
        <v>192</v>
      </c>
      <c r="C31" s="67">
        <f>D21</f>
        <v>2487.7799999999997</v>
      </c>
      <c r="D31" s="80">
        <f>Residential!K29</f>
        <v>27.19</v>
      </c>
      <c r="E31" s="69">
        <f>B31*D31</f>
        <v>5220.4800000000005</v>
      </c>
      <c r="F31" s="98" t="s">
        <v>24</v>
      </c>
      <c r="G31" s="50"/>
      <c r="L31" s="3"/>
      <c r="M31" s="51"/>
      <c r="N31" s="11"/>
      <c r="O31" s="67"/>
      <c r="P31" s="102"/>
      <c r="Q31" s="91"/>
      <c r="R31" s="70"/>
      <c r="T31" s="51" t="s">
        <v>106</v>
      </c>
      <c r="U31" s="57"/>
      <c r="V31" s="67">
        <f>X21</f>
        <v>237.07999999999998</v>
      </c>
      <c r="W31" s="68">
        <f>Residential!AD30</f>
        <v>1.012</v>
      </c>
      <c r="X31" s="71">
        <f>V31*W31</f>
        <v>239.92496</v>
      </c>
      <c r="Y31" s="70" t="s">
        <v>36</v>
      </c>
    </row>
    <row r="32" spans="1:27" x14ac:dyDescent="0.3">
      <c r="A32" s="51" t="s">
        <v>27</v>
      </c>
      <c r="B32" s="11"/>
      <c r="C32" s="67">
        <f>E21</f>
        <v>834.39</v>
      </c>
      <c r="D32" s="68">
        <f>Residential!K30</f>
        <v>1.2350000000000001</v>
      </c>
      <c r="E32" s="71">
        <f>C32*D32</f>
        <v>1030.47165</v>
      </c>
      <c r="F32" s="98" t="s">
        <v>36</v>
      </c>
      <c r="G32" s="50"/>
      <c r="L32" s="3"/>
      <c r="M32" s="51"/>
      <c r="N32" s="11"/>
      <c r="O32" s="11"/>
      <c r="P32" s="11"/>
      <c r="Q32" s="11"/>
      <c r="R32" s="50"/>
      <c r="T32" s="51" t="s">
        <v>107</v>
      </c>
      <c r="U32" s="11"/>
      <c r="V32" s="67">
        <f>Y21</f>
        <v>274.8</v>
      </c>
      <c r="W32" s="68">
        <f>Residential!AD31</f>
        <v>0.877</v>
      </c>
      <c r="X32" s="71">
        <f t="shared" ref="X32:X33" si="5">V32*W32</f>
        <v>240.99960000000002</v>
      </c>
      <c r="Y32" s="70" t="s">
        <v>36</v>
      </c>
    </row>
    <row r="33" spans="1:25" x14ac:dyDescent="0.3">
      <c r="A33" s="51" t="s">
        <v>28</v>
      </c>
      <c r="B33" s="11"/>
      <c r="C33" s="67">
        <f>F21</f>
        <v>1402.96</v>
      </c>
      <c r="D33" s="68">
        <f>Residential!K31</f>
        <v>0.97199999999999998</v>
      </c>
      <c r="E33" s="71">
        <f t="shared" ref="E33:E37" si="6">C33*D33</f>
        <v>1363.6771200000001</v>
      </c>
      <c r="F33" s="98" t="s">
        <v>36</v>
      </c>
      <c r="G33" s="50"/>
      <c r="L33" s="3"/>
      <c r="M33" s="59" t="s">
        <v>4</v>
      </c>
      <c r="N33" s="72">
        <f>SUM(N30:N32)</f>
        <v>13</v>
      </c>
      <c r="O33" s="73">
        <f>SUM(O30:O32)</f>
        <v>294</v>
      </c>
      <c r="P33" s="74"/>
      <c r="Q33" s="75">
        <f>SUM(Q30:Q32)</f>
        <v>341.03999999999996</v>
      </c>
      <c r="R33" s="76"/>
      <c r="T33" s="51" t="s">
        <v>108</v>
      </c>
      <c r="U33" s="11"/>
      <c r="V33" s="67">
        <f>Z21</f>
        <v>547.20000000000005</v>
      </c>
      <c r="W33" s="68">
        <f>Residential!AD32</f>
        <v>0.72799999999999998</v>
      </c>
      <c r="X33" s="71">
        <f t="shared" si="5"/>
        <v>398.36160000000001</v>
      </c>
      <c r="Y33" s="70" t="s">
        <v>36</v>
      </c>
    </row>
    <row r="34" spans="1:25" x14ac:dyDescent="0.3">
      <c r="A34" s="51" t="s">
        <v>29</v>
      </c>
      <c r="B34" s="11"/>
      <c r="C34" s="67">
        <f>G21</f>
        <v>2431.04</v>
      </c>
      <c r="D34" s="68">
        <f>Residential!K32</f>
        <v>0.88</v>
      </c>
      <c r="E34" s="71">
        <f t="shared" si="6"/>
        <v>2139.3152</v>
      </c>
      <c r="F34" s="98" t="s">
        <v>36</v>
      </c>
      <c r="G34" s="50"/>
      <c r="L34" s="3"/>
      <c r="P34" s="11"/>
      <c r="Q34" s="69"/>
      <c r="R34" s="11"/>
      <c r="T34" s="51"/>
      <c r="U34" s="11"/>
      <c r="V34" s="67"/>
      <c r="W34" s="68"/>
      <c r="X34" s="71"/>
      <c r="Y34" s="70"/>
    </row>
    <row r="35" spans="1:25" x14ac:dyDescent="0.3">
      <c r="A35" s="51" t="s">
        <v>30</v>
      </c>
      <c r="B35" s="11"/>
      <c r="C35" s="67">
        <f>H21</f>
        <v>3612.35</v>
      </c>
      <c r="D35" s="68">
        <f>Residential!K33</f>
        <v>0.78700000000000003</v>
      </c>
      <c r="E35" s="71">
        <f t="shared" si="6"/>
        <v>2842.9194499999999</v>
      </c>
      <c r="F35" s="98" t="s">
        <v>36</v>
      </c>
      <c r="G35" s="50"/>
      <c r="L35" s="3"/>
      <c r="P35" s="11"/>
      <c r="Q35" s="11"/>
      <c r="R35" s="11"/>
      <c r="T35" s="51"/>
      <c r="U35" s="11"/>
      <c r="V35" s="67"/>
      <c r="W35" s="68"/>
      <c r="X35" s="71"/>
      <c r="Y35" s="70"/>
    </row>
    <row r="36" spans="1:25" x14ac:dyDescent="0.3">
      <c r="A36" s="51" t="s">
        <v>31</v>
      </c>
      <c r="B36" s="11"/>
      <c r="C36" s="67">
        <f>I21</f>
        <v>2457.25</v>
      </c>
      <c r="D36" s="68">
        <f>Residential!K34</f>
        <v>0.69399999999999995</v>
      </c>
      <c r="E36" s="71">
        <f t="shared" si="6"/>
        <v>1705.3314999999998</v>
      </c>
      <c r="F36" s="98" t="s">
        <v>36</v>
      </c>
      <c r="G36" s="50"/>
      <c r="L36" s="3"/>
      <c r="P36" s="11"/>
      <c r="Q36" s="92"/>
      <c r="R36" s="11"/>
      <c r="T36" s="51"/>
      <c r="U36" s="11"/>
      <c r="V36" s="67"/>
      <c r="W36" s="68"/>
      <c r="X36" s="71"/>
      <c r="Y36" s="70"/>
    </row>
    <row r="37" spans="1:25" x14ac:dyDescent="0.3">
      <c r="A37" s="51" t="s">
        <v>32</v>
      </c>
      <c r="B37" s="11"/>
      <c r="C37" s="67">
        <f>J21</f>
        <v>-2447.36</v>
      </c>
      <c r="D37" s="68">
        <f>Residential!K35</f>
        <v>0.66200000000000003</v>
      </c>
      <c r="E37" s="71">
        <f t="shared" si="6"/>
        <v>-1620.1523200000001</v>
      </c>
      <c r="F37" s="98" t="s">
        <v>36</v>
      </c>
      <c r="G37" s="50"/>
      <c r="L37" s="3"/>
      <c r="P37" s="11"/>
      <c r="Q37" s="93"/>
      <c r="R37" s="11"/>
      <c r="T37" s="51"/>
      <c r="U37" s="11"/>
      <c r="V37" s="11"/>
      <c r="W37" s="11"/>
      <c r="X37" s="11"/>
      <c r="Y37" s="50"/>
    </row>
    <row r="38" spans="1:25" x14ac:dyDescent="0.3">
      <c r="A38" s="51"/>
      <c r="B38" s="11"/>
      <c r="C38" s="11"/>
      <c r="D38" s="11"/>
      <c r="E38" s="11"/>
      <c r="F38" s="11"/>
      <c r="G38" s="50"/>
      <c r="P38" s="11"/>
      <c r="Q38" s="11"/>
      <c r="R38" s="11"/>
      <c r="T38" s="59" t="s">
        <v>4</v>
      </c>
      <c r="U38" s="72">
        <f>SUM(U30:U37)</f>
        <v>24</v>
      </c>
      <c r="V38" s="73">
        <f>SUM(V30:V37)</f>
        <v>1311.04</v>
      </c>
      <c r="W38" s="74"/>
      <c r="X38" s="75">
        <f>SUM(X30:X37)</f>
        <v>1455.0461600000001</v>
      </c>
      <c r="Y38" s="76"/>
    </row>
    <row r="39" spans="1:25" x14ac:dyDescent="0.3">
      <c r="A39" s="59" t="s">
        <v>4</v>
      </c>
      <c r="B39" s="74">
        <f>SUM(B31:B38)</f>
        <v>192</v>
      </c>
      <c r="C39" s="73">
        <f>SUM(C31:C38)</f>
        <v>10778.409999999998</v>
      </c>
      <c r="D39" s="74"/>
      <c r="E39" s="75">
        <f>SUM(E31:E38)</f>
        <v>12682.042600000001</v>
      </c>
      <c r="F39" s="99"/>
      <c r="G39" s="76"/>
      <c r="P39" s="11"/>
      <c r="Q39" s="11"/>
      <c r="R39" s="11"/>
      <c r="U39" s="77"/>
      <c r="X39" s="78"/>
    </row>
    <row r="40" spans="1:25" x14ac:dyDescent="0.3">
      <c r="P40" s="11"/>
      <c r="Q40" s="94"/>
      <c r="R40" s="11"/>
    </row>
    <row r="41" spans="1:25" x14ac:dyDescent="0.3">
      <c r="E41" s="78"/>
      <c r="M41" s="136"/>
      <c r="N41" s="136"/>
      <c r="O41" s="136"/>
      <c r="P41" s="136"/>
      <c r="Q41" s="136"/>
      <c r="R41" s="136"/>
      <c r="T41" s="135"/>
      <c r="U41" s="135"/>
      <c r="V41" s="135"/>
      <c r="W41" s="135"/>
      <c r="X41" s="135"/>
      <c r="Y41" s="135"/>
    </row>
    <row r="42" spans="1:25" x14ac:dyDescent="0.3">
      <c r="M42" s="136"/>
      <c r="N42" s="136"/>
      <c r="O42" s="136"/>
      <c r="P42" s="136"/>
      <c r="Q42" s="136"/>
      <c r="R42" s="136"/>
      <c r="T42" s="136"/>
      <c r="U42" s="136"/>
      <c r="V42" s="136"/>
      <c r="W42" s="136"/>
      <c r="X42" s="136"/>
      <c r="Y42" s="136"/>
    </row>
    <row r="43" spans="1:25" x14ac:dyDescent="0.3">
      <c r="B43" s="135" t="s">
        <v>77</v>
      </c>
      <c r="C43" s="135"/>
      <c r="D43" s="135"/>
      <c r="E43" s="135"/>
      <c r="F43" s="135"/>
      <c r="G43" s="135"/>
      <c r="H43" s="62"/>
      <c r="I43" s="62"/>
      <c r="J43" s="62"/>
      <c r="K43" s="62"/>
      <c r="M43" s="136" t="s">
        <v>100</v>
      </c>
      <c r="N43" s="136"/>
      <c r="O43" s="136"/>
      <c r="P43" s="136"/>
      <c r="Q43" s="136"/>
      <c r="R43" s="136"/>
      <c r="T43" s="135" t="s">
        <v>110</v>
      </c>
      <c r="U43" s="135"/>
      <c r="V43" s="135"/>
      <c r="W43" s="135"/>
      <c r="X43" s="135"/>
      <c r="Y43" s="135"/>
    </row>
    <row r="44" spans="1:25" x14ac:dyDescent="0.3">
      <c r="B44" s="136" t="s">
        <v>45</v>
      </c>
      <c r="C44" s="136"/>
      <c r="D44" s="136"/>
      <c r="E44" s="136"/>
      <c r="F44" s="136"/>
      <c r="G44" s="136"/>
      <c r="L44" s="3"/>
      <c r="M44" s="136" t="s">
        <v>45</v>
      </c>
      <c r="N44" s="136"/>
      <c r="O44" s="136"/>
      <c r="P44" s="136"/>
      <c r="Q44" s="136"/>
      <c r="R44" s="136"/>
      <c r="T44" s="136" t="s">
        <v>45</v>
      </c>
      <c r="U44" s="136"/>
      <c r="V44" s="136"/>
      <c r="W44" s="136"/>
      <c r="X44" s="136"/>
      <c r="Y44" s="136"/>
    </row>
    <row r="45" spans="1:25" x14ac:dyDescent="0.3">
      <c r="B45" s="135" t="s">
        <v>42</v>
      </c>
      <c r="C45" s="135"/>
      <c r="D45" s="135"/>
      <c r="E45" s="135"/>
      <c r="F45" s="135"/>
      <c r="G45" s="135"/>
      <c r="L45" s="3"/>
      <c r="M45" s="137" t="s">
        <v>42</v>
      </c>
      <c r="N45" s="137"/>
      <c r="O45" s="137"/>
      <c r="P45" s="137"/>
      <c r="Q45" s="137"/>
      <c r="R45" s="137"/>
      <c r="T45" s="137" t="s">
        <v>42</v>
      </c>
      <c r="U45" s="137"/>
      <c r="V45" s="137"/>
      <c r="W45" s="137"/>
      <c r="X45" s="137"/>
      <c r="Y45" s="137"/>
    </row>
    <row r="46" spans="1:25" x14ac:dyDescent="0.3">
      <c r="A46" s="97"/>
      <c r="B46" s="46"/>
      <c r="C46" s="46"/>
      <c r="D46" s="46"/>
      <c r="E46" s="46"/>
      <c r="F46" s="46"/>
      <c r="G46" s="47"/>
      <c r="L46" s="3"/>
      <c r="M46" s="64">
        <v>-1</v>
      </c>
      <c r="N46" s="65">
        <v>-2</v>
      </c>
      <c r="O46" s="65">
        <v>-3</v>
      </c>
      <c r="P46" s="65">
        <v>-4</v>
      </c>
      <c r="Q46" s="65">
        <v>-5</v>
      </c>
      <c r="R46" s="47"/>
      <c r="T46" s="64">
        <v>-1</v>
      </c>
      <c r="U46" s="65">
        <v>-2</v>
      </c>
      <c r="V46" s="65">
        <v>-3</v>
      </c>
      <c r="W46" s="65">
        <v>-4</v>
      </c>
      <c r="X46" s="65">
        <v>-5</v>
      </c>
      <c r="Y46" s="47"/>
    </row>
    <row r="47" spans="1:25" x14ac:dyDescent="0.3">
      <c r="A47" s="52">
        <v>-1</v>
      </c>
      <c r="B47" s="53">
        <v>-2</v>
      </c>
      <c r="C47" s="53">
        <v>-3</v>
      </c>
      <c r="D47" s="53">
        <v>-4</v>
      </c>
      <c r="E47" s="53">
        <v>-5</v>
      </c>
      <c r="F47" s="11"/>
      <c r="G47" s="50"/>
      <c r="L47" s="3"/>
      <c r="M47" s="51"/>
      <c r="N47" s="83" t="s">
        <v>5</v>
      </c>
      <c r="O47" s="55" t="s">
        <v>0</v>
      </c>
      <c r="P47" s="83" t="s">
        <v>15</v>
      </c>
      <c r="Q47" s="83" t="s">
        <v>16</v>
      </c>
      <c r="R47" s="10" t="s">
        <v>35</v>
      </c>
      <c r="T47" s="51"/>
      <c r="U47" s="63" t="s">
        <v>5</v>
      </c>
      <c r="V47" s="66" t="s">
        <v>0</v>
      </c>
      <c r="W47" s="63" t="s">
        <v>15</v>
      </c>
      <c r="X47" s="63" t="s">
        <v>16</v>
      </c>
      <c r="Y47" s="10" t="s">
        <v>35</v>
      </c>
    </row>
    <row r="48" spans="1:25" x14ac:dyDescent="0.3">
      <c r="A48" s="51"/>
      <c r="B48" s="83" t="s">
        <v>5</v>
      </c>
      <c r="C48" s="83" t="s">
        <v>0</v>
      </c>
      <c r="D48" s="83" t="s">
        <v>15</v>
      </c>
      <c r="E48" s="83" t="s">
        <v>16</v>
      </c>
      <c r="F48" s="83" t="s">
        <v>35</v>
      </c>
      <c r="G48" s="50"/>
      <c r="L48" s="3"/>
      <c r="M48" s="51" t="s">
        <v>85</v>
      </c>
      <c r="N48" s="67">
        <v>13</v>
      </c>
      <c r="O48" s="67"/>
      <c r="P48" s="80">
        <f>Residential!W46</f>
        <v>7.22</v>
      </c>
      <c r="Q48" s="69">
        <f>N48*P48</f>
        <v>93.86</v>
      </c>
      <c r="R48" s="70" t="s">
        <v>24</v>
      </c>
      <c r="T48" s="51" t="s">
        <v>85</v>
      </c>
      <c r="U48" s="79"/>
      <c r="V48" s="66"/>
      <c r="W48" s="80">
        <f>Residential!AD46</f>
        <v>27.25</v>
      </c>
      <c r="X48" s="69">
        <f>U48*W48</f>
        <v>0</v>
      </c>
      <c r="Y48" s="81" t="s">
        <v>24</v>
      </c>
    </row>
    <row r="49" spans="1:25" x14ac:dyDescent="0.3">
      <c r="A49" s="51" t="s">
        <v>85</v>
      </c>
      <c r="B49" s="57">
        <v>96</v>
      </c>
      <c r="C49" s="83"/>
      <c r="D49" s="80">
        <f>Residential!K46</f>
        <v>30.17</v>
      </c>
      <c r="E49" s="69">
        <f>B49*D49</f>
        <v>2896.32</v>
      </c>
      <c r="F49" s="98" t="s">
        <v>24</v>
      </c>
      <c r="G49" s="50"/>
      <c r="L49" s="3"/>
      <c r="M49" s="51" t="s">
        <v>89</v>
      </c>
      <c r="N49" s="67"/>
      <c r="O49" s="67"/>
      <c r="P49" s="80">
        <f>Residential!W47</f>
        <v>42.27</v>
      </c>
      <c r="Q49" s="71">
        <f>N49*P49</f>
        <v>0</v>
      </c>
      <c r="R49" s="70" t="s">
        <v>24</v>
      </c>
      <c r="T49" s="51" t="s">
        <v>89</v>
      </c>
      <c r="U49" s="79">
        <v>24</v>
      </c>
      <c r="V49" s="66"/>
      <c r="W49" s="80">
        <f>Residential!AD47</f>
        <v>62.3</v>
      </c>
      <c r="X49" s="71">
        <f>U49*W49</f>
        <v>1495.1999999999998</v>
      </c>
      <c r="Y49" s="81" t="s">
        <v>24</v>
      </c>
    </row>
    <row r="50" spans="1:25" x14ac:dyDescent="0.3">
      <c r="A50" s="51" t="s">
        <v>89</v>
      </c>
      <c r="B50" s="57">
        <v>96</v>
      </c>
      <c r="C50" s="83"/>
      <c r="D50" s="80">
        <f>Residential!K47</f>
        <v>68.400000000000006</v>
      </c>
      <c r="E50" s="71">
        <f>B50*D50</f>
        <v>6566.4000000000005</v>
      </c>
      <c r="F50" s="98" t="s">
        <v>24</v>
      </c>
      <c r="G50" s="50"/>
      <c r="L50" s="3"/>
      <c r="M50" s="51" t="s">
        <v>34</v>
      </c>
      <c r="N50" s="67"/>
      <c r="O50" s="67">
        <v>124</v>
      </c>
      <c r="P50" s="68">
        <f>Residential!W48</f>
        <v>1.286</v>
      </c>
      <c r="Q50" s="91">
        <f>O50*P50</f>
        <v>159.464</v>
      </c>
      <c r="R50" s="70" t="s">
        <v>36</v>
      </c>
      <c r="T50" s="51" t="s">
        <v>34</v>
      </c>
      <c r="U50" s="67"/>
      <c r="V50" s="67">
        <f>V30</f>
        <v>251.96</v>
      </c>
      <c r="W50" s="68">
        <f>Residential!AD48</f>
        <v>0.318</v>
      </c>
      <c r="X50" s="71">
        <f>V50*W50</f>
        <v>80.123280000000008</v>
      </c>
      <c r="Y50" s="70" t="s">
        <v>36</v>
      </c>
    </row>
    <row r="51" spans="1:25" x14ac:dyDescent="0.3">
      <c r="A51" s="51" t="s">
        <v>26</v>
      </c>
      <c r="B51" s="57"/>
      <c r="C51" s="67">
        <f t="shared" ref="C51:C57" si="7">C31</f>
        <v>2487.7799999999997</v>
      </c>
      <c r="D51" s="68">
        <f>Residential!K48</f>
        <v>0.34699999999999998</v>
      </c>
      <c r="E51" s="71">
        <f>C51*D51</f>
        <v>863.25965999999983</v>
      </c>
      <c r="F51" s="98" t="s">
        <v>36</v>
      </c>
      <c r="G51" s="50"/>
      <c r="I51" s="90"/>
      <c r="L51" s="3"/>
      <c r="M51" s="51" t="s">
        <v>83</v>
      </c>
      <c r="N51" s="67"/>
      <c r="O51" s="67">
        <v>75</v>
      </c>
      <c r="P51" s="68">
        <f>Residential!W49</f>
        <v>1.159</v>
      </c>
      <c r="Q51" s="91">
        <f t="shared" ref="Q51:Q53" si="8">O51*P51</f>
        <v>86.924999999999997</v>
      </c>
      <c r="R51" s="70" t="s">
        <v>36</v>
      </c>
      <c r="T51" s="51" t="s">
        <v>83</v>
      </c>
      <c r="U51" s="67"/>
      <c r="V51" s="67">
        <f t="shared" ref="V51:V53" si="9">V31</f>
        <v>237.07999999999998</v>
      </c>
      <c r="W51" s="68">
        <f>Residential!AD49</f>
        <v>1.036</v>
      </c>
      <c r="X51" s="71">
        <f>V51*W51</f>
        <v>245.61488</v>
      </c>
      <c r="Y51" s="70" t="s">
        <v>36</v>
      </c>
    </row>
    <row r="52" spans="1:25" x14ac:dyDescent="0.3">
      <c r="A52" s="51" t="s">
        <v>27</v>
      </c>
      <c r="B52" s="11"/>
      <c r="C52" s="67">
        <f t="shared" si="7"/>
        <v>834.39</v>
      </c>
      <c r="D52" s="68">
        <f>Residential!K49</f>
        <v>1.2210000000000001</v>
      </c>
      <c r="E52" s="71">
        <f>C52*D52</f>
        <v>1018.7901900000001</v>
      </c>
      <c r="F52" s="98" t="s">
        <v>36</v>
      </c>
      <c r="G52" s="50"/>
      <c r="L52" s="3"/>
      <c r="M52" s="51" t="s">
        <v>29</v>
      </c>
      <c r="N52" s="67"/>
      <c r="O52" s="67">
        <v>91</v>
      </c>
      <c r="P52" s="68">
        <f>Residential!W50</f>
        <v>1.127</v>
      </c>
      <c r="Q52" s="91">
        <f t="shared" si="8"/>
        <v>102.557</v>
      </c>
      <c r="R52" s="70" t="s">
        <v>36</v>
      </c>
      <c r="T52" s="51" t="s">
        <v>29</v>
      </c>
      <c r="U52" s="67"/>
      <c r="V52" s="67">
        <f t="shared" si="9"/>
        <v>274.8</v>
      </c>
      <c r="W52" s="68">
        <f>Residential!AD50</f>
        <v>0.89100000000000001</v>
      </c>
      <c r="X52" s="71">
        <f t="shared" ref="X52:X53" si="10">V52*W52</f>
        <v>244.8468</v>
      </c>
      <c r="Y52" s="70" t="s">
        <v>36</v>
      </c>
    </row>
    <row r="53" spans="1:25" x14ac:dyDescent="0.3">
      <c r="A53" s="51" t="s">
        <v>28</v>
      </c>
      <c r="B53" s="11"/>
      <c r="C53" s="67">
        <f t="shared" si="7"/>
        <v>1402.96</v>
      </c>
      <c r="D53" s="68">
        <f>Residential!K50</f>
        <v>1.0049999999999999</v>
      </c>
      <c r="E53" s="71">
        <f t="shared" ref="E53:E57" si="11">C53*D53</f>
        <v>1409.9748</v>
      </c>
      <c r="F53" s="98" t="s">
        <v>36</v>
      </c>
      <c r="G53" s="50"/>
      <c r="L53" s="3"/>
      <c r="M53" s="51" t="s">
        <v>84</v>
      </c>
      <c r="N53" s="67"/>
      <c r="O53" s="67">
        <v>4</v>
      </c>
      <c r="P53" s="68">
        <f>Residential!W51</f>
        <v>1.08</v>
      </c>
      <c r="Q53" s="91">
        <f t="shared" si="8"/>
        <v>4.32</v>
      </c>
      <c r="R53" s="70" t="s">
        <v>36</v>
      </c>
      <c r="T53" s="51" t="s">
        <v>84</v>
      </c>
      <c r="U53" s="67"/>
      <c r="V53" s="67">
        <f t="shared" si="9"/>
        <v>547.20000000000005</v>
      </c>
      <c r="W53" s="68">
        <f>Residential!AD51</f>
        <v>0.71899999999999997</v>
      </c>
      <c r="X53" s="71">
        <f t="shared" si="10"/>
        <v>393.43680000000001</v>
      </c>
      <c r="Y53" s="70" t="s">
        <v>36</v>
      </c>
    </row>
    <row r="54" spans="1:25" x14ac:dyDescent="0.3">
      <c r="A54" s="51" t="s">
        <v>29</v>
      </c>
      <c r="B54" s="11"/>
      <c r="C54" s="67">
        <f t="shared" si="7"/>
        <v>2431.04</v>
      </c>
      <c r="D54" s="68">
        <f>Residential!K51</f>
        <v>0.89500000000000002</v>
      </c>
      <c r="E54" s="71">
        <f t="shared" si="11"/>
        <v>2175.7808</v>
      </c>
      <c r="F54" s="98" t="s">
        <v>36</v>
      </c>
      <c r="G54" s="50"/>
      <c r="L54" s="3"/>
      <c r="M54" s="51"/>
      <c r="N54" s="67"/>
      <c r="O54" s="11"/>
      <c r="P54" s="11"/>
      <c r="Q54" s="11"/>
      <c r="R54" s="50"/>
      <c r="T54" s="51"/>
      <c r="U54" s="67"/>
      <c r="V54" s="67"/>
      <c r="W54" s="68"/>
      <c r="X54" s="71"/>
      <c r="Y54" s="70"/>
    </row>
    <row r="55" spans="1:25" x14ac:dyDescent="0.3">
      <c r="A55" s="51" t="s">
        <v>30</v>
      </c>
      <c r="B55" s="11"/>
      <c r="C55" s="67">
        <f t="shared" si="7"/>
        <v>3612.35</v>
      </c>
      <c r="D55" s="68">
        <f>Residential!K52</f>
        <v>0.76700000000000002</v>
      </c>
      <c r="E55" s="71">
        <f t="shared" si="11"/>
        <v>2770.67245</v>
      </c>
      <c r="F55" s="98" t="s">
        <v>36</v>
      </c>
      <c r="G55" s="50"/>
      <c r="J55" s="90"/>
      <c r="M55" s="59" t="s">
        <v>4</v>
      </c>
      <c r="N55" s="72">
        <f>SUM(N48:N54)</f>
        <v>13</v>
      </c>
      <c r="O55" s="73">
        <f>SUM(O48:O54)</f>
        <v>294</v>
      </c>
      <c r="P55" s="74"/>
      <c r="Q55" s="75">
        <f>SUM(Q48:Q54)</f>
        <v>447.12600000000003</v>
      </c>
      <c r="R55" s="76"/>
      <c r="T55" s="51"/>
      <c r="U55" s="67"/>
      <c r="V55" s="67"/>
      <c r="W55" s="68"/>
      <c r="X55" s="71"/>
      <c r="Y55" s="70"/>
    </row>
    <row r="56" spans="1:25" x14ac:dyDescent="0.3">
      <c r="A56" s="51" t="s">
        <v>31</v>
      </c>
      <c r="B56" s="11"/>
      <c r="C56" s="67">
        <f t="shared" si="7"/>
        <v>2457.25</v>
      </c>
      <c r="D56" s="68">
        <f>Residential!K53</f>
        <v>0.69</v>
      </c>
      <c r="E56" s="71">
        <f t="shared" si="11"/>
        <v>1695.5024999999998</v>
      </c>
      <c r="F56" s="98" t="s">
        <v>36</v>
      </c>
      <c r="G56" s="50"/>
      <c r="T56" s="51"/>
      <c r="U56" s="67"/>
      <c r="V56" s="67"/>
      <c r="W56" s="68"/>
      <c r="X56" s="71"/>
      <c r="Y56" s="70"/>
    </row>
    <row r="57" spans="1:25" x14ac:dyDescent="0.3">
      <c r="A57" s="51" t="s">
        <v>32</v>
      </c>
      <c r="B57" s="11"/>
      <c r="C57" s="67">
        <f t="shared" si="7"/>
        <v>-2447.36</v>
      </c>
      <c r="D57" s="68">
        <f>Residential!K54</f>
        <v>0.66400000000000003</v>
      </c>
      <c r="E57" s="71">
        <f t="shared" si="11"/>
        <v>-1625.0470400000002</v>
      </c>
      <c r="F57" s="98" t="s">
        <v>36</v>
      </c>
      <c r="G57" s="50"/>
      <c r="T57" s="51"/>
      <c r="U57" s="67"/>
      <c r="V57" s="11"/>
      <c r="W57" s="11"/>
      <c r="X57" s="11"/>
      <c r="Y57" s="50"/>
    </row>
    <row r="58" spans="1:25" x14ac:dyDescent="0.3">
      <c r="A58" s="51"/>
      <c r="B58" s="11"/>
      <c r="C58" s="11"/>
      <c r="D58" s="11"/>
      <c r="E58" s="11"/>
      <c r="F58" s="11"/>
      <c r="G58" s="50"/>
      <c r="T58" s="59" t="s">
        <v>4</v>
      </c>
      <c r="U58" s="72">
        <f>SUM(U48:U57)</f>
        <v>24</v>
      </c>
      <c r="V58" s="72">
        <f>SUM(V48:V57)</f>
        <v>1311.04</v>
      </c>
      <c r="W58" s="74"/>
      <c r="X58" s="75">
        <f>SUM(X48:X57)</f>
        <v>2459.2217599999999</v>
      </c>
      <c r="Y58" s="76"/>
    </row>
    <row r="59" spans="1:25" x14ac:dyDescent="0.3">
      <c r="A59" s="51"/>
      <c r="B59" s="11"/>
      <c r="C59" s="11"/>
      <c r="D59" s="11"/>
      <c r="E59" s="11"/>
      <c r="F59" s="11"/>
      <c r="G59" s="50"/>
      <c r="M59" s="136"/>
      <c r="N59" s="136"/>
      <c r="O59" s="136"/>
      <c r="P59" s="136"/>
      <c r="Q59" s="136"/>
      <c r="R59" s="136"/>
      <c r="T59" s="135"/>
      <c r="U59" s="135"/>
      <c r="V59" s="135"/>
      <c r="W59" s="135"/>
      <c r="X59" s="135"/>
      <c r="Y59" s="135"/>
    </row>
    <row r="60" spans="1:25" x14ac:dyDescent="0.3">
      <c r="A60" s="59" t="s">
        <v>4</v>
      </c>
      <c r="B60" s="60">
        <f>SUM(B49:B58)</f>
        <v>192</v>
      </c>
      <c r="C60" s="60">
        <f>SUM(C49:C58)</f>
        <v>10778.409999999998</v>
      </c>
      <c r="D60" s="74"/>
      <c r="E60" s="75">
        <f>SUM(E49:E58)</f>
        <v>17771.653359999997</v>
      </c>
      <c r="F60" s="99"/>
      <c r="G60" s="76"/>
      <c r="M60" s="136"/>
      <c r="N60" s="136"/>
      <c r="O60" s="136"/>
      <c r="P60" s="136"/>
      <c r="Q60" s="136"/>
      <c r="R60" s="136"/>
      <c r="T60" s="136"/>
      <c r="U60" s="136"/>
      <c r="V60" s="136"/>
      <c r="W60" s="136"/>
      <c r="X60" s="136"/>
      <c r="Y60" s="136"/>
    </row>
    <row r="61" spans="1:25" x14ac:dyDescent="0.3">
      <c r="L61" s="3"/>
      <c r="M61" s="136"/>
      <c r="N61" s="136"/>
      <c r="O61" s="136"/>
      <c r="P61" s="136"/>
      <c r="Q61" s="136"/>
      <c r="R61" s="136"/>
      <c r="T61" s="135"/>
      <c r="U61" s="135"/>
      <c r="V61" s="135"/>
      <c r="W61" s="135"/>
      <c r="X61" s="135"/>
      <c r="Y61" s="135"/>
    </row>
    <row r="62" spans="1:25" x14ac:dyDescent="0.3">
      <c r="H62" s="62"/>
      <c r="I62" s="62"/>
      <c r="J62" s="62"/>
      <c r="K62" s="62"/>
      <c r="L62" s="3"/>
      <c r="M62" s="136" t="s">
        <v>100</v>
      </c>
      <c r="N62" s="136"/>
      <c r="O62" s="136"/>
      <c r="P62" s="136"/>
      <c r="Q62" s="136"/>
      <c r="R62" s="136"/>
      <c r="T62" s="135" t="s">
        <v>110</v>
      </c>
      <c r="U62" s="135"/>
      <c r="V62" s="135"/>
      <c r="W62" s="135"/>
      <c r="X62" s="135"/>
      <c r="Y62" s="135"/>
    </row>
    <row r="63" spans="1:25" x14ac:dyDescent="0.3">
      <c r="B63" s="135" t="s">
        <v>77</v>
      </c>
      <c r="C63" s="135"/>
      <c r="D63" s="135"/>
      <c r="E63" s="135"/>
      <c r="F63" s="135"/>
      <c r="G63" s="135"/>
      <c r="L63" s="3"/>
      <c r="M63" s="136" t="s">
        <v>47</v>
      </c>
      <c r="N63" s="136"/>
      <c r="O63" s="136"/>
      <c r="P63" s="136"/>
      <c r="Q63" s="136"/>
      <c r="R63" s="136"/>
      <c r="T63" s="136" t="s">
        <v>47</v>
      </c>
      <c r="U63" s="136"/>
      <c r="V63" s="136"/>
      <c r="W63" s="136"/>
      <c r="X63" s="136"/>
      <c r="Y63" s="136"/>
    </row>
    <row r="64" spans="1:25" x14ac:dyDescent="0.3">
      <c r="B64" s="136" t="s">
        <v>47</v>
      </c>
      <c r="C64" s="136"/>
      <c r="D64" s="136"/>
      <c r="E64" s="136"/>
      <c r="F64" s="136"/>
      <c r="G64" s="136"/>
      <c r="L64" s="3"/>
      <c r="M64" s="137" t="s">
        <v>42</v>
      </c>
      <c r="N64" s="137"/>
      <c r="O64" s="137"/>
      <c r="P64" s="137"/>
      <c r="Q64" s="137"/>
      <c r="R64" s="137"/>
      <c r="T64" s="137" t="s">
        <v>42</v>
      </c>
      <c r="U64" s="137"/>
      <c r="V64" s="137"/>
      <c r="W64" s="137"/>
      <c r="X64" s="137"/>
      <c r="Y64" s="137"/>
    </row>
    <row r="65" spans="1:25" x14ac:dyDescent="0.3">
      <c r="B65" s="135" t="s">
        <v>42</v>
      </c>
      <c r="C65" s="135"/>
      <c r="D65" s="135"/>
      <c r="E65" s="135"/>
      <c r="F65" s="135"/>
      <c r="G65" s="135"/>
      <c r="L65" s="3"/>
      <c r="M65" s="64">
        <v>-1</v>
      </c>
      <c r="N65" s="65">
        <v>-2</v>
      </c>
      <c r="O65" s="65">
        <v>-3</v>
      </c>
      <c r="P65" s="65">
        <v>-4</v>
      </c>
      <c r="Q65" s="65">
        <v>-5</v>
      </c>
      <c r="R65" s="47"/>
      <c r="T65" s="64">
        <v>-1</v>
      </c>
      <c r="U65" s="65">
        <v>-2</v>
      </c>
      <c r="V65" s="65">
        <v>-3</v>
      </c>
      <c r="W65" s="65">
        <v>-4</v>
      </c>
      <c r="X65" s="65">
        <v>-5</v>
      </c>
      <c r="Y65" s="47"/>
    </row>
    <row r="66" spans="1:25" x14ac:dyDescent="0.3">
      <c r="A66" s="97"/>
      <c r="B66" s="46"/>
      <c r="C66" s="46"/>
      <c r="D66" s="46"/>
      <c r="E66" s="46"/>
      <c r="F66" s="46"/>
      <c r="G66" s="47"/>
      <c r="L66" s="3"/>
      <c r="M66" s="51"/>
      <c r="N66" s="83" t="s">
        <v>5</v>
      </c>
      <c r="O66" s="55" t="s">
        <v>0</v>
      </c>
      <c r="P66" s="83" t="s">
        <v>15</v>
      </c>
      <c r="Q66" s="83" t="s">
        <v>16</v>
      </c>
      <c r="R66" s="10" t="s">
        <v>35</v>
      </c>
      <c r="T66" s="51"/>
      <c r="U66" s="63" t="s">
        <v>5</v>
      </c>
      <c r="V66" s="66" t="s">
        <v>0</v>
      </c>
      <c r="W66" s="66" t="s">
        <v>15</v>
      </c>
      <c r="X66" s="66" t="s">
        <v>16</v>
      </c>
      <c r="Y66" s="10" t="s">
        <v>35</v>
      </c>
    </row>
    <row r="67" spans="1:25" x14ac:dyDescent="0.3">
      <c r="A67" s="52">
        <v>-1</v>
      </c>
      <c r="B67" s="53">
        <v>-2</v>
      </c>
      <c r="C67" s="53">
        <v>-3</v>
      </c>
      <c r="D67" s="53">
        <v>-4</v>
      </c>
      <c r="E67" s="53">
        <v>-5</v>
      </c>
      <c r="F67" s="11"/>
      <c r="G67" s="50"/>
      <c r="L67" s="3"/>
      <c r="M67" s="51" t="s">
        <v>85</v>
      </c>
      <c r="N67" s="67">
        <f>N48</f>
        <v>13</v>
      </c>
      <c r="O67" s="67"/>
      <c r="P67" s="80">
        <f>Residential!W64</f>
        <v>16.62</v>
      </c>
      <c r="Q67" s="69">
        <f>N67*P67</f>
        <v>216.06</v>
      </c>
      <c r="R67" s="70" t="s">
        <v>24</v>
      </c>
      <c r="T67" s="51" t="s">
        <v>85</v>
      </c>
      <c r="U67" s="82">
        <f>U48</f>
        <v>0</v>
      </c>
      <c r="V67" s="66"/>
      <c r="W67" s="80">
        <f>Residential!AD64</f>
        <v>31.49</v>
      </c>
      <c r="X67" s="69">
        <f>U67*W67</f>
        <v>0</v>
      </c>
      <c r="Y67" s="70" t="s">
        <v>24</v>
      </c>
    </row>
    <row r="68" spans="1:25" x14ac:dyDescent="0.3">
      <c r="A68" s="51"/>
      <c r="B68" s="83" t="s">
        <v>5</v>
      </c>
      <c r="C68" s="83" t="s">
        <v>0</v>
      </c>
      <c r="D68" s="83" t="s">
        <v>15</v>
      </c>
      <c r="E68" s="83" t="s">
        <v>16</v>
      </c>
      <c r="F68" s="83" t="s">
        <v>35</v>
      </c>
      <c r="G68" s="50"/>
      <c r="L68" s="3"/>
      <c r="M68" s="51" t="s">
        <v>89</v>
      </c>
      <c r="N68" s="67"/>
      <c r="O68" s="67"/>
      <c r="P68" s="80">
        <f>Residential!W65</f>
        <v>97.34</v>
      </c>
      <c r="Q68" s="71">
        <f>N68*P68</f>
        <v>0</v>
      </c>
      <c r="R68" s="70" t="s">
        <v>24</v>
      </c>
      <c r="T68" s="51" t="s">
        <v>89</v>
      </c>
      <c r="U68" s="82">
        <f>U49</f>
        <v>24</v>
      </c>
      <c r="V68" s="66"/>
      <c r="W68" s="80">
        <f>Residential!AD65</f>
        <v>112.21</v>
      </c>
      <c r="X68" s="71">
        <f>U68*W68</f>
        <v>2693.04</v>
      </c>
      <c r="Y68" s="70" t="s">
        <v>24</v>
      </c>
    </row>
    <row r="69" spans="1:25" x14ac:dyDescent="0.3">
      <c r="A69" s="51" t="s">
        <v>85</v>
      </c>
      <c r="B69" s="103">
        <f>B49</f>
        <v>96</v>
      </c>
      <c r="C69" s="83"/>
      <c r="D69" s="80">
        <f>Residential!K64</f>
        <v>33.81</v>
      </c>
      <c r="E69" s="69">
        <f>B69*D69</f>
        <v>3245.76</v>
      </c>
      <c r="F69" s="98" t="s">
        <v>24</v>
      </c>
      <c r="G69" s="50"/>
      <c r="L69" s="3"/>
      <c r="M69" s="51" t="s">
        <v>34</v>
      </c>
      <c r="N69" s="67"/>
      <c r="O69" s="67">
        <f>O50</f>
        <v>124</v>
      </c>
      <c r="P69" s="68">
        <f>Residential!W66</f>
        <v>1.4510000000000001</v>
      </c>
      <c r="Q69" s="91">
        <f>O69*P69</f>
        <v>179.92400000000001</v>
      </c>
      <c r="R69" s="70" t="s">
        <v>36</v>
      </c>
      <c r="T69" s="51" t="s">
        <v>34</v>
      </c>
      <c r="U69" s="57"/>
      <c r="V69" s="67">
        <f>V50</f>
        <v>251.96</v>
      </c>
      <c r="W69" s="68">
        <f>Residential!AD66</f>
        <v>0.73199999999999998</v>
      </c>
      <c r="X69" s="71">
        <f>V69*W69</f>
        <v>184.43472</v>
      </c>
      <c r="Y69" s="70" t="s">
        <v>36</v>
      </c>
    </row>
    <row r="70" spans="1:25" x14ac:dyDescent="0.3">
      <c r="A70" s="51" t="s">
        <v>89</v>
      </c>
      <c r="B70" s="103">
        <f>B50</f>
        <v>96</v>
      </c>
      <c r="C70" s="83"/>
      <c r="D70" s="80">
        <f>Residential!K65</f>
        <v>118.78</v>
      </c>
      <c r="E70" s="71">
        <f>B70*D70</f>
        <v>11402.880000000001</v>
      </c>
      <c r="F70" s="98" t="s">
        <v>24</v>
      </c>
      <c r="G70" s="50"/>
      <c r="L70" s="3"/>
      <c r="M70" s="51" t="s">
        <v>83</v>
      </c>
      <c r="N70" s="67"/>
      <c r="O70" s="67">
        <f t="shared" ref="O70:O72" si="12">O51</f>
        <v>75</v>
      </c>
      <c r="P70" s="68">
        <f>Residential!W67</f>
        <v>1.1579999999999999</v>
      </c>
      <c r="Q70" s="91">
        <f t="shared" ref="Q70:Q72" si="13">O70*P70</f>
        <v>86.85</v>
      </c>
      <c r="R70" s="70" t="s">
        <v>36</v>
      </c>
      <c r="T70" s="51" t="s">
        <v>83</v>
      </c>
      <c r="U70" s="11"/>
      <c r="V70" s="67">
        <f t="shared" ref="V70:V72" si="14">V51</f>
        <v>237.07999999999998</v>
      </c>
      <c r="W70" s="68">
        <f>Residential!AD67</f>
        <v>1.0669999999999999</v>
      </c>
      <c r="X70" s="71">
        <f>V70*W70</f>
        <v>252.96435999999997</v>
      </c>
      <c r="Y70" s="70" t="s">
        <v>36</v>
      </c>
    </row>
    <row r="71" spans="1:25" x14ac:dyDescent="0.3">
      <c r="A71" s="51" t="s">
        <v>26</v>
      </c>
      <c r="B71" s="103"/>
      <c r="C71" s="67">
        <f t="shared" ref="C71:C77" si="15">C51</f>
        <v>2487.7799999999997</v>
      </c>
      <c r="D71" s="68">
        <f>Residential!K66</f>
        <v>0.77</v>
      </c>
      <c r="E71" s="71">
        <f>C71*D71</f>
        <v>1915.5905999999998</v>
      </c>
      <c r="F71" s="98" t="s">
        <v>36</v>
      </c>
      <c r="G71" s="50"/>
      <c r="L71" s="3"/>
      <c r="M71" s="51" t="s">
        <v>29</v>
      </c>
      <c r="N71" s="67"/>
      <c r="O71" s="67">
        <f t="shared" si="12"/>
        <v>91</v>
      </c>
      <c r="P71" s="68">
        <f>Residential!W68</f>
        <v>1.085</v>
      </c>
      <c r="Q71" s="91">
        <f t="shared" si="13"/>
        <v>98.734999999999999</v>
      </c>
      <c r="R71" s="70" t="s">
        <v>36</v>
      </c>
      <c r="T71" s="51" t="s">
        <v>29</v>
      </c>
      <c r="U71" s="11"/>
      <c r="V71" s="67">
        <f t="shared" si="14"/>
        <v>274.8</v>
      </c>
      <c r="W71" s="68">
        <f>Residential!AD68</f>
        <v>0.91</v>
      </c>
      <c r="X71" s="71">
        <f t="shared" ref="X71:X72" si="16">V71*W71</f>
        <v>250.06800000000001</v>
      </c>
      <c r="Y71" s="70" t="s">
        <v>36</v>
      </c>
    </row>
    <row r="72" spans="1:25" x14ac:dyDescent="0.3">
      <c r="A72" s="51" t="s">
        <v>27</v>
      </c>
      <c r="B72" s="103"/>
      <c r="C72" s="67">
        <f t="shared" si="15"/>
        <v>834.39</v>
      </c>
      <c r="D72" s="68">
        <f>Residential!K67</f>
        <v>1.2030000000000001</v>
      </c>
      <c r="E72" s="71">
        <f>C72*D72</f>
        <v>1003.7711700000001</v>
      </c>
      <c r="F72" s="98" t="s">
        <v>36</v>
      </c>
      <c r="G72" s="50"/>
      <c r="M72" s="51" t="s">
        <v>84</v>
      </c>
      <c r="N72" s="67"/>
      <c r="O72" s="67">
        <f t="shared" si="12"/>
        <v>4</v>
      </c>
      <c r="P72" s="68">
        <f>Residential!W69</f>
        <v>0.97499999999999998</v>
      </c>
      <c r="Q72" s="91">
        <f t="shared" si="13"/>
        <v>3.9</v>
      </c>
      <c r="R72" s="70" t="s">
        <v>36</v>
      </c>
      <c r="T72" s="51" t="s">
        <v>84</v>
      </c>
      <c r="U72" s="11"/>
      <c r="V72" s="67">
        <f t="shared" si="14"/>
        <v>547.20000000000005</v>
      </c>
      <c r="W72" s="68">
        <f>Residential!AD69</f>
        <v>0.70699999999999996</v>
      </c>
      <c r="X72" s="71">
        <f t="shared" si="16"/>
        <v>386.87040000000002</v>
      </c>
      <c r="Y72" s="70" t="s">
        <v>36</v>
      </c>
    </row>
    <row r="73" spans="1:25" x14ac:dyDescent="0.3">
      <c r="A73" s="51" t="s">
        <v>28</v>
      </c>
      <c r="B73" s="11"/>
      <c r="C73" s="67">
        <f t="shared" si="15"/>
        <v>1402.96</v>
      </c>
      <c r="D73" s="68">
        <f>Residential!K68</f>
        <v>1.046</v>
      </c>
      <c r="E73" s="71">
        <f t="shared" ref="E73:E77" si="17">C73*D73</f>
        <v>1467.4961600000001</v>
      </c>
      <c r="F73" s="98" t="s">
        <v>36</v>
      </c>
      <c r="G73" s="50"/>
      <c r="M73" s="51"/>
      <c r="N73" s="67"/>
      <c r="O73" s="11"/>
      <c r="P73" s="11"/>
      <c r="Q73" s="11"/>
      <c r="R73" s="50"/>
      <c r="T73" s="51"/>
      <c r="U73" s="11"/>
      <c r="V73" s="67"/>
      <c r="W73" s="68"/>
      <c r="X73" s="71"/>
      <c r="Y73" s="70"/>
    </row>
    <row r="74" spans="1:25" x14ac:dyDescent="0.3">
      <c r="A74" s="51" t="s">
        <v>29</v>
      </c>
      <c r="B74" s="11"/>
      <c r="C74" s="67">
        <f t="shared" si="15"/>
        <v>2431.04</v>
      </c>
      <c r="D74" s="68">
        <f>Residential!K69</f>
        <v>0.91300000000000003</v>
      </c>
      <c r="E74" s="71">
        <f t="shared" si="17"/>
        <v>2219.5395200000003</v>
      </c>
      <c r="F74" s="98" t="s">
        <v>36</v>
      </c>
      <c r="G74" s="50"/>
      <c r="M74" s="59" t="s">
        <v>4</v>
      </c>
      <c r="N74" s="72">
        <f>SUM(N67:N73)</f>
        <v>13</v>
      </c>
      <c r="O74" s="73">
        <f>SUM(O67:O73)</f>
        <v>294</v>
      </c>
      <c r="P74" s="74"/>
      <c r="Q74" s="75">
        <f>SUM(Q67:Q73)</f>
        <v>585.46900000000005</v>
      </c>
      <c r="R74" s="76"/>
      <c r="T74" s="51"/>
      <c r="U74" s="11"/>
      <c r="V74" s="67"/>
      <c r="W74" s="68"/>
      <c r="X74" s="71"/>
      <c r="Y74" s="70"/>
    </row>
    <row r="75" spans="1:25" x14ac:dyDescent="0.3">
      <c r="A75" s="51" t="s">
        <v>30</v>
      </c>
      <c r="B75" s="11"/>
      <c r="C75" s="67">
        <f t="shared" si="15"/>
        <v>3612.35</v>
      </c>
      <c r="D75" s="68">
        <f>Residential!K70</f>
        <v>0.74199999999999999</v>
      </c>
      <c r="E75" s="71">
        <f t="shared" si="17"/>
        <v>2680.3636999999999</v>
      </c>
      <c r="F75" s="98" t="s">
        <v>36</v>
      </c>
      <c r="G75" s="50"/>
      <c r="P75" s="11"/>
      <c r="Q75" s="92"/>
      <c r="R75" s="11"/>
      <c r="T75" s="51"/>
      <c r="U75" s="11"/>
      <c r="V75" s="67"/>
      <c r="W75" s="68"/>
      <c r="X75" s="71"/>
      <c r="Y75" s="70"/>
    </row>
    <row r="76" spans="1:25" x14ac:dyDescent="0.3">
      <c r="A76" s="51" t="s">
        <v>31</v>
      </c>
      <c r="B76" s="11"/>
      <c r="C76" s="67">
        <f t="shared" si="15"/>
        <v>2457.25</v>
      </c>
      <c r="D76" s="68">
        <f>Residential!K71</f>
        <v>0.68600000000000005</v>
      </c>
      <c r="E76" s="71">
        <f t="shared" si="17"/>
        <v>1685.6735000000001</v>
      </c>
      <c r="F76" s="98" t="s">
        <v>36</v>
      </c>
      <c r="G76" s="50"/>
      <c r="P76" s="11"/>
      <c r="Q76" s="93"/>
      <c r="R76" s="11"/>
      <c r="T76" s="51"/>
      <c r="U76" s="11"/>
      <c r="V76" s="11"/>
      <c r="W76" s="11"/>
      <c r="X76" s="11"/>
      <c r="Y76" s="50"/>
    </row>
    <row r="77" spans="1:25" x14ac:dyDescent="0.3">
      <c r="A77" s="51" t="s">
        <v>32</v>
      </c>
      <c r="B77" s="11"/>
      <c r="C77" s="67">
        <f t="shared" si="15"/>
        <v>-2447.36</v>
      </c>
      <c r="D77" s="68">
        <f>Residential!K72</f>
        <v>0.66700000000000004</v>
      </c>
      <c r="E77" s="71">
        <f t="shared" si="17"/>
        <v>-1632.3891200000003</v>
      </c>
      <c r="F77" s="98" t="s">
        <v>36</v>
      </c>
      <c r="G77" s="50"/>
      <c r="T77" s="59" t="s">
        <v>4</v>
      </c>
      <c r="U77" s="73">
        <f>SUM(U67:U76)</f>
        <v>24</v>
      </c>
      <c r="V77" s="73">
        <f>SUM(V67:V76)</f>
        <v>1311.04</v>
      </c>
      <c r="W77" s="74"/>
      <c r="X77" s="75">
        <f>SUM(X67:X76)</f>
        <v>3767.3774800000001</v>
      </c>
      <c r="Y77" s="76"/>
    </row>
    <row r="78" spans="1:25" x14ac:dyDescent="0.3">
      <c r="A78" s="51"/>
      <c r="B78" s="11"/>
      <c r="C78" s="67"/>
      <c r="D78" s="11"/>
      <c r="E78" s="11"/>
      <c r="F78" s="11"/>
      <c r="G78" s="50"/>
      <c r="M78" s="136"/>
      <c r="N78" s="136"/>
      <c r="O78" s="136"/>
      <c r="P78" s="136"/>
      <c r="Q78" s="136"/>
      <c r="R78" s="136"/>
      <c r="T78" s="135"/>
      <c r="U78" s="135"/>
      <c r="V78" s="135"/>
      <c r="W78" s="135"/>
      <c r="X78" s="135"/>
      <c r="Y78" s="135"/>
    </row>
    <row r="79" spans="1:25" x14ac:dyDescent="0.3">
      <c r="A79" s="59" t="s">
        <v>4</v>
      </c>
      <c r="B79" s="60">
        <f>SUM(B69:B78)</f>
        <v>192</v>
      </c>
      <c r="C79" s="60">
        <f>SUM(C69:C78)</f>
        <v>10778.409999999998</v>
      </c>
      <c r="D79" s="74"/>
      <c r="E79" s="75">
        <f>SUM(E69:E78)</f>
        <v>23988.685530000006</v>
      </c>
      <c r="F79" s="99"/>
      <c r="G79" s="76"/>
      <c r="M79" s="136"/>
      <c r="N79" s="136"/>
      <c r="O79" s="136"/>
      <c r="P79" s="136"/>
      <c r="Q79" s="136"/>
      <c r="R79" s="136"/>
      <c r="T79" s="136"/>
      <c r="U79" s="136"/>
      <c r="V79" s="136"/>
      <c r="W79" s="136"/>
      <c r="X79" s="136"/>
      <c r="Y79" s="136"/>
    </row>
    <row r="80" spans="1:25" x14ac:dyDescent="0.3">
      <c r="M80" s="136"/>
      <c r="N80" s="136"/>
      <c r="O80" s="136"/>
      <c r="P80" s="136"/>
      <c r="Q80" s="136"/>
      <c r="R80" s="136"/>
      <c r="T80" s="135"/>
      <c r="U80" s="135"/>
      <c r="V80" s="135"/>
      <c r="W80" s="135"/>
      <c r="X80" s="135"/>
      <c r="Y80" s="135"/>
    </row>
    <row r="81" spans="1:25" x14ac:dyDescent="0.3">
      <c r="M81" s="136"/>
      <c r="N81" s="136"/>
      <c r="O81" s="136"/>
      <c r="P81" s="136"/>
      <c r="Q81" s="136"/>
      <c r="R81" s="136"/>
      <c r="T81" s="136"/>
      <c r="U81" s="136"/>
      <c r="V81" s="136"/>
      <c r="W81" s="136"/>
      <c r="X81" s="136"/>
      <c r="Y81" s="136"/>
    </row>
    <row r="82" spans="1:25" x14ac:dyDescent="0.3">
      <c r="B82" s="135" t="s">
        <v>77</v>
      </c>
      <c r="C82" s="135"/>
      <c r="D82" s="135"/>
      <c r="E82" s="135"/>
      <c r="F82" s="135"/>
      <c r="G82" s="135"/>
      <c r="M82" s="136" t="s">
        <v>100</v>
      </c>
      <c r="N82" s="136"/>
      <c r="O82" s="136"/>
      <c r="P82" s="136"/>
      <c r="Q82" s="136"/>
      <c r="R82" s="136"/>
      <c r="T82" s="135" t="s">
        <v>110</v>
      </c>
      <c r="U82" s="135"/>
      <c r="V82" s="135"/>
      <c r="W82" s="135"/>
      <c r="X82" s="135"/>
      <c r="Y82" s="135"/>
    </row>
    <row r="83" spans="1:25" x14ac:dyDescent="0.3">
      <c r="B83" s="136" t="s">
        <v>73</v>
      </c>
      <c r="C83" s="136"/>
      <c r="D83" s="136"/>
      <c r="E83" s="136"/>
      <c r="F83" s="136"/>
      <c r="G83" s="136"/>
      <c r="M83" s="136" t="s">
        <v>73</v>
      </c>
      <c r="N83" s="136"/>
      <c r="O83" s="136"/>
      <c r="P83" s="136"/>
      <c r="Q83" s="136"/>
      <c r="R83" s="136"/>
      <c r="T83" s="136" t="s">
        <v>73</v>
      </c>
      <c r="U83" s="136"/>
      <c r="V83" s="136"/>
      <c r="W83" s="136"/>
      <c r="X83" s="136"/>
      <c r="Y83" s="136"/>
    </row>
    <row r="84" spans="1:25" x14ac:dyDescent="0.3">
      <c r="B84" s="135" t="s">
        <v>42</v>
      </c>
      <c r="C84" s="135"/>
      <c r="D84" s="135"/>
      <c r="E84" s="135"/>
      <c r="F84" s="135"/>
      <c r="G84" s="135"/>
      <c r="M84" s="137" t="s">
        <v>42</v>
      </c>
      <c r="N84" s="137"/>
      <c r="O84" s="137"/>
      <c r="P84" s="137"/>
      <c r="Q84" s="137"/>
      <c r="R84" s="137"/>
      <c r="T84" s="137" t="s">
        <v>42</v>
      </c>
      <c r="U84" s="137"/>
      <c r="V84" s="137"/>
      <c r="W84" s="137"/>
      <c r="X84" s="137"/>
      <c r="Y84" s="137"/>
    </row>
    <row r="85" spans="1:25" x14ac:dyDescent="0.3">
      <c r="A85" s="97"/>
      <c r="B85" s="46"/>
      <c r="C85" s="46"/>
      <c r="D85" s="46"/>
      <c r="E85" s="46"/>
      <c r="F85" s="46"/>
      <c r="G85" s="47"/>
      <c r="M85" s="64">
        <v>-1</v>
      </c>
      <c r="N85" s="65">
        <v>-2</v>
      </c>
      <c r="O85" s="65">
        <v>-3</v>
      </c>
      <c r="P85" s="65">
        <v>-4</v>
      </c>
      <c r="Q85" s="65">
        <v>-5</v>
      </c>
      <c r="R85" s="47"/>
      <c r="T85" s="64">
        <v>-1</v>
      </c>
      <c r="U85" s="65">
        <v>-2</v>
      </c>
      <c r="V85" s="65">
        <v>-3</v>
      </c>
      <c r="W85" s="65">
        <v>-4</v>
      </c>
      <c r="X85" s="65">
        <v>-5</v>
      </c>
      <c r="Y85" s="47"/>
    </row>
    <row r="86" spans="1:25" x14ac:dyDescent="0.3">
      <c r="A86" s="52">
        <v>-1</v>
      </c>
      <c r="B86" s="53">
        <v>-2</v>
      </c>
      <c r="C86" s="53">
        <v>-3</v>
      </c>
      <c r="D86" s="53">
        <v>-4</v>
      </c>
      <c r="E86" s="53">
        <v>-5</v>
      </c>
      <c r="F86" s="11"/>
      <c r="G86" s="50"/>
      <c r="M86" s="51"/>
      <c r="N86" s="83" t="s">
        <v>5</v>
      </c>
      <c r="O86" s="55" t="s">
        <v>0</v>
      </c>
      <c r="P86" s="83" t="s">
        <v>15</v>
      </c>
      <c r="Q86" s="83" t="s">
        <v>16</v>
      </c>
      <c r="R86" s="10" t="s">
        <v>35</v>
      </c>
      <c r="T86" s="51"/>
      <c r="U86" s="63" t="s">
        <v>5</v>
      </c>
      <c r="V86" s="66" t="s">
        <v>0</v>
      </c>
      <c r="W86" s="66" t="s">
        <v>15</v>
      </c>
      <c r="X86" s="66" t="s">
        <v>16</v>
      </c>
      <c r="Y86" s="10" t="s">
        <v>35</v>
      </c>
    </row>
    <row r="87" spans="1:25" x14ac:dyDescent="0.3">
      <c r="A87" s="51"/>
      <c r="B87" s="83" t="s">
        <v>5</v>
      </c>
      <c r="C87" s="108" t="s">
        <v>0</v>
      </c>
      <c r="D87" s="83" t="s">
        <v>15</v>
      </c>
      <c r="E87" s="83" t="s">
        <v>16</v>
      </c>
      <c r="F87" s="83" t="s">
        <v>35</v>
      </c>
      <c r="G87" s="50"/>
      <c r="M87" s="51" t="s">
        <v>85</v>
      </c>
      <c r="N87" s="67">
        <f>N67</f>
        <v>13</v>
      </c>
      <c r="O87" s="67"/>
      <c r="P87" s="80">
        <f>Residential!W83</f>
        <v>28.42</v>
      </c>
      <c r="Q87" s="69">
        <f>N87*P87</f>
        <v>369.46000000000004</v>
      </c>
      <c r="R87" s="70" t="s">
        <v>24</v>
      </c>
      <c r="T87" s="51" t="s">
        <v>85</v>
      </c>
      <c r="U87" s="82">
        <f>U67</f>
        <v>0</v>
      </c>
      <c r="V87" s="66"/>
      <c r="W87" s="80">
        <f>Residential!AD83</f>
        <v>37.020000000000003</v>
      </c>
      <c r="X87" s="69">
        <f>U87*W87</f>
        <v>0</v>
      </c>
      <c r="Y87" s="70" t="s">
        <v>24</v>
      </c>
    </row>
    <row r="88" spans="1:25" x14ac:dyDescent="0.3">
      <c r="A88" s="51" t="s">
        <v>85</v>
      </c>
      <c r="B88" s="103">
        <f>B69</f>
        <v>96</v>
      </c>
      <c r="C88" s="83"/>
      <c r="D88" s="68">
        <f>Residential!K83</f>
        <v>38.22</v>
      </c>
      <c r="E88" s="69">
        <f>B88*D88</f>
        <v>3669.12</v>
      </c>
      <c r="F88" s="98" t="s">
        <v>24</v>
      </c>
      <c r="G88" s="50"/>
      <c r="M88" s="51" t="s">
        <v>89</v>
      </c>
      <c r="N88" s="67"/>
      <c r="O88" s="67"/>
      <c r="P88" s="80">
        <f>Residential!W84</f>
        <v>166.5</v>
      </c>
      <c r="Q88" s="71">
        <f>N88*P88</f>
        <v>0</v>
      </c>
      <c r="R88" s="70" t="s">
        <v>24</v>
      </c>
      <c r="T88" s="51" t="s">
        <v>89</v>
      </c>
      <c r="U88" s="82">
        <f>U68</f>
        <v>24</v>
      </c>
      <c r="V88" s="66"/>
      <c r="W88" s="80">
        <f>Residential!AD84</f>
        <v>177.22</v>
      </c>
      <c r="X88" s="71">
        <f>U88*W88</f>
        <v>4253.28</v>
      </c>
      <c r="Y88" s="70" t="s">
        <v>24</v>
      </c>
    </row>
    <row r="89" spans="1:25" x14ac:dyDescent="0.3">
      <c r="A89" s="51" t="s">
        <v>89</v>
      </c>
      <c r="B89" s="103">
        <f>B70</f>
        <v>96</v>
      </c>
      <c r="C89" s="83"/>
      <c r="D89" s="68">
        <f>Residential!K84</f>
        <v>179.91</v>
      </c>
      <c r="E89" s="71">
        <f>B89*D89</f>
        <v>17271.36</v>
      </c>
      <c r="F89" s="98" t="s">
        <v>24</v>
      </c>
      <c r="G89" s="50"/>
      <c r="M89" s="51" t="s">
        <v>34</v>
      </c>
      <c r="N89" s="67"/>
      <c r="O89" s="67">
        <f>O69</f>
        <v>124</v>
      </c>
      <c r="P89" s="68">
        <f>Residential!W85</f>
        <v>1.6579999999999999</v>
      </c>
      <c r="Q89" s="91">
        <f>O89*P89</f>
        <v>205.59199999999998</v>
      </c>
      <c r="R89" s="70" t="s">
        <v>36</v>
      </c>
      <c r="T89" s="51" t="s">
        <v>34</v>
      </c>
      <c r="U89" s="57"/>
      <c r="V89" s="67">
        <f>V69</f>
        <v>251.96</v>
      </c>
      <c r="W89" s="68">
        <f>Residential!AD85</f>
        <v>1.2709999999999999</v>
      </c>
      <c r="X89" s="71">
        <f>V89*W89</f>
        <v>320.24115999999998</v>
      </c>
      <c r="Y89" s="70" t="s">
        <v>36</v>
      </c>
    </row>
    <row r="90" spans="1:25" x14ac:dyDescent="0.3">
      <c r="A90" s="51" t="s">
        <v>26</v>
      </c>
      <c r="B90" s="57"/>
      <c r="C90" s="67">
        <f t="shared" ref="C90:C96" si="18">C71</f>
        <v>2487.7799999999997</v>
      </c>
      <c r="D90" s="68">
        <f>Residential!K85</f>
        <v>1.2849999999999999</v>
      </c>
      <c r="E90" s="71">
        <f>C90*D90</f>
        <v>3196.7972999999993</v>
      </c>
      <c r="F90" s="98" t="s">
        <v>36</v>
      </c>
      <c r="G90" s="50"/>
      <c r="M90" s="51" t="s">
        <v>83</v>
      </c>
      <c r="N90" s="67"/>
      <c r="O90" s="67">
        <f t="shared" ref="O90:O92" si="19">O70</f>
        <v>75</v>
      </c>
      <c r="P90" s="68">
        <f>Residential!W86</f>
        <v>1.157</v>
      </c>
      <c r="Q90" s="91">
        <f t="shared" ref="Q90:Q92" si="20">O90*P90</f>
        <v>86.775000000000006</v>
      </c>
      <c r="R90" s="70" t="s">
        <v>36</v>
      </c>
      <c r="T90" s="51" t="s">
        <v>83</v>
      </c>
      <c r="U90" s="11"/>
      <c r="V90" s="67">
        <f t="shared" ref="V90:V92" si="21">V70</f>
        <v>237.07999999999998</v>
      </c>
      <c r="W90" s="68">
        <f>Residential!AD86</f>
        <v>1.107</v>
      </c>
      <c r="X90" s="71">
        <f>V90*W90</f>
        <v>262.44755999999995</v>
      </c>
      <c r="Y90" s="70" t="s">
        <v>36</v>
      </c>
    </row>
    <row r="91" spans="1:25" x14ac:dyDescent="0.3">
      <c r="A91" s="51" t="s">
        <v>27</v>
      </c>
      <c r="B91" s="11"/>
      <c r="C91" s="67">
        <f t="shared" si="18"/>
        <v>834.39</v>
      </c>
      <c r="D91" s="68">
        <f>Residential!K86</f>
        <v>1.1819999999999999</v>
      </c>
      <c r="E91" s="71">
        <f>C91*D91</f>
        <v>986.24897999999996</v>
      </c>
      <c r="F91" s="98" t="s">
        <v>36</v>
      </c>
      <c r="G91" s="50"/>
      <c r="M91" s="51" t="s">
        <v>29</v>
      </c>
      <c r="N91" s="67"/>
      <c r="O91" s="67">
        <f t="shared" si="19"/>
        <v>91</v>
      </c>
      <c r="P91" s="68">
        <f>Residential!W87</f>
        <v>1.032</v>
      </c>
      <c r="Q91" s="91">
        <f t="shared" si="20"/>
        <v>93.912000000000006</v>
      </c>
      <c r="R91" s="70" t="s">
        <v>36</v>
      </c>
      <c r="T91" s="51" t="s">
        <v>29</v>
      </c>
      <c r="U91" s="11"/>
      <c r="V91" s="67">
        <f t="shared" si="21"/>
        <v>274.8</v>
      </c>
      <c r="W91" s="68">
        <f>Residential!AD87</f>
        <v>0.93400000000000005</v>
      </c>
      <c r="X91" s="71">
        <f t="shared" ref="X91:X92" si="22">V91*W91</f>
        <v>256.66320000000002</v>
      </c>
      <c r="Y91" s="70" t="s">
        <v>36</v>
      </c>
    </row>
    <row r="92" spans="1:25" x14ac:dyDescent="0.3">
      <c r="A92" s="51" t="s">
        <v>28</v>
      </c>
      <c r="B92" s="11"/>
      <c r="C92" s="67">
        <f t="shared" si="18"/>
        <v>1402.96</v>
      </c>
      <c r="D92" s="68">
        <f>Residential!K87</f>
        <v>1.095</v>
      </c>
      <c r="E92" s="71">
        <f t="shared" ref="E92:E96" si="23">C92*D92</f>
        <v>1536.2411999999999</v>
      </c>
      <c r="F92" s="98" t="s">
        <v>36</v>
      </c>
      <c r="G92" s="50"/>
      <c r="M92" s="51" t="s">
        <v>84</v>
      </c>
      <c r="N92" s="67"/>
      <c r="O92" s="67">
        <f t="shared" si="19"/>
        <v>4</v>
      </c>
      <c r="P92" s="68">
        <f>Residential!W88</f>
        <v>0.84399999999999997</v>
      </c>
      <c r="Q92" s="91">
        <f t="shared" si="20"/>
        <v>3.3759999999999999</v>
      </c>
      <c r="R92" s="70" t="s">
        <v>36</v>
      </c>
      <c r="T92" s="51" t="s">
        <v>84</v>
      </c>
      <c r="U92" s="11"/>
      <c r="V92" s="67">
        <f t="shared" si="21"/>
        <v>547.20000000000005</v>
      </c>
      <c r="W92" s="68">
        <f>Residential!AD88</f>
        <v>0.69199999999999995</v>
      </c>
      <c r="X92" s="71">
        <f t="shared" si="22"/>
        <v>378.66239999999999</v>
      </c>
      <c r="Y92" s="70" t="s">
        <v>36</v>
      </c>
    </row>
    <row r="93" spans="1:25" x14ac:dyDescent="0.3">
      <c r="A93" s="51" t="s">
        <v>29</v>
      </c>
      <c r="B93" s="11"/>
      <c r="C93" s="67">
        <f t="shared" si="18"/>
        <v>2431.04</v>
      </c>
      <c r="D93" s="68">
        <f>Residential!K88</f>
        <v>0.93500000000000005</v>
      </c>
      <c r="E93" s="71">
        <f t="shared" si="23"/>
        <v>2273.0224000000003</v>
      </c>
      <c r="F93" s="98" t="s">
        <v>36</v>
      </c>
      <c r="G93" s="50"/>
      <c r="M93" s="51"/>
      <c r="N93" s="67"/>
      <c r="O93" s="11"/>
      <c r="P93" s="11"/>
      <c r="Q93" s="11"/>
      <c r="R93" s="50"/>
      <c r="T93" s="51"/>
      <c r="U93" s="11"/>
      <c r="V93" s="67"/>
      <c r="W93" s="68"/>
      <c r="X93" s="71"/>
      <c r="Y93" s="70"/>
    </row>
    <row r="94" spans="1:25" x14ac:dyDescent="0.3">
      <c r="A94" s="51" t="s">
        <v>30</v>
      </c>
      <c r="B94" s="11"/>
      <c r="C94" s="67">
        <f t="shared" si="18"/>
        <v>3612.35</v>
      </c>
      <c r="D94" s="68">
        <f>Residential!K89</f>
        <v>0.71199999999999997</v>
      </c>
      <c r="E94" s="71">
        <f t="shared" si="23"/>
        <v>2571.9931999999999</v>
      </c>
      <c r="F94" s="98" t="s">
        <v>36</v>
      </c>
      <c r="G94" s="50"/>
      <c r="M94" s="59" t="s">
        <v>4</v>
      </c>
      <c r="N94" s="72">
        <f>SUM(N87:N93)</f>
        <v>13</v>
      </c>
      <c r="O94" s="73">
        <f>SUM(O87:O93)</f>
        <v>294</v>
      </c>
      <c r="P94" s="74"/>
      <c r="Q94" s="75">
        <f>SUM(Q87:Q93)</f>
        <v>759.11500000000001</v>
      </c>
      <c r="R94" s="76"/>
      <c r="T94" s="51"/>
      <c r="U94" s="11"/>
      <c r="V94" s="67"/>
      <c r="W94" s="68"/>
      <c r="X94" s="71"/>
      <c r="Y94" s="70"/>
    </row>
    <row r="95" spans="1:25" x14ac:dyDescent="0.3">
      <c r="A95" s="51" t="s">
        <v>31</v>
      </c>
      <c r="B95" s="11"/>
      <c r="C95" s="67">
        <f t="shared" si="18"/>
        <v>2457.25</v>
      </c>
      <c r="D95" s="68">
        <f>Residential!K90</f>
        <v>0.68100000000000005</v>
      </c>
      <c r="E95" s="71">
        <f t="shared" si="23"/>
        <v>1673.3872500000002</v>
      </c>
      <c r="F95" s="98" t="s">
        <v>36</v>
      </c>
      <c r="G95" s="50"/>
      <c r="T95" s="51"/>
      <c r="U95" s="11"/>
      <c r="V95" s="67"/>
      <c r="W95" s="68"/>
      <c r="X95" s="71"/>
      <c r="Y95" s="70"/>
    </row>
    <row r="96" spans="1:25" x14ac:dyDescent="0.3">
      <c r="A96" s="51" t="s">
        <v>32</v>
      </c>
      <c r="B96" s="11"/>
      <c r="C96" s="67">
        <f t="shared" si="18"/>
        <v>-2447.36</v>
      </c>
      <c r="D96" s="68">
        <f>Residential!K91</f>
        <v>0.67</v>
      </c>
      <c r="E96" s="71">
        <f t="shared" si="23"/>
        <v>-1639.7312000000002</v>
      </c>
      <c r="F96" s="98" t="s">
        <v>36</v>
      </c>
      <c r="G96" s="50"/>
      <c r="T96" s="51"/>
      <c r="U96" s="11"/>
      <c r="V96" s="11"/>
      <c r="W96" s="11"/>
      <c r="X96" s="11"/>
      <c r="Y96" s="50"/>
    </row>
    <row r="97" spans="1:25" x14ac:dyDescent="0.3">
      <c r="A97" s="51"/>
      <c r="B97" s="11"/>
      <c r="C97" s="11"/>
      <c r="D97" s="11"/>
      <c r="E97" s="11"/>
      <c r="F97" s="11"/>
      <c r="G97" s="50"/>
      <c r="M97" s="136"/>
      <c r="N97" s="136"/>
      <c r="O97" s="136"/>
      <c r="P97" s="136"/>
      <c r="Q97" s="136"/>
      <c r="R97" s="136"/>
      <c r="T97" s="59" t="s">
        <v>4</v>
      </c>
      <c r="U97" s="73">
        <f>SUM(U87:U96)</f>
        <v>24</v>
      </c>
      <c r="V97" s="73">
        <f>SUM(V87:V96)</f>
        <v>1311.04</v>
      </c>
      <c r="W97" s="74"/>
      <c r="X97" s="75">
        <f>SUM(X87:X96)</f>
        <v>5471.2943199999991</v>
      </c>
      <c r="Y97" s="76"/>
    </row>
    <row r="98" spans="1:25" x14ac:dyDescent="0.3">
      <c r="A98" s="59" t="s">
        <v>4</v>
      </c>
      <c r="B98" s="60">
        <f>SUM(B88:B97)</f>
        <v>192</v>
      </c>
      <c r="C98" s="60">
        <f>SUM(C88:C97)</f>
        <v>10778.409999999998</v>
      </c>
      <c r="D98" s="74"/>
      <c r="E98" s="75">
        <f>SUM(E88:E97)</f>
        <v>31538.439129999999</v>
      </c>
      <c r="F98" s="99"/>
      <c r="G98" s="76"/>
      <c r="M98" s="136"/>
      <c r="N98" s="136"/>
      <c r="O98" s="136"/>
      <c r="P98" s="136"/>
      <c r="Q98" s="136"/>
      <c r="R98" s="136"/>
      <c r="T98" s="136"/>
      <c r="U98" s="136"/>
      <c r="V98" s="136"/>
      <c r="W98" s="136"/>
      <c r="X98" s="136"/>
      <c r="Y98" s="136"/>
    </row>
    <row r="99" spans="1:25" x14ac:dyDescent="0.3">
      <c r="M99" s="136"/>
      <c r="N99" s="136"/>
      <c r="O99" s="136"/>
      <c r="P99" s="136"/>
      <c r="Q99" s="136"/>
      <c r="R99" s="136"/>
      <c r="T99" s="135"/>
      <c r="U99" s="135"/>
      <c r="V99" s="135"/>
      <c r="W99" s="135"/>
      <c r="X99" s="135"/>
      <c r="Y99" s="135"/>
    </row>
    <row r="100" spans="1:25" x14ac:dyDescent="0.3">
      <c r="M100" s="136"/>
      <c r="N100" s="136"/>
      <c r="O100" s="136"/>
      <c r="P100" s="136"/>
      <c r="Q100" s="136"/>
      <c r="R100" s="136"/>
      <c r="T100" s="136"/>
      <c r="U100" s="136"/>
      <c r="V100" s="136"/>
      <c r="W100" s="136"/>
      <c r="X100" s="136"/>
      <c r="Y100" s="136"/>
    </row>
    <row r="101" spans="1:25" x14ac:dyDescent="0.3">
      <c r="B101" s="135" t="s">
        <v>77</v>
      </c>
      <c r="C101" s="135"/>
      <c r="D101" s="135"/>
      <c r="E101" s="135"/>
      <c r="F101" s="135"/>
      <c r="G101" s="135"/>
      <c r="M101" s="136" t="s">
        <v>100</v>
      </c>
      <c r="N101" s="136"/>
      <c r="O101" s="136"/>
      <c r="P101" s="136"/>
      <c r="Q101" s="136"/>
      <c r="R101" s="136"/>
      <c r="T101" s="135" t="s">
        <v>110</v>
      </c>
      <c r="U101" s="135"/>
      <c r="V101" s="135"/>
      <c r="W101" s="135"/>
      <c r="X101" s="135"/>
      <c r="Y101" s="135"/>
    </row>
    <row r="102" spans="1:25" x14ac:dyDescent="0.3">
      <c r="B102" s="136" t="s">
        <v>74</v>
      </c>
      <c r="C102" s="136"/>
      <c r="D102" s="136"/>
      <c r="E102" s="136"/>
      <c r="F102" s="136"/>
      <c r="G102" s="136"/>
      <c r="M102" s="136" t="s">
        <v>74</v>
      </c>
      <c r="N102" s="136"/>
      <c r="O102" s="136"/>
      <c r="P102" s="136"/>
      <c r="Q102" s="136"/>
      <c r="R102" s="136"/>
      <c r="T102" s="136" t="s">
        <v>74</v>
      </c>
      <c r="U102" s="136"/>
      <c r="V102" s="136"/>
      <c r="W102" s="136"/>
      <c r="X102" s="136"/>
      <c r="Y102" s="136"/>
    </row>
    <row r="103" spans="1:25" x14ac:dyDescent="0.3">
      <c r="B103" s="135" t="s">
        <v>42</v>
      </c>
      <c r="C103" s="135"/>
      <c r="D103" s="135"/>
      <c r="E103" s="135"/>
      <c r="F103" s="135"/>
      <c r="G103" s="135"/>
      <c r="M103" s="135" t="s">
        <v>42</v>
      </c>
      <c r="N103" s="135"/>
      <c r="O103" s="135"/>
      <c r="P103" s="135"/>
      <c r="Q103" s="135"/>
      <c r="R103" s="137"/>
      <c r="T103" s="137" t="s">
        <v>42</v>
      </c>
      <c r="U103" s="137"/>
      <c r="V103" s="137"/>
      <c r="W103" s="137"/>
      <c r="X103" s="137"/>
      <c r="Y103" s="137"/>
    </row>
    <row r="104" spans="1:25" x14ac:dyDescent="0.3">
      <c r="A104" s="97"/>
      <c r="B104" s="46"/>
      <c r="C104" s="46"/>
      <c r="D104" s="46"/>
      <c r="E104" s="46"/>
      <c r="F104" s="46"/>
      <c r="G104" s="47"/>
      <c r="M104" s="64"/>
      <c r="N104" s="65"/>
      <c r="O104" s="65"/>
      <c r="P104" s="65"/>
      <c r="Q104" s="65"/>
      <c r="R104" s="47"/>
      <c r="T104" s="64">
        <v>-1</v>
      </c>
      <c r="U104" s="65">
        <v>-2</v>
      </c>
      <c r="V104" s="65">
        <v>-3</v>
      </c>
      <c r="W104" s="65">
        <v>-4</v>
      </c>
      <c r="X104" s="65">
        <v>-5</v>
      </c>
      <c r="Y104" s="47"/>
    </row>
    <row r="105" spans="1:25" x14ac:dyDescent="0.3">
      <c r="A105" s="52">
        <v>-1</v>
      </c>
      <c r="B105" s="53">
        <v>-2</v>
      </c>
      <c r="C105" s="53">
        <v>-3</v>
      </c>
      <c r="D105" s="53">
        <v>-4</v>
      </c>
      <c r="E105" s="53">
        <v>-5</v>
      </c>
      <c r="F105" s="11"/>
      <c r="G105" s="50"/>
      <c r="M105" s="52">
        <v>-1</v>
      </c>
      <c r="N105" s="53">
        <v>-2</v>
      </c>
      <c r="O105" s="53">
        <v>-3</v>
      </c>
      <c r="P105" s="53">
        <v>-4</v>
      </c>
      <c r="Q105" s="53">
        <v>-5</v>
      </c>
      <c r="R105" s="50"/>
      <c r="T105" s="51"/>
      <c r="U105" s="63" t="s">
        <v>5</v>
      </c>
      <c r="V105" s="66" t="s">
        <v>0</v>
      </c>
      <c r="W105" s="66" t="s">
        <v>15</v>
      </c>
      <c r="X105" s="66" t="s">
        <v>16</v>
      </c>
      <c r="Y105" s="10" t="s">
        <v>35</v>
      </c>
    </row>
    <row r="106" spans="1:25" x14ac:dyDescent="0.3">
      <c r="A106" s="51"/>
      <c r="B106" s="83" t="s">
        <v>5</v>
      </c>
      <c r="C106" s="108" t="s">
        <v>0</v>
      </c>
      <c r="D106" s="83" t="s">
        <v>15</v>
      </c>
      <c r="E106" s="83" t="s">
        <v>16</v>
      </c>
      <c r="F106" s="83" t="s">
        <v>35</v>
      </c>
      <c r="G106" s="50"/>
      <c r="M106" s="51"/>
      <c r="N106" s="83" t="s">
        <v>5</v>
      </c>
      <c r="O106" s="55" t="s">
        <v>0</v>
      </c>
      <c r="P106" s="83" t="s">
        <v>15</v>
      </c>
      <c r="Q106" s="83" t="s">
        <v>16</v>
      </c>
      <c r="R106" s="10" t="s">
        <v>35</v>
      </c>
      <c r="T106" s="51" t="s">
        <v>85</v>
      </c>
      <c r="U106" s="82">
        <f>U87</f>
        <v>0</v>
      </c>
      <c r="V106" s="66"/>
      <c r="W106" s="80">
        <f>Residential!AD102</f>
        <v>43.73</v>
      </c>
      <c r="X106" s="69">
        <f>U106*W106</f>
        <v>0</v>
      </c>
      <c r="Y106" s="70" t="s">
        <v>24</v>
      </c>
    </row>
    <row r="107" spans="1:25" x14ac:dyDescent="0.3">
      <c r="A107" s="51" t="s">
        <v>85</v>
      </c>
      <c r="B107" s="103">
        <f>B88</f>
        <v>96</v>
      </c>
      <c r="C107" s="83"/>
      <c r="D107" s="68">
        <f>Residential!K102</f>
        <v>43.73</v>
      </c>
      <c r="E107" s="69">
        <f>B107*D107</f>
        <v>4198.08</v>
      </c>
      <c r="F107" s="98" t="s">
        <v>24</v>
      </c>
      <c r="G107" s="50"/>
      <c r="M107" s="51" t="s">
        <v>85</v>
      </c>
      <c r="N107" s="67">
        <f>N87</f>
        <v>13</v>
      </c>
      <c r="O107" s="67"/>
      <c r="P107" s="80">
        <f>Residential!W102</f>
        <v>43.73</v>
      </c>
      <c r="Q107" s="69">
        <f>N107*P107</f>
        <v>568.49</v>
      </c>
      <c r="R107" s="70" t="s">
        <v>24</v>
      </c>
      <c r="T107" s="51" t="s">
        <v>89</v>
      </c>
      <c r="U107" s="82">
        <f>U88</f>
        <v>24</v>
      </c>
      <c r="V107" s="66"/>
      <c r="W107" s="80">
        <f>Residential!AD103</f>
        <v>256.16000000000003</v>
      </c>
      <c r="X107" s="71">
        <f>U107*W107</f>
        <v>6147.84</v>
      </c>
      <c r="Y107" s="70" t="s">
        <v>24</v>
      </c>
    </row>
    <row r="108" spans="1:25" x14ac:dyDescent="0.3">
      <c r="A108" s="51" t="s">
        <v>89</v>
      </c>
      <c r="B108" s="103">
        <f>B89</f>
        <v>96</v>
      </c>
      <c r="C108" s="83"/>
      <c r="D108" s="68">
        <f>Residential!K103</f>
        <v>256.16000000000003</v>
      </c>
      <c r="E108" s="71">
        <f>B108*D108</f>
        <v>24591.360000000001</v>
      </c>
      <c r="F108" s="98" t="s">
        <v>24</v>
      </c>
      <c r="G108" s="50"/>
      <c r="M108" s="51" t="s">
        <v>89</v>
      </c>
      <c r="N108" s="67"/>
      <c r="O108" s="67"/>
      <c r="P108" s="80">
        <f>Residential!W103</f>
        <v>256.16000000000003</v>
      </c>
      <c r="Q108" s="71">
        <f>N108*P108</f>
        <v>0</v>
      </c>
      <c r="R108" s="70" t="s">
        <v>24</v>
      </c>
      <c r="T108" s="51" t="s">
        <v>34</v>
      </c>
      <c r="U108" s="57"/>
      <c r="V108" s="67">
        <f>V89</f>
        <v>251.96</v>
      </c>
      <c r="W108" s="68">
        <f>Residential!AD104</f>
        <v>1.9259999999999999</v>
      </c>
      <c r="X108" s="71">
        <f>V108*W108</f>
        <v>485.27496000000002</v>
      </c>
      <c r="Y108" s="70" t="s">
        <v>36</v>
      </c>
    </row>
    <row r="109" spans="1:25" x14ac:dyDescent="0.3">
      <c r="A109" s="51" t="s">
        <v>34</v>
      </c>
      <c r="B109" s="57"/>
      <c r="C109" s="67">
        <f t="shared" ref="C109" si="24">C90</f>
        <v>2487.7799999999997</v>
      </c>
      <c r="D109" s="68">
        <f>Residential!K104</f>
        <v>1.9259999999999999</v>
      </c>
      <c r="E109" s="71">
        <f>C109*D109</f>
        <v>4791.4642799999992</v>
      </c>
      <c r="F109" s="98" t="s">
        <v>36</v>
      </c>
      <c r="G109" s="50"/>
      <c r="M109" s="51" t="s">
        <v>34</v>
      </c>
      <c r="N109" s="67"/>
      <c r="O109" s="67">
        <f>O89</f>
        <v>124</v>
      </c>
      <c r="P109" s="68">
        <f>Residential!W104</f>
        <v>1.9259999999999999</v>
      </c>
      <c r="Q109" s="91">
        <f>O109*P109</f>
        <v>238.82399999999998</v>
      </c>
      <c r="R109" s="70" t="s">
        <v>36</v>
      </c>
      <c r="T109" s="51" t="s">
        <v>83</v>
      </c>
      <c r="U109" s="11"/>
      <c r="V109" s="67">
        <f t="shared" ref="V109:V111" si="25">V90</f>
        <v>237.07999999999998</v>
      </c>
      <c r="W109" s="68">
        <f>Residential!AD105</f>
        <v>1.1559999999999999</v>
      </c>
      <c r="X109" s="71">
        <f>V109*W109</f>
        <v>274.06447999999995</v>
      </c>
      <c r="Y109" s="70" t="s">
        <v>36</v>
      </c>
    </row>
    <row r="110" spans="1:25" x14ac:dyDescent="0.3">
      <c r="A110" s="51" t="s">
        <v>83</v>
      </c>
      <c r="B110" s="11"/>
      <c r="C110" s="67">
        <f>C91+C92</f>
        <v>2237.35</v>
      </c>
      <c r="D110" s="68">
        <f>Residential!K105</f>
        <v>1.1559999999999999</v>
      </c>
      <c r="E110" s="71">
        <f>C110*D110</f>
        <v>2586.3765999999996</v>
      </c>
      <c r="F110" s="98" t="s">
        <v>36</v>
      </c>
      <c r="G110" s="50"/>
      <c r="M110" s="51" t="s">
        <v>83</v>
      </c>
      <c r="N110" s="67"/>
      <c r="O110" s="67">
        <f>O90</f>
        <v>75</v>
      </c>
      <c r="P110" s="68">
        <f>Residential!W105</f>
        <v>1.1559999999999999</v>
      </c>
      <c r="Q110" s="91">
        <f t="shared" ref="Q110:Q112" si="26">O110*P110</f>
        <v>86.699999999999989</v>
      </c>
      <c r="R110" s="70" t="s">
        <v>36</v>
      </c>
      <c r="T110" s="51" t="s">
        <v>29</v>
      </c>
      <c r="U110" s="11"/>
      <c r="V110" s="67">
        <f t="shared" si="25"/>
        <v>274.8</v>
      </c>
      <c r="W110" s="68">
        <f>Residential!AD106</f>
        <v>0.96299999999999997</v>
      </c>
      <c r="X110" s="71">
        <f t="shared" ref="X110:X111" si="27">V110*W110</f>
        <v>264.63240000000002</v>
      </c>
      <c r="Y110" s="70" t="s">
        <v>36</v>
      </c>
    </row>
    <row r="111" spans="1:25" x14ac:dyDescent="0.3">
      <c r="A111" s="51" t="s">
        <v>29</v>
      </c>
      <c r="B111" s="11"/>
      <c r="C111" s="67">
        <f>C93</f>
        <v>2431.04</v>
      </c>
      <c r="D111" s="68">
        <f>Residential!K106</f>
        <v>0.96299999999999997</v>
      </c>
      <c r="E111" s="71">
        <f t="shared" ref="E111:E112" si="28">C111*D111</f>
        <v>2341.0915199999999</v>
      </c>
      <c r="F111" s="98" t="s">
        <v>36</v>
      </c>
      <c r="G111" s="50"/>
      <c r="M111" s="51" t="s">
        <v>29</v>
      </c>
      <c r="N111" s="67"/>
      <c r="O111" s="67">
        <f>O91</f>
        <v>91</v>
      </c>
      <c r="P111" s="68">
        <f>Residential!W106</f>
        <v>0.96299999999999997</v>
      </c>
      <c r="Q111" s="91">
        <f t="shared" si="26"/>
        <v>87.632999999999996</v>
      </c>
      <c r="R111" s="70" t="s">
        <v>36</v>
      </c>
      <c r="T111" s="51" t="s">
        <v>84</v>
      </c>
      <c r="U111" s="11"/>
      <c r="V111" s="67">
        <f t="shared" si="25"/>
        <v>547.20000000000005</v>
      </c>
      <c r="W111" s="68">
        <f>Residential!AD107</f>
        <v>0.67400000000000004</v>
      </c>
      <c r="X111" s="71">
        <f t="shared" si="27"/>
        <v>368.81280000000004</v>
      </c>
      <c r="Y111" s="70" t="s">
        <v>36</v>
      </c>
    </row>
    <row r="112" spans="1:25" x14ac:dyDescent="0.3">
      <c r="A112" s="51" t="s">
        <v>84</v>
      </c>
      <c r="B112" s="11"/>
      <c r="C112" s="67">
        <f>C94+C95+C96</f>
        <v>3622.2400000000002</v>
      </c>
      <c r="D112" s="68">
        <f>Residential!K107</f>
        <v>0.67400000000000004</v>
      </c>
      <c r="E112" s="71">
        <f t="shared" si="28"/>
        <v>2441.3897600000005</v>
      </c>
      <c r="F112" s="98" t="s">
        <v>36</v>
      </c>
      <c r="G112" s="50"/>
      <c r="M112" s="51" t="s">
        <v>84</v>
      </c>
      <c r="N112" s="67"/>
      <c r="O112" s="67">
        <f>O92</f>
        <v>4</v>
      </c>
      <c r="P112" s="68">
        <f>Residential!W107</f>
        <v>0.67400000000000004</v>
      </c>
      <c r="Q112" s="91">
        <f t="shared" si="26"/>
        <v>2.6960000000000002</v>
      </c>
      <c r="R112" s="70" t="s">
        <v>36</v>
      </c>
      <c r="T112" s="51"/>
      <c r="U112" s="11"/>
      <c r="V112" s="11"/>
      <c r="W112" s="11"/>
      <c r="X112" s="11"/>
      <c r="Y112" s="50"/>
    </row>
    <row r="113" spans="1:25" x14ac:dyDescent="0.3">
      <c r="A113" s="51"/>
      <c r="B113" s="11"/>
      <c r="C113" s="11"/>
      <c r="D113" s="11"/>
      <c r="E113" s="11"/>
      <c r="F113" s="11"/>
      <c r="G113" s="50"/>
      <c r="M113" s="51"/>
      <c r="N113" s="67"/>
      <c r="O113" s="11"/>
      <c r="P113" s="11"/>
      <c r="Q113" s="11"/>
      <c r="R113" s="50"/>
      <c r="T113" s="59" t="s">
        <v>4</v>
      </c>
      <c r="U113" s="73">
        <f>SUM(U106:U112)</f>
        <v>24</v>
      </c>
      <c r="V113" s="73">
        <f>SUM(V106:V112)</f>
        <v>1311.04</v>
      </c>
      <c r="W113" s="74"/>
      <c r="X113" s="75">
        <f>SUM(X106:X112)</f>
        <v>7540.62464</v>
      </c>
      <c r="Y113" s="76"/>
    </row>
    <row r="114" spans="1:25" x14ac:dyDescent="0.3">
      <c r="A114" s="59" t="s">
        <v>4</v>
      </c>
      <c r="B114" s="60">
        <f>SUM(B107:B113)</f>
        <v>192</v>
      </c>
      <c r="C114" s="60">
        <f>SUM(C107:C113)</f>
        <v>10778.41</v>
      </c>
      <c r="D114" s="74"/>
      <c r="E114" s="75">
        <f>SUM(E107:E113)</f>
        <v>40949.762160000006</v>
      </c>
      <c r="F114" s="99"/>
      <c r="G114" s="76"/>
      <c r="M114" s="59" t="s">
        <v>4</v>
      </c>
      <c r="N114" s="72">
        <f>SUM(N107:N113)</f>
        <v>13</v>
      </c>
      <c r="O114" s="73">
        <f>SUM(O107:O113)</f>
        <v>294</v>
      </c>
      <c r="P114" s="74"/>
      <c r="Q114" s="75">
        <f>SUM(Q107:Q113)</f>
        <v>984.34299999999996</v>
      </c>
      <c r="R114" s="76"/>
    </row>
  </sheetData>
  <mergeCells count="81">
    <mergeCell ref="T82:Y82"/>
    <mergeCell ref="T98:Y98"/>
    <mergeCell ref="T80:Y80"/>
    <mergeCell ref="T81:Y81"/>
    <mergeCell ref="T63:Y63"/>
    <mergeCell ref="T78:Y78"/>
    <mergeCell ref="T79:Y79"/>
    <mergeCell ref="T64:Y64"/>
    <mergeCell ref="T83:Y83"/>
    <mergeCell ref="M102:R102"/>
    <mergeCell ref="M103:R103"/>
    <mergeCell ref="M100:R100"/>
    <mergeCell ref="M101:R101"/>
    <mergeCell ref="T84:Y84"/>
    <mergeCell ref="T102:Y102"/>
    <mergeCell ref="T103:Y103"/>
    <mergeCell ref="T101:Y101"/>
    <mergeCell ref="T99:Y99"/>
    <mergeCell ref="T100:Y100"/>
    <mergeCell ref="T5:AA5"/>
    <mergeCell ref="T6:AA6"/>
    <mergeCell ref="T7:AA7"/>
    <mergeCell ref="T24:Y24"/>
    <mergeCell ref="T25:Y25"/>
    <mergeCell ref="T26:Y26"/>
    <mergeCell ref="T41:Y41"/>
    <mergeCell ref="T42:Y42"/>
    <mergeCell ref="T43:Y43"/>
    <mergeCell ref="T59:Y59"/>
    <mergeCell ref="T27:Y27"/>
    <mergeCell ref="T44:Y44"/>
    <mergeCell ref="T45:Y45"/>
    <mergeCell ref="T60:Y60"/>
    <mergeCell ref="T61:Y61"/>
    <mergeCell ref="T62:Y62"/>
    <mergeCell ref="M27:R27"/>
    <mergeCell ref="M44:R44"/>
    <mergeCell ref="M45:R45"/>
    <mergeCell ref="M64:R64"/>
    <mergeCell ref="M83:R83"/>
    <mergeCell ref="M97:R97"/>
    <mergeCell ref="M98:R98"/>
    <mergeCell ref="M99:R99"/>
    <mergeCell ref="M78:R78"/>
    <mergeCell ref="M79:R79"/>
    <mergeCell ref="M80:R80"/>
    <mergeCell ref="M81:R81"/>
    <mergeCell ref="M82:R82"/>
    <mergeCell ref="M84:R84"/>
    <mergeCell ref="B101:G101"/>
    <mergeCell ref="B102:G102"/>
    <mergeCell ref="M5:Q5"/>
    <mergeCell ref="M6:Q6"/>
    <mergeCell ref="M7:Q7"/>
    <mergeCell ref="M24:R24"/>
    <mergeCell ref="M25:R25"/>
    <mergeCell ref="M26:R26"/>
    <mergeCell ref="M41:R41"/>
    <mergeCell ref="M42:R42"/>
    <mergeCell ref="M43:R43"/>
    <mergeCell ref="M59:R59"/>
    <mergeCell ref="M60:R60"/>
    <mergeCell ref="M61:R61"/>
    <mergeCell ref="M62:R62"/>
    <mergeCell ref="M63:R63"/>
    <mergeCell ref="A5:K5"/>
    <mergeCell ref="A6:K6"/>
    <mergeCell ref="A7:K7"/>
    <mergeCell ref="B103:G103"/>
    <mergeCell ref="B25:G25"/>
    <mergeCell ref="B26:G26"/>
    <mergeCell ref="B27:G27"/>
    <mergeCell ref="B43:G43"/>
    <mergeCell ref="B44:G44"/>
    <mergeCell ref="B45:G45"/>
    <mergeCell ref="B63:G63"/>
    <mergeCell ref="B64:G64"/>
    <mergeCell ref="B65:G65"/>
    <mergeCell ref="B82:G82"/>
    <mergeCell ref="B83:G83"/>
    <mergeCell ref="B84:G84"/>
  </mergeCells>
  <printOptions horizontalCentered="1"/>
  <pageMargins left="0.25" right="0.25" top="0.75" bottom="0.75" header="0.3" footer="0.3"/>
  <pageSetup scale="65" fitToWidth="2" orientation="portrait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0C955-9C9A-4E6E-BA8C-E1307A3E51F7}">
  <sheetPr>
    <pageSetUpPr fitToPage="1"/>
  </sheetPr>
  <dimension ref="A1:L22"/>
  <sheetViews>
    <sheetView zoomScaleNormal="100" workbookViewId="0">
      <selection activeCell="B18" sqref="B18"/>
    </sheetView>
  </sheetViews>
  <sheetFormatPr defaultRowHeight="14.4" x14ac:dyDescent="0.3"/>
  <cols>
    <col min="1" max="1" width="19.44140625" customWidth="1"/>
    <col min="2" max="2" width="11.5546875" bestFit="1" customWidth="1"/>
    <col min="3" max="3" width="1.88671875" customWidth="1"/>
    <col min="4" max="4" width="11.5546875" bestFit="1" customWidth="1"/>
    <col min="5" max="5" width="1.88671875" customWidth="1"/>
    <col min="6" max="6" width="11.5546875" bestFit="1" customWidth="1"/>
    <col min="7" max="7" width="1.88671875" customWidth="1"/>
    <col min="8" max="8" width="11.5546875" bestFit="1" customWidth="1"/>
    <col min="9" max="9" width="1.88671875" customWidth="1"/>
    <col min="10" max="10" width="12.33203125" customWidth="1"/>
    <col min="11" max="11" width="3.44140625" customWidth="1"/>
    <col min="12" max="12" width="9.5546875" bestFit="1" customWidth="1"/>
  </cols>
  <sheetData>
    <row r="1" spans="1:12" x14ac:dyDescent="0.3">
      <c r="A1" s="43" t="s">
        <v>17</v>
      </c>
    </row>
    <row r="2" spans="1:12" x14ac:dyDescent="0.3">
      <c r="A2" s="43" t="s">
        <v>65</v>
      </c>
    </row>
    <row r="3" spans="1:12" x14ac:dyDescent="0.3">
      <c r="A3" s="43" t="s">
        <v>71</v>
      </c>
    </row>
    <row r="4" spans="1:12" x14ac:dyDescent="0.3">
      <c r="A4" s="43" t="s">
        <v>114</v>
      </c>
    </row>
    <row r="6" spans="1:12" x14ac:dyDescent="0.3">
      <c r="A6" s="136" t="s">
        <v>153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2" x14ac:dyDescent="0.3">
      <c r="A7" s="141" t="s">
        <v>113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2" ht="15" thickBot="1" x14ac:dyDescent="0.35"/>
    <row r="9" spans="1:12" ht="15" thickBot="1" x14ac:dyDescent="0.35">
      <c r="B9" s="138" t="s">
        <v>114</v>
      </c>
      <c r="C9" s="139"/>
      <c r="D9" s="139"/>
      <c r="E9" s="139"/>
      <c r="F9" s="139"/>
      <c r="G9" s="139"/>
      <c r="H9" s="139"/>
      <c r="I9" s="139"/>
      <c r="J9" s="140"/>
    </row>
    <row r="10" spans="1:12" ht="28.8" x14ac:dyDescent="0.3">
      <c r="B10" s="38" t="s">
        <v>118</v>
      </c>
      <c r="D10" s="39" t="s">
        <v>119</v>
      </c>
      <c r="F10" s="39" t="s">
        <v>120</v>
      </c>
      <c r="H10" s="39" t="s">
        <v>121</v>
      </c>
      <c r="J10" s="39" t="s">
        <v>122</v>
      </c>
      <c r="L10" s="128" t="s">
        <v>152</v>
      </c>
    </row>
    <row r="12" spans="1:12" x14ac:dyDescent="0.3">
      <c r="A12" t="s">
        <v>147</v>
      </c>
      <c r="B12" s="88">
        <v>35.14</v>
      </c>
      <c r="C12" s="88"/>
      <c r="D12" s="88">
        <v>36.600299999999997</v>
      </c>
      <c r="E12" s="88"/>
      <c r="F12" s="88">
        <v>38.490099999999998</v>
      </c>
      <c r="G12" s="88"/>
      <c r="H12" s="88">
        <v>40.895299999999999</v>
      </c>
      <c r="I12" s="88"/>
      <c r="J12" s="88">
        <v>43.73</v>
      </c>
      <c r="L12" s="84">
        <v>1093.8850313033579</v>
      </c>
    </row>
    <row r="13" spans="1:12" x14ac:dyDescent="0.3">
      <c r="A13" s="133" t="s">
        <v>148</v>
      </c>
      <c r="B13" s="132">
        <v>0</v>
      </c>
      <c r="C13" s="132"/>
      <c r="D13" s="132">
        <v>0.32741999999999999</v>
      </c>
      <c r="E13" s="132"/>
      <c r="F13" s="132">
        <v>0.75114000000000003</v>
      </c>
      <c r="G13" s="132"/>
      <c r="H13" s="132">
        <v>1.2904200000000001</v>
      </c>
      <c r="I13" s="132"/>
      <c r="J13" s="132">
        <v>1.9259999999999999</v>
      </c>
      <c r="L13" s="84">
        <v>18887</v>
      </c>
    </row>
    <row r="14" spans="1:12" x14ac:dyDescent="0.3">
      <c r="A14" s="133" t="s">
        <v>149</v>
      </c>
      <c r="B14" s="132">
        <v>0</v>
      </c>
      <c r="C14" s="132"/>
      <c r="D14" s="132">
        <v>0.19652</v>
      </c>
      <c r="E14" s="132"/>
      <c r="F14" s="132">
        <v>0.45083999999999996</v>
      </c>
      <c r="G14" s="132"/>
      <c r="H14" s="132">
        <v>0.77451999999999999</v>
      </c>
      <c r="I14" s="132"/>
      <c r="J14" s="132">
        <v>1.1559999999999999</v>
      </c>
      <c r="L14" s="84">
        <v>13599</v>
      </c>
    </row>
    <row r="15" spans="1:12" x14ac:dyDescent="0.3">
      <c r="A15" s="133" t="s">
        <v>150</v>
      </c>
      <c r="B15" s="132">
        <v>0</v>
      </c>
      <c r="C15" s="132"/>
      <c r="D15" s="132">
        <v>0.16370999999999999</v>
      </c>
      <c r="E15" s="132"/>
      <c r="F15" s="132">
        <v>0.37557000000000001</v>
      </c>
      <c r="G15" s="132"/>
      <c r="H15" s="132">
        <v>0.64521000000000006</v>
      </c>
      <c r="I15" s="132"/>
      <c r="J15" s="132">
        <v>0.96299999999999997</v>
      </c>
      <c r="L15" s="84">
        <v>4428</v>
      </c>
    </row>
    <row r="16" spans="1:12" x14ac:dyDescent="0.3">
      <c r="A16" s="133" t="s">
        <v>151</v>
      </c>
      <c r="B16" s="132">
        <v>0</v>
      </c>
      <c r="C16" s="132"/>
      <c r="D16" s="132">
        <v>0.11458000000000002</v>
      </c>
      <c r="E16" s="132"/>
      <c r="F16" s="132">
        <v>0.26286000000000004</v>
      </c>
      <c r="G16" s="132"/>
      <c r="H16" s="132">
        <v>0.45158000000000004</v>
      </c>
      <c r="I16" s="132"/>
      <c r="J16" s="132">
        <v>0.67400000000000004</v>
      </c>
      <c r="L16" s="84">
        <v>349</v>
      </c>
    </row>
    <row r="18" spans="1:10" x14ac:dyDescent="0.3">
      <c r="A18" t="s">
        <v>115</v>
      </c>
      <c r="B18" s="84">
        <v>91</v>
      </c>
      <c r="D18" s="85">
        <f>B18</f>
        <v>91</v>
      </c>
      <c r="F18" s="85">
        <f>D18</f>
        <v>91</v>
      </c>
      <c r="H18" s="85">
        <f>F18</f>
        <v>91</v>
      </c>
      <c r="J18" s="85">
        <f>H18</f>
        <v>91</v>
      </c>
    </row>
    <row r="19" spans="1:10" x14ac:dyDescent="0.3">
      <c r="B19" s="84"/>
      <c r="D19" s="85"/>
      <c r="F19" s="85"/>
      <c r="H19" s="85"/>
      <c r="J19" s="85"/>
    </row>
    <row r="20" spans="1:10" ht="15" thickBot="1" x14ac:dyDescent="0.35">
      <c r="A20" s="129" t="s">
        <v>117</v>
      </c>
      <c r="B20" s="131">
        <f>SUMPRODUCT(B12:B16,$L12:$L16)</f>
        <v>38439.119999999995</v>
      </c>
      <c r="C20" s="129"/>
      <c r="D20" s="131">
        <f>SUMPRODUCT(D12:D16,$L12:$L16)</f>
        <v>49657.873631212286</v>
      </c>
      <c r="E20" s="129"/>
      <c r="F20" s="131">
        <f>SUMPRODUCT(F12:F16,$L12:$L16)</f>
        <v>64176.260683369372</v>
      </c>
      <c r="G20" s="129"/>
      <c r="H20" s="131">
        <f>SUMPRODUCT(H12:H16,$L12:$L16)</f>
        <v>82654.207840660209</v>
      </c>
      <c r="I20" s="129"/>
      <c r="J20" s="131">
        <f>SUMPRODUCT(J12:J16,$L12:$L16)</f>
        <v>104431.78841889584</v>
      </c>
    </row>
    <row r="21" spans="1:10" ht="15" thickTop="1" x14ac:dyDescent="0.3"/>
    <row r="22" spans="1:10" x14ac:dyDescent="0.3">
      <c r="A22" s="129" t="s">
        <v>116</v>
      </c>
      <c r="B22" s="130">
        <f>B20/B18/12</f>
        <v>35.200659340659335</v>
      </c>
      <c r="C22" s="129"/>
      <c r="D22" s="130">
        <f>D20/D18/12</f>
        <v>45.4742432520259</v>
      </c>
      <c r="E22" s="129"/>
      <c r="F22" s="130">
        <f>F20/F18/12</f>
        <v>58.769469490264989</v>
      </c>
      <c r="G22" s="129"/>
      <c r="H22" s="130">
        <f>H20/H18/12</f>
        <v>75.690666520751108</v>
      </c>
      <c r="I22" s="129"/>
      <c r="J22" s="130">
        <f>J20/J18/12</f>
        <v>95.633505878109744</v>
      </c>
    </row>
  </sheetData>
  <mergeCells count="3">
    <mergeCell ref="B9:J9"/>
    <mergeCell ref="A6:J6"/>
    <mergeCell ref="A7:J7"/>
  </mergeCells>
  <printOptions horizontalCentered="1"/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Z113"/>
  <sheetViews>
    <sheetView zoomScale="80" zoomScaleNormal="80" zoomScaleSheetLayoutView="40" workbookViewId="0">
      <selection activeCell="Y13" sqref="Y13"/>
    </sheetView>
  </sheetViews>
  <sheetFormatPr defaultRowHeight="14.4" x14ac:dyDescent="0.3"/>
  <cols>
    <col min="1" max="1" width="6" customWidth="1"/>
    <col min="2" max="2" width="1.5546875" customWidth="1"/>
    <col min="3" max="3" width="11.5546875" bestFit="1" customWidth="1"/>
    <col min="4" max="4" width="1.5546875" customWidth="1"/>
    <col min="5" max="5" width="10.44140625" customWidth="1"/>
    <col min="6" max="6" width="1.5546875" customWidth="1"/>
    <col min="7" max="7" width="12.44140625" customWidth="1"/>
    <col min="8" max="8" width="1.5546875" customWidth="1"/>
    <col min="9" max="9" width="13.5546875" bestFit="1" customWidth="1"/>
    <col min="10" max="10" width="1.5546875" customWidth="1"/>
    <col min="11" max="11" width="13.88671875" bestFit="1" customWidth="1"/>
    <col min="12" max="12" width="1.5546875" customWidth="1"/>
    <col min="13" max="13" width="15.44140625" customWidth="1"/>
    <col min="14" max="14" width="1.5546875" customWidth="1"/>
    <col min="15" max="15" width="12.88671875" bestFit="1" customWidth="1"/>
    <col min="16" max="16" width="1.5546875" customWidth="1"/>
    <col min="17" max="17" width="11.88671875" customWidth="1"/>
    <col min="18" max="18" width="1.5546875" customWidth="1"/>
    <col min="19" max="19" width="10.109375" bestFit="1" customWidth="1"/>
    <col min="20" max="20" width="1.5546875" customWidth="1"/>
    <col min="21" max="21" width="13.5546875" customWidth="1"/>
    <col min="22" max="22" width="1.5546875" customWidth="1"/>
    <col min="23" max="23" width="11.109375" bestFit="1" customWidth="1"/>
    <col min="24" max="24" width="1.5546875" customWidth="1"/>
    <col min="25" max="25" width="13.88671875" bestFit="1" customWidth="1"/>
    <col min="26" max="26" width="1.5546875" customWidth="1"/>
    <col min="27" max="27" width="11.88671875" customWidth="1"/>
    <col min="28" max="28" width="1.5546875" customWidth="1"/>
    <col min="29" max="29" width="11.109375" bestFit="1" customWidth="1"/>
    <col min="30" max="30" width="1.5546875" customWidth="1"/>
    <col min="31" max="31" width="10" style="32" hidden="1" customWidth="1"/>
    <col min="32" max="32" width="1.5546875" hidden="1" customWidth="1"/>
    <col min="33" max="33" width="10.44140625" hidden="1" customWidth="1"/>
    <col min="34" max="34" width="1.5546875" hidden="1" customWidth="1"/>
    <col min="35" max="35" width="11.44140625" hidden="1" customWidth="1"/>
    <col min="36" max="36" width="1.5546875" hidden="1" customWidth="1"/>
    <col min="37" max="37" width="9.44140625" hidden="1" customWidth="1"/>
    <col min="38" max="38" width="1.5546875" hidden="1" customWidth="1"/>
    <col min="39" max="39" width="11.44140625" customWidth="1"/>
    <col min="40" max="40" width="1.5546875" customWidth="1"/>
    <col min="41" max="41" width="10.44140625" customWidth="1"/>
    <col min="42" max="42" width="1.5546875" customWidth="1"/>
    <col min="43" max="43" width="12.88671875" customWidth="1"/>
    <col min="44" max="44" width="1.5546875" customWidth="1"/>
    <col min="45" max="45" width="10.44140625" customWidth="1"/>
    <col min="46" max="46" width="1.5546875" customWidth="1"/>
    <col min="47" max="47" width="13.44140625" customWidth="1"/>
    <col min="48" max="48" width="1.5546875" customWidth="1"/>
    <col min="49" max="49" width="11.88671875" customWidth="1"/>
    <col min="50" max="50" width="1.5546875" customWidth="1"/>
    <col min="51" max="51" width="11.5546875" customWidth="1"/>
    <col min="52" max="52" width="1.88671875" style="3" customWidth="1"/>
    <col min="53" max="53" width="10.5546875" bestFit="1" customWidth="1"/>
    <col min="54" max="54" width="1.5546875" customWidth="1"/>
    <col min="55" max="55" width="12.88671875" customWidth="1"/>
    <col min="56" max="56" width="1.5546875" customWidth="1"/>
    <col min="57" max="57" width="10.44140625" bestFit="1" customWidth="1"/>
    <col min="58" max="58" width="1.5546875" customWidth="1"/>
    <col min="59" max="59" width="12.5546875" bestFit="1" customWidth="1"/>
    <col min="60" max="60" width="1.5546875" customWidth="1"/>
    <col min="61" max="61" width="12.6640625" customWidth="1"/>
    <col min="62" max="62" width="1.5546875" customWidth="1"/>
    <col min="63" max="63" width="11.109375" customWidth="1"/>
    <col min="64" max="64" width="1.5546875" customWidth="1"/>
    <col min="65" max="65" width="11.5546875" customWidth="1"/>
    <col min="66" max="66" width="10.5546875" bestFit="1" customWidth="1"/>
    <col min="67" max="67" width="1.5546875" customWidth="1"/>
    <col min="68" max="68" width="13.44140625" customWidth="1"/>
    <col min="69" max="69" width="1.5546875" customWidth="1"/>
    <col min="70" max="70" width="10.44140625" bestFit="1" customWidth="1"/>
    <col min="71" max="71" width="1.5546875" customWidth="1"/>
    <col min="72" max="72" width="14.109375" customWidth="1"/>
    <col min="73" max="73" width="1.5546875" customWidth="1"/>
    <col min="74" max="74" width="12.44140625" customWidth="1"/>
    <col min="75" max="75" width="1.5546875" customWidth="1"/>
    <col min="76" max="76" width="11.109375" customWidth="1"/>
  </cols>
  <sheetData>
    <row r="1" spans="1:74" x14ac:dyDescent="0.3">
      <c r="C1" s="1" t="s">
        <v>17</v>
      </c>
      <c r="AM1" s="1" t="s">
        <v>17</v>
      </c>
    </row>
    <row r="2" spans="1:74" ht="14.4" customHeight="1" x14ac:dyDescent="0.3">
      <c r="C2" s="1" t="s">
        <v>66</v>
      </c>
      <c r="AM2" s="1" t="s">
        <v>66</v>
      </c>
      <c r="AO2" s="12"/>
      <c r="AP2" s="18"/>
      <c r="AQ2" s="18"/>
      <c r="AR2" s="18"/>
      <c r="AS2" s="18"/>
      <c r="AT2" s="18"/>
      <c r="AU2" s="18"/>
      <c r="AV2" s="18"/>
      <c r="AW2" s="18"/>
    </row>
    <row r="3" spans="1:74" x14ac:dyDescent="0.3">
      <c r="C3" s="1" t="s">
        <v>48</v>
      </c>
      <c r="AM3" s="1" t="s">
        <v>48</v>
      </c>
    </row>
    <row r="4" spans="1:74" x14ac:dyDescent="0.3">
      <c r="C4" s="1" t="s">
        <v>95</v>
      </c>
      <c r="AM4" s="1" t="s">
        <v>95</v>
      </c>
      <c r="AO4" s="19"/>
      <c r="AP4" s="19"/>
      <c r="AQ4" s="19"/>
      <c r="AR4" s="19"/>
      <c r="AS4" s="19"/>
      <c r="AT4" s="19"/>
      <c r="AU4" s="19"/>
      <c r="AV4" s="19"/>
      <c r="AW4" s="19"/>
    </row>
    <row r="5" spans="1:74" x14ac:dyDescent="0.3">
      <c r="A5" s="1"/>
      <c r="AO5" s="19"/>
      <c r="AP5" s="19"/>
      <c r="AQ5" s="19"/>
      <c r="AR5" s="19"/>
      <c r="AS5" s="19"/>
      <c r="AT5" s="19"/>
      <c r="AU5" s="19"/>
      <c r="AV5" s="19"/>
      <c r="AW5" s="19"/>
    </row>
    <row r="6" spans="1:74" x14ac:dyDescent="0.3">
      <c r="A6" s="1"/>
      <c r="AO6" s="19"/>
      <c r="AP6" s="19"/>
      <c r="AQ6" s="19"/>
      <c r="AR6" s="19"/>
      <c r="AS6" s="19"/>
      <c r="AT6" s="19"/>
      <c r="AU6" s="19"/>
      <c r="AV6" s="19"/>
      <c r="AW6" s="19"/>
    </row>
    <row r="7" spans="1:74" ht="14.4" customHeight="1" x14ac:dyDescent="0.3">
      <c r="A7" s="13" t="s">
        <v>22</v>
      </c>
      <c r="C7" s="143" t="s">
        <v>58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Q7" s="143" t="s">
        <v>57</v>
      </c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E7" s="148" t="s">
        <v>67</v>
      </c>
      <c r="AF7" s="148"/>
      <c r="AG7" s="148"/>
      <c r="AH7" s="148"/>
      <c r="AI7" s="148"/>
      <c r="AJ7" s="148"/>
      <c r="AK7" s="148"/>
      <c r="AM7" s="149" t="s">
        <v>56</v>
      </c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Y7" s="143" t="s">
        <v>54</v>
      </c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M7" s="144" t="s">
        <v>124</v>
      </c>
      <c r="BN7" s="144"/>
      <c r="BO7" s="144"/>
      <c r="BP7" s="144"/>
      <c r="BQ7" s="144"/>
      <c r="BR7" s="144"/>
      <c r="BS7" s="144"/>
      <c r="BT7" s="144"/>
      <c r="BU7" s="144"/>
      <c r="BV7" s="144"/>
    </row>
    <row r="8" spans="1:74" ht="17.25" customHeight="1" x14ac:dyDescent="0.3">
      <c r="A8" s="31">
        <v>1</v>
      </c>
      <c r="AM8" s="150" t="s">
        <v>154</v>
      </c>
      <c r="AN8" s="150"/>
      <c r="AO8" s="150"/>
      <c r="AP8" s="150"/>
      <c r="AQ8" s="150"/>
      <c r="AR8" s="150"/>
      <c r="AS8" s="150"/>
      <c r="AT8" s="150"/>
      <c r="AU8" s="150"/>
      <c r="AV8" s="150"/>
      <c r="AW8" s="150"/>
    </row>
    <row r="9" spans="1:74" x14ac:dyDescent="0.3">
      <c r="A9" s="31">
        <v>2</v>
      </c>
    </row>
    <row r="10" spans="1:74" ht="14.4" customHeight="1" x14ac:dyDescent="0.3">
      <c r="A10" s="31">
        <v>3</v>
      </c>
      <c r="B10" s="29"/>
      <c r="C10" s="145" t="s">
        <v>79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AL10" s="29"/>
      <c r="AM10" s="147" t="s">
        <v>55</v>
      </c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BF10" s="29"/>
    </row>
    <row r="11" spans="1:74" s="14" customFormat="1" ht="30" customHeight="1" x14ac:dyDescent="0.3">
      <c r="A11" s="31">
        <v>4</v>
      </c>
      <c r="B11" s="30"/>
      <c r="C11" s="13" t="s">
        <v>23</v>
      </c>
      <c r="E11" s="106" t="s">
        <v>49</v>
      </c>
      <c r="G11" s="106" t="s">
        <v>99</v>
      </c>
      <c r="I11" s="106" t="s">
        <v>72</v>
      </c>
      <c r="K11" s="107" t="s">
        <v>111</v>
      </c>
      <c r="M11" s="15" t="s">
        <v>112</v>
      </c>
      <c r="O11" s="13" t="s">
        <v>0</v>
      </c>
      <c r="AE11" s="33"/>
      <c r="AL11" s="30"/>
      <c r="AM11" s="13" t="s">
        <v>23</v>
      </c>
      <c r="AO11" s="13" t="s">
        <v>49</v>
      </c>
      <c r="AQ11" s="13" t="s">
        <v>99</v>
      </c>
      <c r="AS11" s="13" t="s">
        <v>72</v>
      </c>
      <c r="AU11" s="13" t="s">
        <v>111</v>
      </c>
      <c r="AW11" s="13" t="s">
        <v>112</v>
      </c>
      <c r="AZ11" s="16"/>
      <c r="BF11" s="30"/>
    </row>
    <row r="12" spans="1:74" x14ac:dyDescent="0.3">
      <c r="A12" s="31">
        <v>5</v>
      </c>
      <c r="B12" s="11"/>
      <c r="C12" t="s">
        <v>18</v>
      </c>
      <c r="E12" s="5">
        <f>Residential!E32</f>
        <v>33647.308799999999</v>
      </c>
      <c r="F12" s="5"/>
      <c r="G12" s="5">
        <f>Residential!X37</f>
        <v>98168.062399999995</v>
      </c>
      <c r="H12" s="5"/>
      <c r="I12" s="5">
        <f>Residential!L37</f>
        <v>235227.63972000001</v>
      </c>
      <c r="J12" s="5"/>
      <c r="K12" s="5">
        <f>Residential!AE37</f>
        <v>110634.34899999997</v>
      </c>
      <c r="L12" s="5"/>
      <c r="M12" s="5">
        <f>Ridgewood!B20</f>
        <v>38439.119999999995</v>
      </c>
      <c r="N12" s="5"/>
      <c r="O12" s="5">
        <f>E12+G12+I12+K12+M12</f>
        <v>516116.47992000001</v>
      </c>
      <c r="AL12" s="11"/>
      <c r="AM12" t="s">
        <v>18</v>
      </c>
      <c r="AO12" s="4">
        <f>Residential!D29</f>
        <v>32.67</v>
      </c>
      <c r="AQ12" s="4">
        <f>AQ61*Residential!W30</f>
        <v>31.343199999999996</v>
      </c>
      <c r="AS12" s="4">
        <f>Residential!K29+(Total!AS61-20)*Residential!K30</f>
        <v>34.390050000000002</v>
      </c>
      <c r="AU12" s="4">
        <f>Residential!AD29+((Total!AU61-20)*Residential!AD30)</f>
        <v>36.518560000000001</v>
      </c>
      <c r="AW12" s="4">
        <f>Ridgewood!B22</f>
        <v>35.200659340659335</v>
      </c>
      <c r="BF12" s="11"/>
    </row>
    <row r="13" spans="1:74" x14ac:dyDescent="0.3">
      <c r="A13" s="31">
        <v>6</v>
      </c>
      <c r="B13" s="11"/>
      <c r="C13" t="s">
        <v>19</v>
      </c>
      <c r="E13" s="6">
        <f>Commercial!E32</f>
        <v>3705.1769600000007</v>
      </c>
      <c r="F13" s="6"/>
      <c r="G13" s="6">
        <f>Commercial!X32</f>
        <v>23647.852800000001</v>
      </c>
      <c r="H13" s="6"/>
      <c r="I13" s="6">
        <f>Commercial!L38</f>
        <v>112939.60863</v>
      </c>
      <c r="J13" s="6"/>
      <c r="K13" s="6">
        <f>Commercial!AE37</f>
        <v>12528.222599999999</v>
      </c>
      <c r="L13" s="6"/>
      <c r="M13" s="6"/>
      <c r="N13" s="6"/>
      <c r="O13" s="6">
        <f t="shared" ref="O13:O15" si="0">E13+G13+I13+K13+M13</f>
        <v>152820.86099000002</v>
      </c>
      <c r="AL13" s="11"/>
      <c r="AM13" t="s">
        <v>19</v>
      </c>
      <c r="AO13" s="22">
        <f>Commercial!D29+((Total!AO62-120)*Commercial!D30)</f>
        <v>59.796559999999999</v>
      </c>
      <c r="AP13" s="22"/>
      <c r="AQ13" s="24">
        <f>AQ62*Commercial!W29</f>
        <v>127.13599999999998</v>
      </c>
      <c r="AR13" s="22"/>
      <c r="AS13" s="22">
        <f>Commercial!K30+(10*Commercial!K31)+(20*Commercial!K32)+(50*Commercial!K33)+((AS62-100)*Commercial!K34)</f>
        <v>118.34224</v>
      </c>
      <c r="AT13" s="22"/>
      <c r="AU13" s="22">
        <f>Commercial!AD29+(30*Commercial!AD30)+((Total!AU62-50)*Commercial!AD31)</f>
        <v>93.367729999999995</v>
      </c>
      <c r="AV13" s="22"/>
      <c r="AW13" s="22"/>
      <c r="BF13" s="11"/>
    </row>
    <row r="14" spans="1:74" x14ac:dyDescent="0.3">
      <c r="A14" s="31">
        <v>7</v>
      </c>
      <c r="B14" s="11"/>
      <c r="C14" t="s">
        <v>20</v>
      </c>
      <c r="E14" s="6">
        <f>Industrial!E32</f>
        <v>820.77991999999995</v>
      </c>
      <c r="F14" s="6"/>
      <c r="G14" s="6"/>
      <c r="H14" s="6"/>
      <c r="I14" s="6">
        <f>Industrial!L38</f>
        <v>748.92640000000006</v>
      </c>
      <c r="J14" s="6"/>
      <c r="K14" s="6"/>
      <c r="L14" s="6"/>
      <c r="M14" s="6"/>
      <c r="N14" s="6"/>
      <c r="O14" s="6">
        <f t="shared" si="0"/>
        <v>1569.70632</v>
      </c>
      <c r="AL14" s="11"/>
      <c r="AM14" t="s">
        <v>20</v>
      </c>
      <c r="AO14" s="25">
        <f>Industrial!D29+(Total!AO63-120)*Industrial!D30</f>
        <v>75.863600000000005</v>
      </c>
      <c r="AP14" s="22"/>
      <c r="AQ14" s="22"/>
      <c r="AR14" s="22"/>
      <c r="AS14" s="22"/>
      <c r="AT14" s="22"/>
      <c r="AV14" s="22"/>
      <c r="AW14" s="22"/>
      <c r="BF14" s="11"/>
    </row>
    <row r="15" spans="1:74" x14ac:dyDescent="0.3">
      <c r="A15" s="31">
        <v>8</v>
      </c>
      <c r="B15" s="11"/>
      <c r="C15" t="s">
        <v>21</v>
      </c>
      <c r="E15" s="7"/>
      <c r="F15" s="6"/>
      <c r="G15" s="7">
        <f>OPA!Q33</f>
        <v>341.03999999999996</v>
      </c>
      <c r="H15" s="6"/>
      <c r="I15" s="7">
        <f>OPA!E39</f>
        <v>12682.042600000001</v>
      </c>
      <c r="J15" s="6"/>
      <c r="K15" s="6">
        <f>OPA!X38</f>
        <v>1455.0461600000001</v>
      </c>
      <c r="L15" s="6"/>
      <c r="M15" s="6"/>
      <c r="N15" s="6"/>
      <c r="O15" s="7">
        <f t="shared" si="0"/>
        <v>14478.128760000001</v>
      </c>
      <c r="AL15" s="11"/>
      <c r="AM15" t="s">
        <v>21</v>
      </c>
      <c r="AO15" s="22"/>
      <c r="AP15" s="22"/>
      <c r="AQ15" s="24">
        <f>AQ64*OPA!P30</f>
        <v>26.2392</v>
      </c>
      <c r="AR15" s="22"/>
      <c r="AS15" s="22">
        <f>OPA!D31+(10*OPA!D32)+(20*OPA!D33)+((Total!AS64-50)*OPA!D34)</f>
        <v>64.383200000000002</v>
      </c>
      <c r="AT15" s="22"/>
      <c r="AU15" s="22">
        <f>OPA!W30+(30*OPA!W31)+((Total!AU64-50)*OPA!W32)</f>
        <v>58.410509999999995</v>
      </c>
      <c r="AV15" s="22"/>
      <c r="AW15" s="22"/>
      <c r="BF15" s="11"/>
    </row>
    <row r="16" spans="1:74" x14ac:dyDescent="0.3">
      <c r="A16" s="31">
        <v>9</v>
      </c>
      <c r="B16" s="11"/>
      <c r="E16" s="5">
        <f>SUM(E12:E15)</f>
        <v>38173.265679999997</v>
      </c>
      <c r="G16" s="5">
        <f>SUM(G12:G15)</f>
        <v>122156.95519999998</v>
      </c>
      <c r="I16" s="5">
        <f>SUM(I12:I15)</f>
        <v>361598.21734999999</v>
      </c>
      <c r="K16" s="87">
        <f>SUM(K12:K15)</f>
        <v>124617.61775999996</v>
      </c>
      <c r="M16" s="87">
        <f>SUM(M12:M15)</f>
        <v>38439.119999999995</v>
      </c>
      <c r="O16" s="5">
        <f>SUM(O12:O15)</f>
        <v>684985.17599000002</v>
      </c>
      <c r="Q16" s="5"/>
      <c r="AL16" s="11"/>
      <c r="BF16" s="11"/>
    </row>
    <row r="17" spans="1:78" x14ac:dyDescent="0.3">
      <c r="A17" s="31">
        <v>10</v>
      </c>
      <c r="B17" s="11"/>
      <c r="E17" s="5"/>
      <c r="G17" s="5"/>
      <c r="I17" s="5"/>
      <c r="O17" s="5"/>
      <c r="AL17" s="11"/>
      <c r="BF17" s="11"/>
    </row>
    <row r="18" spans="1:78" x14ac:dyDescent="0.3">
      <c r="A18" s="31">
        <v>11</v>
      </c>
      <c r="B18" s="11"/>
      <c r="I18" s="1"/>
      <c r="AE18" s="34"/>
      <c r="AF18" s="3"/>
      <c r="AG18" s="3"/>
      <c r="AH18" s="3"/>
      <c r="AI18" s="3"/>
      <c r="AJ18" s="3"/>
      <c r="AK18" s="3"/>
      <c r="AL18" s="11"/>
      <c r="BF18" s="11"/>
    </row>
    <row r="19" spans="1:78" x14ac:dyDescent="0.3">
      <c r="A19" s="31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U19" s="17"/>
      <c r="AE19" s="34"/>
      <c r="AF19" s="3"/>
      <c r="AG19" s="3"/>
      <c r="AH19" s="3"/>
      <c r="AI19" s="3"/>
      <c r="AJ19" s="3"/>
      <c r="AK19" s="3"/>
      <c r="AL19" s="11"/>
      <c r="AM19" s="11"/>
      <c r="BF19" s="11"/>
      <c r="BG19" s="11"/>
    </row>
    <row r="20" spans="1:78" ht="14.4" customHeight="1" x14ac:dyDescent="0.3">
      <c r="A20" s="31">
        <v>13</v>
      </c>
      <c r="B20" s="29"/>
      <c r="C20" s="137" t="s">
        <v>59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Q20" s="142" t="s">
        <v>43</v>
      </c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20"/>
      <c r="AE20" s="146" t="s">
        <v>43</v>
      </c>
      <c r="AF20" s="146"/>
      <c r="AG20" s="146"/>
      <c r="AH20" s="146"/>
      <c r="AI20" s="146"/>
      <c r="AJ20" s="146"/>
      <c r="AK20" s="146"/>
      <c r="AL20" s="29"/>
      <c r="AM20" s="142" t="s">
        <v>63</v>
      </c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Y20" s="142" t="s">
        <v>43</v>
      </c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M20" s="142" t="s">
        <v>43</v>
      </c>
      <c r="BN20" s="142"/>
      <c r="BO20" s="142"/>
      <c r="BP20" s="142"/>
      <c r="BQ20" s="142"/>
      <c r="BR20" s="142"/>
      <c r="BS20" s="142"/>
      <c r="BT20" s="142"/>
      <c r="BU20" s="142"/>
      <c r="BV20" s="142"/>
    </row>
    <row r="21" spans="1:78" s="14" customFormat="1" ht="30" customHeight="1" x14ac:dyDescent="0.3">
      <c r="A21" s="31">
        <v>14</v>
      </c>
      <c r="B21" s="30"/>
      <c r="C21" s="13" t="s">
        <v>23</v>
      </c>
      <c r="E21" s="106" t="s">
        <v>49</v>
      </c>
      <c r="G21" s="106" t="s">
        <v>99</v>
      </c>
      <c r="I21" s="106" t="s">
        <v>72</v>
      </c>
      <c r="K21" s="107" t="s">
        <v>111</v>
      </c>
      <c r="M21" s="107" t="s">
        <v>112</v>
      </c>
      <c r="O21" s="13" t="s">
        <v>0</v>
      </c>
      <c r="Q21" s="13" t="s">
        <v>23</v>
      </c>
      <c r="S21" s="13" t="s">
        <v>49</v>
      </c>
      <c r="U21" s="13" t="s">
        <v>99</v>
      </c>
      <c r="W21" s="15" t="s">
        <v>72</v>
      </c>
      <c r="Y21" s="15" t="s">
        <v>111</v>
      </c>
      <c r="AA21" s="15" t="s">
        <v>112</v>
      </c>
      <c r="AC21" s="13" t="s">
        <v>0</v>
      </c>
      <c r="AD21" s="16"/>
      <c r="AE21" s="13" t="s">
        <v>49</v>
      </c>
      <c r="AG21" s="13" t="s">
        <v>68</v>
      </c>
      <c r="AI21" s="13" t="s">
        <v>68</v>
      </c>
      <c r="AJ21" s="16"/>
      <c r="AK21" s="13" t="s">
        <v>0</v>
      </c>
      <c r="AL21" s="30"/>
      <c r="AM21" s="13" t="s">
        <v>23</v>
      </c>
      <c r="AN21" s="16"/>
      <c r="AO21" s="13" t="s">
        <v>49</v>
      </c>
      <c r="AQ21" s="13" t="s">
        <v>99</v>
      </c>
      <c r="AS21" s="13" t="s">
        <v>72</v>
      </c>
      <c r="AU21" s="13" t="s">
        <v>111</v>
      </c>
      <c r="AW21" s="13" t="s">
        <v>112</v>
      </c>
      <c r="AY21" s="13" t="s">
        <v>23</v>
      </c>
      <c r="AZ21" s="16"/>
      <c r="BA21" s="13" t="s">
        <v>49</v>
      </c>
      <c r="BC21" s="13" t="s">
        <v>99</v>
      </c>
      <c r="BE21" s="13" t="s">
        <v>72</v>
      </c>
      <c r="BG21" s="13" t="s">
        <v>111</v>
      </c>
      <c r="BI21" s="13" t="s">
        <v>112</v>
      </c>
      <c r="BK21" s="13" t="s">
        <v>123</v>
      </c>
      <c r="BM21" s="13" t="s">
        <v>23</v>
      </c>
      <c r="BN21" s="13" t="s">
        <v>49</v>
      </c>
      <c r="BP21" s="13" t="s">
        <v>99</v>
      </c>
      <c r="BR21" s="13" t="s">
        <v>72</v>
      </c>
      <c r="BT21" s="13" t="s">
        <v>111</v>
      </c>
      <c r="BV21" s="13" t="s">
        <v>112</v>
      </c>
    </row>
    <row r="22" spans="1:78" x14ac:dyDescent="0.3">
      <c r="A22" s="31">
        <v>15</v>
      </c>
      <c r="B22" s="11"/>
      <c r="C22" t="s">
        <v>18</v>
      </c>
      <c r="E22" s="5">
        <f>Residential!E53</f>
        <v>42402.40004</v>
      </c>
      <c r="F22" s="5"/>
      <c r="G22" s="5">
        <f>Residential!X56</f>
        <v>126672.74124000002</v>
      </c>
      <c r="H22" s="5"/>
      <c r="I22" s="5">
        <f>Residential!L56</f>
        <v>286831.81880000001</v>
      </c>
      <c r="J22" s="5"/>
      <c r="K22" s="5">
        <f>Residential!AE56</f>
        <v>136612.13398000001</v>
      </c>
      <c r="L22" s="5"/>
      <c r="M22" s="5">
        <f>Ridgewood!D20</f>
        <v>49657.873631212286</v>
      </c>
      <c r="N22" s="5"/>
      <c r="O22" s="5">
        <f>E22+G22+I22+K22+M22</f>
        <v>642176.96769121231</v>
      </c>
      <c r="Q22" t="s">
        <v>18</v>
      </c>
      <c r="S22" s="5">
        <f>E22-E12</f>
        <v>8755.0912400000016</v>
      </c>
      <c r="T22" s="5"/>
      <c r="U22" s="5">
        <f>G22-G12</f>
        <v>28504.678840000022</v>
      </c>
      <c r="V22" s="5"/>
      <c r="W22" s="5">
        <f>I22-I12</f>
        <v>51604.179080000002</v>
      </c>
      <c r="X22" s="5"/>
      <c r="Y22" s="5">
        <f>K22-K12</f>
        <v>25977.78498000004</v>
      </c>
      <c r="Z22" s="5"/>
      <c r="AA22" s="5">
        <f>M22-M12</f>
        <v>11218.75363121229</v>
      </c>
      <c r="AB22" s="5"/>
      <c r="AC22" s="5">
        <f>S22+U22+W22+Y22+AA22</f>
        <v>126060.48777121236</v>
      </c>
      <c r="AD22" s="5"/>
      <c r="AE22" s="35">
        <f>S22/E12</f>
        <v>0.2602018274935558</v>
      </c>
      <c r="AF22" s="28"/>
      <c r="AG22" s="35">
        <f>U22/G12</f>
        <v>0.29036611442786331</v>
      </c>
      <c r="AH22" s="28"/>
      <c r="AI22" s="35">
        <f>W22/I12</f>
        <v>0.21937974270976968</v>
      </c>
      <c r="AJ22" s="35"/>
      <c r="AK22" s="35">
        <f>AC22/O12</f>
        <v>0.24424813520923069</v>
      </c>
      <c r="AL22" s="11"/>
      <c r="AM22" t="s">
        <v>18</v>
      </c>
      <c r="AN22" s="5"/>
      <c r="AO22" s="4">
        <f>Residential!D46+(20*Residential!D48)+($AO$61-20)*Residential!D49</f>
        <v>41.722360000000002</v>
      </c>
      <c r="AQ22" s="4">
        <f>Residential!W46+(20*Residential!W48)+($AQ$61-20)*Residential!W49</f>
        <v>41.076179999999994</v>
      </c>
      <c r="AS22" s="4">
        <f>Residential!K46+(20*Residential!K48)+($AS$61-20)*Residential!K49</f>
        <v>44.228429999999996</v>
      </c>
      <c r="AU22" s="4">
        <f>Residential!AD46+(20*Residential!AD48)+($AU$61-20)*Residential!AD49</f>
        <v>46.435680000000005</v>
      </c>
      <c r="AW22" s="4">
        <f>Ridgewood!D22</f>
        <v>45.4742432520259</v>
      </c>
      <c r="AY22" t="s">
        <v>18</v>
      </c>
      <c r="BA22" s="4">
        <f>AO22-AO12</f>
        <v>9.0523600000000002</v>
      </c>
      <c r="BC22" s="4">
        <f>AQ22-AQ12</f>
        <v>9.7329799999999977</v>
      </c>
      <c r="BE22" s="4">
        <f>AS22-AS12</f>
        <v>9.8383799999999937</v>
      </c>
      <c r="BF22" s="11"/>
      <c r="BG22" s="4">
        <f>AU22-AU12</f>
        <v>9.9171200000000042</v>
      </c>
      <c r="BI22" s="4">
        <f>AW22-AW12</f>
        <v>10.273583911366565</v>
      </c>
      <c r="BK22" s="109">
        <f>ROUND(AVERAGE(BA22,BC22,BE22,BG22,BI22),2)</f>
        <v>9.76</v>
      </c>
      <c r="BM22" t="s">
        <v>18</v>
      </c>
      <c r="BN22" s="89">
        <f>IFERROR(BA22/AO12,0)</f>
        <v>0.27708478726660546</v>
      </c>
      <c r="BP22" s="89">
        <f>IFERROR(BC22/AQ12,0)</f>
        <v>0.31052923760177642</v>
      </c>
      <c r="BR22" s="89">
        <f>IFERROR(BE22/AS12,0)</f>
        <v>0.28608216620795818</v>
      </c>
      <c r="BT22" s="89">
        <f>IFERROR(BG22/AU12,0)</f>
        <v>0.27156382946096463</v>
      </c>
      <c r="BV22" s="89">
        <f>IFERROR(BI22/AW12,0)</f>
        <v>0.29185771243494363</v>
      </c>
      <c r="BY22" s="4">
        <f>ROUND(BK22/(365/12),2)</f>
        <v>0.32</v>
      </c>
      <c r="BZ22" s="4"/>
    </row>
    <row r="23" spans="1:78" x14ac:dyDescent="0.3">
      <c r="A23" s="31">
        <v>16</v>
      </c>
      <c r="B23" s="11"/>
      <c r="C23" t="s">
        <v>19</v>
      </c>
      <c r="E23" s="6">
        <f>Commercial!E53</f>
        <v>6363.9750800000002</v>
      </c>
      <c r="F23" s="6"/>
      <c r="G23" s="6">
        <f>Commercial!X53</f>
        <v>28937.459320000002</v>
      </c>
      <c r="H23" s="6"/>
      <c r="I23" s="6">
        <f>Commercial!L58</f>
        <v>135954.74442999999</v>
      </c>
      <c r="J23" s="6"/>
      <c r="K23" s="6">
        <f>Commercial!AE56</f>
        <v>14470.32561</v>
      </c>
      <c r="L23" s="6"/>
      <c r="M23" s="6"/>
      <c r="N23" s="6"/>
      <c r="O23" s="6">
        <f t="shared" ref="O23:O26" si="1">E23+G23+I23+K23+M23</f>
        <v>185726.50443999999</v>
      </c>
      <c r="Q23" t="s">
        <v>19</v>
      </c>
      <c r="S23" s="6">
        <f>E23-E13</f>
        <v>2658.7981199999995</v>
      </c>
      <c r="T23" s="6"/>
      <c r="U23" s="6">
        <f>G23-G13</f>
        <v>5289.6065200000012</v>
      </c>
      <c r="V23" s="6"/>
      <c r="W23" s="6">
        <f>I23-I13</f>
        <v>23015.135799999989</v>
      </c>
      <c r="X23" s="6"/>
      <c r="Y23" s="6">
        <f t="shared" ref="Y23:Y25" si="2">K23-K13</f>
        <v>1942.1030100000007</v>
      </c>
      <c r="Z23" s="6"/>
      <c r="AA23" s="6">
        <f t="shared" ref="AA23:AA25" si="3">M23-M13</f>
        <v>0</v>
      </c>
      <c r="AB23" s="6"/>
      <c r="AC23" s="6">
        <f t="shared" ref="AC23:AC26" si="4">S23+U23+W23+Y23+AA23</f>
        <v>32905.643449999989</v>
      </c>
      <c r="AD23" s="6"/>
      <c r="AE23" s="35">
        <f>S23/E13</f>
        <v>0.71759005000398113</v>
      </c>
      <c r="AF23" s="28"/>
      <c r="AG23" s="35">
        <f>U23/G13</f>
        <v>0.22368231757599577</v>
      </c>
      <c r="AH23" s="28"/>
      <c r="AI23" s="35"/>
      <c r="AJ23" s="35"/>
      <c r="AK23" s="35">
        <f t="shared" ref="AK23:AK26" si="5">AC23/O13</f>
        <v>0.21532167294982851</v>
      </c>
      <c r="AL23" s="11"/>
      <c r="AM23" t="s">
        <v>19</v>
      </c>
      <c r="AN23" s="6"/>
      <c r="AO23" s="22">
        <f>Commercial!$D$47+(20*Commercial!$D$48)+(30*Commercial!$D$49)+(50*Commercial!$D$50)+($AO$62-100)*Commercial!$D$51</f>
        <v>124.11036</v>
      </c>
      <c r="AP23" s="22"/>
      <c r="AQ23" s="22">
        <f>Commercial!$W$47+(20*Commercial!$W$48)+(30*Commercial!$W$49)+(50*Commercial!$W$50)+($AQ$62-100)*Commercial!$W$51</f>
        <v>169.47800000000001</v>
      </c>
      <c r="AR23" s="22"/>
      <c r="AS23" s="22">
        <f>Commercial!K48+(20*Commercial!K49)+(10*Commercial!K50)+(20*Commercial!K51)+(50*Commercial!K52)+($AS$62-100)*Commercial!K53</f>
        <v>167.37183999999999</v>
      </c>
      <c r="AT23" s="22"/>
      <c r="AU23" s="22">
        <f>Commercial!AD47+(20*Commercial!AD48)+(30*Commercial!AD49)+(Total!$AU$62-50)*Commercial!AD50</f>
        <v>139.38058999999998</v>
      </c>
      <c r="AV23" s="22"/>
      <c r="AW23" s="22"/>
      <c r="AY23" t="s">
        <v>19</v>
      </c>
      <c r="BA23" s="22">
        <f t="shared" ref="BA23:BA25" si="6">AO23-AO13</f>
        <v>64.313800000000001</v>
      </c>
      <c r="BB23" s="22"/>
      <c r="BC23" s="24">
        <f t="shared" ref="BC23:BC25" si="7">AQ23-AQ13</f>
        <v>42.342000000000027</v>
      </c>
      <c r="BD23" s="22"/>
      <c r="BE23" s="22">
        <f t="shared" ref="BE23:BI25" si="8">AS23-AS13</f>
        <v>49.029599999999988</v>
      </c>
      <c r="BF23" s="11"/>
      <c r="BG23" s="22">
        <f t="shared" si="8"/>
        <v>46.012859999999989</v>
      </c>
      <c r="BI23" s="22">
        <f t="shared" si="8"/>
        <v>0</v>
      </c>
      <c r="BK23" s="21">
        <f t="shared" ref="BK23:BK25" si="9">AVERAGE(BA23,BC23,BE23,BG23,BI23)</f>
        <v>40.339652000000001</v>
      </c>
      <c r="BM23" t="s">
        <v>19</v>
      </c>
      <c r="BN23" s="89">
        <f>IFERROR(BA23/AO13,0)</f>
        <v>1.0755434760795604</v>
      </c>
      <c r="BP23" s="89">
        <f>IFERROR(BC23/AQ13,0)</f>
        <v>0.33304492826579435</v>
      </c>
      <c r="BR23" s="89">
        <f>IFERROR(BE23/AS13,0)</f>
        <v>0.41430346425756337</v>
      </c>
      <c r="BT23" s="89">
        <f>IFERROR(BG23/AU13,0)</f>
        <v>0.49281330926648848</v>
      </c>
      <c r="BV23" s="89">
        <f>IFERROR(BI23/AW13,0)</f>
        <v>0</v>
      </c>
      <c r="BY23" s="4"/>
    </row>
    <row r="24" spans="1:78" x14ac:dyDescent="0.3">
      <c r="A24" s="31">
        <v>17</v>
      </c>
      <c r="B24" s="11"/>
      <c r="C24" t="s">
        <v>20</v>
      </c>
      <c r="E24" s="6">
        <f>Industrial!E53</f>
        <v>1602.76064</v>
      </c>
      <c r="F24" s="6"/>
      <c r="G24" s="6"/>
      <c r="H24" s="6"/>
      <c r="I24" s="6">
        <f>Industrial!L58</f>
        <v>0</v>
      </c>
      <c r="J24" s="6"/>
      <c r="K24" s="6"/>
      <c r="L24" s="6"/>
      <c r="M24" s="6"/>
      <c r="N24" s="6"/>
      <c r="O24" s="6">
        <f t="shared" si="1"/>
        <v>1602.76064</v>
      </c>
      <c r="Q24" t="s">
        <v>20</v>
      </c>
      <c r="S24" s="6">
        <f>E24-E14</f>
        <v>781.98072000000002</v>
      </c>
      <c r="T24" s="6"/>
      <c r="U24" s="6">
        <f>G24-G14</f>
        <v>0</v>
      </c>
      <c r="V24" s="6"/>
      <c r="W24" s="6">
        <f>I24-I14</f>
        <v>-748.92640000000006</v>
      </c>
      <c r="X24" s="6"/>
      <c r="Y24" s="6">
        <f t="shared" si="2"/>
        <v>0</v>
      </c>
      <c r="Z24" s="6"/>
      <c r="AA24" s="6">
        <f t="shared" si="3"/>
        <v>0</v>
      </c>
      <c r="AB24" s="6"/>
      <c r="AC24" s="6">
        <f t="shared" si="4"/>
        <v>33.054319999999962</v>
      </c>
      <c r="AD24" s="6"/>
      <c r="AE24" s="35">
        <f>S24/E14</f>
        <v>0.9527288630550319</v>
      </c>
      <c r="AF24" s="28"/>
      <c r="AG24" s="35"/>
      <c r="AH24" s="28"/>
      <c r="AI24" s="35"/>
      <c r="AJ24" s="35"/>
      <c r="AK24" s="35">
        <f t="shared" si="5"/>
        <v>2.1057645993296351E-2</v>
      </c>
      <c r="AL24" s="11"/>
      <c r="AM24" t="s">
        <v>20</v>
      </c>
      <c r="AN24" s="6"/>
      <c r="AO24" s="22">
        <f>Commercial!$D$47+(20*Commercial!$D$48)+(30*Commercial!$D$49)+(50*Commercial!$D$50)+($AO$63-100)*Commercial!$D$51</f>
        <v>143.72160000000002</v>
      </c>
      <c r="AP24" s="22"/>
      <c r="AQ24" s="22"/>
      <c r="AR24" s="22"/>
      <c r="AS24" s="22"/>
      <c r="AT24" s="22"/>
      <c r="AU24" s="22"/>
      <c r="AV24" s="22"/>
      <c r="AW24" s="22"/>
      <c r="AY24" t="s">
        <v>20</v>
      </c>
      <c r="BA24" s="25">
        <f t="shared" si="6"/>
        <v>67.858000000000018</v>
      </c>
      <c r="BB24" s="22"/>
      <c r="BC24" s="24">
        <f t="shared" si="7"/>
        <v>0</v>
      </c>
      <c r="BD24" s="22"/>
      <c r="BE24" s="22">
        <f t="shared" si="8"/>
        <v>0</v>
      </c>
      <c r="BF24" s="11"/>
      <c r="BG24" s="22">
        <f t="shared" si="8"/>
        <v>0</v>
      </c>
      <c r="BI24" s="22">
        <f t="shared" si="8"/>
        <v>0</v>
      </c>
      <c r="BK24" s="21">
        <f t="shared" si="9"/>
        <v>13.571600000000004</v>
      </c>
      <c r="BM24" t="s">
        <v>20</v>
      </c>
      <c r="BN24" s="89">
        <f>IFERROR(BA24/AO14,0)</f>
        <v>0.89447376607490303</v>
      </c>
      <c r="BP24" s="89">
        <f>IFERROR(BC24/AQ14,0)</f>
        <v>0</v>
      </c>
      <c r="BR24" s="89">
        <f>IFERROR(BE24/AS14,0)</f>
        <v>0</v>
      </c>
      <c r="BT24" s="89">
        <f>IFERROR(BG24/AU14,0)</f>
        <v>0</v>
      </c>
      <c r="BV24" s="89">
        <f>IFERROR(BI24/AW14,0)</f>
        <v>0</v>
      </c>
      <c r="BY24" s="4"/>
    </row>
    <row r="25" spans="1:78" x14ac:dyDescent="0.3">
      <c r="A25" s="31">
        <v>18</v>
      </c>
      <c r="B25" s="11"/>
      <c r="C25" t="s">
        <v>21</v>
      </c>
      <c r="E25" s="7"/>
      <c r="F25" s="6"/>
      <c r="G25" s="7">
        <f>OPA!Q55</f>
        <v>447.12600000000003</v>
      </c>
      <c r="H25" s="6"/>
      <c r="I25" s="7">
        <f>OPA!E60</f>
        <v>17771.653359999997</v>
      </c>
      <c r="J25" s="6"/>
      <c r="K25" s="6">
        <f>OPA!X58</f>
        <v>2459.2217599999999</v>
      </c>
      <c r="L25" s="6"/>
      <c r="M25" s="6"/>
      <c r="N25" s="6"/>
      <c r="O25" s="7">
        <f t="shared" si="1"/>
        <v>20678.001119999997</v>
      </c>
      <c r="Q25" t="s">
        <v>21</v>
      </c>
      <c r="S25" s="7">
        <f>E25-E15</f>
        <v>0</v>
      </c>
      <c r="T25" s="6"/>
      <c r="U25" s="7">
        <f>G25-G15</f>
        <v>106.08600000000007</v>
      </c>
      <c r="V25" s="6"/>
      <c r="W25" s="7">
        <f>I25-I15</f>
        <v>5089.6107599999959</v>
      </c>
      <c r="X25" s="6"/>
      <c r="Y25" s="6">
        <f t="shared" si="2"/>
        <v>1004.1755999999998</v>
      </c>
      <c r="Z25" s="6"/>
      <c r="AA25" s="6">
        <f t="shared" si="3"/>
        <v>0</v>
      </c>
      <c r="AB25" s="6"/>
      <c r="AC25" s="7">
        <f t="shared" si="4"/>
        <v>6199.8723599999958</v>
      </c>
      <c r="AD25" s="8"/>
      <c r="AE25" s="36"/>
      <c r="AF25" s="28"/>
      <c r="AG25" s="36">
        <f>U25/G15</f>
        <v>0.31106615059817055</v>
      </c>
      <c r="AH25" s="28"/>
      <c r="AI25" s="36"/>
      <c r="AJ25" s="35"/>
      <c r="AK25" s="36">
        <f>AC25/O15</f>
        <v>0.42822331965501842</v>
      </c>
      <c r="AL25" s="11"/>
      <c r="AM25" t="s">
        <v>21</v>
      </c>
      <c r="AN25" s="8"/>
      <c r="AO25" s="22"/>
      <c r="AP25" s="22"/>
      <c r="AQ25" s="24">
        <f>OPA!P49+(20*OPA!P50)+($AQ$64-20)*OPA!P51</f>
        <v>71.02658000000001</v>
      </c>
      <c r="AR25" s="22"/>
      <c r="AS25" s="22">
        <f>OPA!D50+(20*OPA!D51)+(10*OPA!D52)+(20*OPA!D53)+(Total!$AS$64-50)*OPA!D54</f>
        <v>113.14530000000001</v>
      </c>
      <c r="AT25" s="22"/>
      <c r="AU25" s="22">
        <f>OPA!W49+(20*OPA!W50)+(30*OPA!W51)+($AU$64-50)*OPA!W52</f>
        <v>103.86533</v>
      </c>
      <c r="AV25" s="22"/>
      <c r="AW25" s="22"/>
      <c r="AY25" t="s">
        <v>21</v>
      </c>
      <c r="BA25" s="25">
        <f t="shared" si="6"/>
        <v>0</v>
      </c>
      <c r="BB25" s="22"/>
      <c r="BC25" s="24">
        <f t="shared" si="7"/>
        <v>44.787380000000013</v>
      </c>
      <c r="BD25" s="22"/>
      <c r="BE25" s="22">
        <f t="shared" si="8"/>
        <v>48.762100000000004</v>
      </c>
      <c r="BF25" s="11"/>
      <c r="BG25" s="22">
        <f t="shared" si="8"/>
        <v>45.454820000000005</v>
      </c>
      <c r="BI25" s="22">
        <f t="shared" si="8"/>
        <v>0</v>
      </c>
      <c r="BK25" s="21">
        <f t="shared" si="9"/>
        <v>27.800860000000007</v>
      </c>
      <c r="BM25" t="s">
        <v>21</v>
      </c>
      <c r="BN25" s="89">
        <f>IFERROR(BA25/AO15,0)</f>
        <v>0</v>
      </c>
      <c r="BP25" s="89">
        <f>IFERROR(BC25/AQ15,0)</f>
        <v>1.706888167322175</v>
      </c>
      <c r="BR25" s="89">
        <f>IFERROR(BE25/AS15,0)</f>
        <v>0.75737304141453055</v>
      </c>
      <c r="BT25" s="89">
        <f>IFERROR(BG25/AU15,0)</f>
        <v>0.77819591029080226</v>
      </c>
      <c r="BV25" s="89">
        <f>IFERROR(BI25/AW15,0)</f>
        <v>0</v>
      </c>
      <c r="BY25" s="4"/>
    </row>
    <row r="26" spans="1:78" x14ac:dyDescent="0.3">
      <c r="A26" s="31">
        <v>19</v>
      </c>
      <c r="B26" s="11"/>
      <c r="E26" s="5">
        <f>SUM(E22:E25)</f>
        <v>50369.135759999997</v>
      </c>
      <c r="G26" s="5">
        <f>SUM(G22:G25)</f>
        <v>156057.32656000002</v>
      </c>
      <c r="I26" s="5">
        <f>SUM(I22:I25)</f>
        <v>440558.21658999997</v>
      </c>
      <c r="K26" s="87">
        <f>SUM(K22:K25)</f>
        <v>153541.68135</v>
      </c>
      <c r="M26" s="87">
        <f>SUM(M22:M25)</f>
        <v>49657.873631212286</v>
      </c>
      <c r="O26" s="5">
        <f t="shared" si="1"/>
        <v>850184.23389121227</v>
      </c>
      <c r="S26" s="5">
        <f>SUM(S22:S25)</f>
        <v>12195.870080000001</v>
      </c>
      <c r="U26" s="5">
        <f>SUM(U22:U25)</f>
        <v>33900.371360000026</v>
      </c>
      <c r="W26" s="5">
        <f>SUM(W22:W25)</f>
        <v>78959.99923999999</v>
      </c>
      <c r="Y26" s="87">
        <f>SUM(Y22:Y25)</f>
        <v>28924.063590000038</v>
      </c>
      <c r="AA26" s="87">
        <f>SUM(AA22:AA25)</f>
        <v>11218.75363121229</v>
      </c>
      <c r="AC26" s="5">
        <f t="shared" si="4"/>
        <v>165199.05790121233</v>
      </c>
      <c r="AD26" s="5"/>
      <c r="AE26" s="35">
        <f>S26/E16</f>
        <v>0.31948720820052201</v>
      </c>
      <c r="AF26" s="28"/>
      <c r="AG26" s="35">
        <f>U26/G16</f>
        <v>0.27751486851073731</v>
      </c>
      <c r="AH26" s="28"/>
      <c r="AI26" s="35">
        <f>W26/I16</f>
        <v>0.21836390626774752</v>
      </c>
      <c r="AJ26" s="35"/>
      <c r="AK26" s="35">
        <f t="shared" si="5"/>
        <v>0.24117172705592105</v>
      </c>
      <c r="AL26" s="11"/>
      <c r="AN26" s="5"/>
      <c r="AO26" s="23"/>
      <c r="AP26" s="23"/>
      <c r="AQ26" s="23"/>
      <c r="AR26" s="23"/>
      <c r="AS26" s="23"/>
      <c r="AT26" s="23"/>
      <c r="AU26" s="23"/>
      <c r="AV26" s="23"/>
      <c r="AW26" s="23"/>
      <c r="BF26" s="11"/>
      <c r="BG26" s="3"/>
    </row>
    <row r="27" spans="1:78" x14ac:dyDescent="0.3">
      <c r="A27" s="31">
        <v>20</v>
      </c>
      <c r="B27" s="11"/>
      <c r="AE27" s="34"/>
      <c r="AF27" s="28"/>
      <c r="AG27" s="28"/>
      <c r="AH27" s="28"/>
      <c r="AI27" s="28"/>
      <c r="AJ27" s="28"/>
      <c r="AK27" s="28"/>
      <c r="AL27" s="11"/>
      <c r="BF27" s="11"/>
      <c r="BG27" s="3"/>
    </row>
    <row r="28" spans="1:78" x14ac:dyDescent="0.3">
      <c r="A28" s="31">
        <v>21</v>
      </c>
      <c r="B28" s="11"/>
      <c r="AE28" s="34"/>
      <c r="AF28" s="28"/>
      <c r="AG28" s="28"/>
      <c r="AH28" s="28"/>
      <c r="AI28" s="28"/>
      <c r="AJ28" s="28"/>
      <c r="AK28" s="28"/>
      <c r="AL28" s="11"/>
      <c r="BF28" s="11"/>
      <c r="BG28" s="3"/>
    </row>
    <row r="29" spans="1:78" x14ac:dyDescent="0.3">
      <c r="A29" s="31">
        <v>22</v>
      </c>
      <c r="B29" s="11"/>
      <c r="AE29" s="34"/>
      <c r="AF29" s="28"/>
      <c r="AG29" s="28"/>
      <c r="AH29" s="28"/>
      <c r="AI29" s="28"/>
      <c r="AJ29" s="28"/>
      <c r="AK29" s="28"/>
      <c r="AL29" s="11"/>
      <c r="BF29" s="11"/>
      <c r="BG29" s="3"/>
    </row>
    <row r="30" spans="1:78" ht="14.4" customHeight="1" x14ac:dyDescent="0.3">
      <c r="A30" s="31">
        <v>23</v>
      </c>
      <c r="B30" s="29"/>
      <c r="C30" s="137" t="s">
        <v>60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Q30" s="142" t="s">
        <v>44</v>
      </c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20"/>
      <c r="AE30" s="146" t="s">
        <v>44</v>
      </c>
      <c r="AF30" s="146"/>
      <c r="AG30" s="146"/>
      <c r="AH30" s="146"/>
      <c r="AI30" s="146"/>
      <c r="AJ30" s="146"/>
      <c r="AK30" s="146"/>
      <c r="AL30" s="29"/>
      <c r="AM30" s="142" t="s">
        <v>64</v>
      </c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Y30" s="142" t="s">
        <v>44</v>
      </c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M30" s="142" t="s">
        <v>44</v>
      </c>
      <c r="BN30" s="142"/>
      <c r="BO30" s="142"/>
      <c r="BP30" s="142"/>
      <c r="BQ30" s="142"/>
      <c r="BR30" s="142"/>
      <c r="BS30" s="142"/>
      <c r="BT30" s="142"/>
      <c r="BU30" s="142"/>
      <c r="BV30" s="142"/>
    </row>
    <row r="31" spans="1:78" s="14" customFormat="1" ht="30" customHeight="1" x14ac:dyDescent="0.3">
      <c r="A31" s="31">
        <v>24</v>
      </c>
      <c r="B31" s="30"/>
      <c r="C31" s="13" t="s">
        <v>23</v>
      </c>
      <c r="E31" s="106" t="s">
        <v>49</v>
      </c>
      <c r="G31" s="106" t="s">
        <v>99</v>
      </c>
      <c r="I31" s="106" t="s">
        <v>72</v>
      </c>
      <c r="K31" s="107" t="s">
        <v>111</v>
      </c>
      <c r="M31" s="107" t="s">
        <v>112</v>
      </c>
      <c r="O31" s="13" t="s">
        <v>0</v>
      </c>
      <c r="Q31" s="13" t="s">
        <v>23</v>
      </c>
      <c r="S31" s="13" t="s">
        <v>49</v>
      </c>
      <c r="U31" s="13" t="s">
        <v>99</v>
      </c>
      <c r="W31" s="15" t="s">
        <v>72</v>
      </c>
      <c r="Y31" s="15" t="s">
        <v>111</v>
      </c>
      <c r="AA31" s="15" t="s">
        <v>112</v>
      </c>
      <c r="AC31" s="13" t="s">
        <v>0</v>
      </c>
      <c r="AD31" s="16"/>
      <c r="AE31" s="13" t="s">
        <v>49</v>
      </c>
      <c r="AG31" s="13" t="s">
        <v>68</v>
      </c>
      <c r="AI31" s="13" t="s">
        <v>68</v>
      </c>
      <c r="AJ31" s="16"/>
      <c r="AK31" s="13" t="s">
        <v>0</v>
      </c>
      <c r="AL31" s="30"/>
      <c r="AM31" s="13" t="s">
        <v>23</v>
      </c>
      <c r="AN31" s="16"/>
      <c r="AO31" s="13" t="s">
        <v>49</v>
      </c>
      <c r="AQ31" s="13" t="s">
        <v>99</v>
      </c>
      <c r="AS31" s="13" t="s">
        <v>72</v>
      </c>
      <c r="AU31" s="13" t="s">
        <v>111</v>
      </c>
      <c r="AW31" s="13" t="s">
        <v>112</v>
      </c>
      <c r="AY31" s="13" t="s">
        <v>23</v>
      </c>
      <c r="AZ31" s="16"/>
      <c r="BA31" s="13" t="s">
        <v>49</v>
      </c>
      <c r="BC31" s="13" t="s">
        <v>99</v>
      </c>
      <c r="BE31" s="13" t="s">
        <v>72</v>
      </c>
      <c r="BG31" s="13" t="s">
        <v>111</v>
      </c>
      <c r="BI31" s="13" t="s">
        <v>112</v>
      </c>
      <c r="BK31" s="13" t="s">
        <v>123</v>
      </c>
      <c r="BM31" s="13" t="s">
        <v>23</v>
      </c>
      <c r="BN31" s="13" t="s">
        <v>49</v>
      </c>
      <c r="BP31" s="13" t="s">
        <v>99</v>
      </c>
      <c r="BR31" s="13" t="s">
        <v>72</v>
      </c>
      <c r="BT31" s="13" t="s">
        <v>111</v>
      </c>
      <c r="BV31" s="13" t="s">
        <v>112</v>
      </c>
    </row>
    <row r="32" spans="1:78" x14ac:dyDescent="0.3">
      <c r="A32" s="31">
        <v>25</v>
      </c>
      <c r="B32" s="11"/>
      <c r="C32" t="s">
        <v>18</v>
      </c>
      <c r="E32" s="5">
        <f>Residential!E71</f>
        <v>53969.472240000003</v>
      </c>
      <c r="F32" s="5"/>
      <c r="G32" s="5">
        <f>Residential!X74</f>
        <v>163842.40528000001</v>
      </c>
      <c r="H32" s="5"/>
      <c r="I32" s="5">
        <f>Residential!L74</f>
        <v>349774.05103999999</v>
      </c>
      <c r="J32" s="5"/>
      <c r="K32" s="5">
        <f>Residential!AE74</f>
        <v>170416.26551999999</v>
      </c>
      <c r="L32" s="5"/>
      <c r="M32" s="5">
        <f>Ridgewood!F20</f>
        <v>64176.260683369372</v>
      </c>
      <c r="N32" s="5"/>
      <c r="O32" s="5">
        <f>E32+G32+I32+K32+M32</f>
        <v>802178.4547633694</v>
      </c>
      <c r="Q32" t="s">
        <v>18</v>
      </c>
      <c r="S32" s="5">
        <f>E32-E22</f>
        <v>11567.072200000002</v>
      </c>
      <c r="T32" s="5"/>
      <c r="U32" s="5">
        <f>G32-G22</f>
        <v>37169.664039999989</v>
      </c>
      <c r="V32" s="5"/>
      <c r="W32" s="5">
        <f>I32-I22</f>
        <v>62942.232239999983</v>
      </c>
      <c r="X32" s="5"/>
      <c r="Y32" s="5">
        <f>K32-K22</f>
        <v>33804.131539999973</v>
      </c>
      <c r="Z32" s="5"/>
      <c r="AA32" s="5">
        <f>M32-M22</f>
        <v>14518.387052157086</v>
      </c>
      <c r="AB32" s="5"/>
      <c r="AC32" s="5">
        <f>S32+U32+W32+Y32+AA32</f>
        <v>160001.48707215703</v>
      </c>
      <c r="AD32" s="5"/>
      <c r="AE32" s="35">
        <f>S32/E22</f>
        <v>0.27279286524084223</v>
      </c>
      <c r="AF32" s="28"/>
      <c r="AG32" s="35">
        <f>U32/G22</f>
        <v>0.29343064400553731</v>
      </c>
      <c r="AH32" s="28"/>
      <c r="AI32" s="35">
        <f>W32/I22</f>
        <v>0.21943950466627932</v>
      </c>
      <c r="AJ32" s="35"/>
      <c r="AK32" s="35">
        <f>AC32/O22</f>
        <v>0.24915482043431519</v>
      </c>
      <c r="AL32" s="11"/>
      <c r="AM32" t="s">
        <v>18</v>
      </c>
      <c r="AN32" s="5"/>
      <c r="AO32" s="4">
        <f>Residential!D64+(20*Residential!D66)+($AO$61-20)*Residential!D67</f>
        <v>53.794599999999996</v>
      </c>
      <c r="AQ32" s="4">
        <f>Residential!W64+(20*Residential!W66)+($AQ$61-20)*Residential!W67</f>
        <v>53.769159999999999</v>
      </c>
      <c r="AS32" s="4">
        <f>Residential!K64+(20*Residential!K66)+($AS$61-20)*Residential!K67</f>
        <v>56.223489999999998</v>
      </c>
      <c r="AU32" s="4">
        <f>Residential!AD64+(20*Residential!AD66)+($AU$61-20)*Residential!AD67</f>
        <v>59.339459999999995</v>
      </c>
      <c r="AW32" s="4">
        <f>Ridgewood!F22</f>
        <v>58.769469490264989</v>
      </c>
      <c r="AY32" t="s">
        <v>18</v>
      </c>
      <c r="BA32" s="4">
        <f>AO32-AO22</f>
        <v>12.072239999999994</v>
      </c>
      <c r="BC32" s="4">
        <f>AQ32-AQ22</f>
        <v>12.692980000000006</v>
      </c>
      <c r="BE32" s="4">
        <f>AS32-AS22</f>
        <v>11.995060000000002</v>
      </c>
      <c r="BF32" s="11"/>
      <c r="BG32" s="4">
        <f>AU32-AU22</f>
        <v>12.90377999999999</v>
      </c>
      <c r="BI32" s="4">
        <f>AW32-AW22</f>
        <v>13.295226238239088</v>
      </c>
      <c r="BK32" s="109">
        <f>ROUND(AVERAGE(BA32,BC32,BE32,BG32,BI32),2)</f>
        <v>12.59</v>
      </c>
      <c r="BM32" t="s">
        <v>18</v>
      </c>
      <c r="BN32" s="89">
        <f>IFERROR(BA32/AO22,0)</f>
        <v>0.28934700721627427</v>
      </c>
      <c r="BP32" s="89">
        <f>IFERROR(BC32/AQ22,0)</f>
        <v>0.30901072105536609</v>
      </c>
      <c r="BR32" s="89">
        <f>IFERROR(BE32/AS22,0)</f>
        <v>0.27120700418260391</v>
      </c>
      <c r="BT32" s="89">
        <f>IFERROR(BG32/AU22,0)</f>
        <v>0.2778850228961865</v>
      </c>
      <c r="BV32" s="89">
        <f>IFERROR(BI32/AW22,0)</f>
        <v>0.29236827899597384</v>
      </c>
      <c r="BY32" s="4">
        <f>ROUND(BK32/(365/12),2)</f>
        <v>0.41</v>
      </c>
      <c r="BZ32" s="4"/>
    </row>
    <row r="33" spans="1:78" x14ac:dyDescent="0.3">
      <c r="A33" s="31">
        <v>26</v>
      </c>
      <c r="B33" s="11"/>
      <c r="C33" t="s">
        <v>19</v>
      </c>
      <c r="E33" s="6">
        <f>Commercial!E73</f>
        <v>9805.8946400000004</v>
      </c>
      <c r="F33" s="6"/>
      <c r="G33" s="6">
        <f>Commercial!X73</f>
        <v>35825.50288</v>
      </c>
      <c r="H33" s="6"/>
      <c r="I33" s="6">
        <f>Commercial!L77</f>
        <v>164097.32608000003</v>
      </c>
      <c r="J33" s="6"/>
      <c r="K33" s="6">
        <f>Commercial!AE76</f>
        <v>16997.26066</v>
      </c>
      <c r="L33" s="6"/>
      <c r="M33" s="6"/>
      <c r="N33" s="6"/>
      <c r="O33" s="6">
        <f t="shared" ref="O33:O36" si="10">E33+G33+I33+K33+M33</f>
        <v>226725.98426000003</v>
      </c>
      <c r="Q33" t="s">
        <v>19</v>
      </c>
      <c r="S33" s="6">
        <f>E33-E23</f>
        <v>3441.9195600000003</v>
      </c>
      <c r="T33" s="6"/>
      <c r="U33" s="6">
        <f>G33-G23</f>
        <v>6888.0435599999983</v>
      </c>
      <c r="V33" s="6"/>
      <c r="W33" s="6">
        <f>I33-I23</f>
        <v>28142.581650000036</v>
      </c>
      <c r="X33" s="6"/>
      <c r="Y33" s="6">
        <f t="shared" ref="Y33:Y35" si="11">K33-K23</f>
        <v>2526.93505</v>
      </c>
      <c r="Z33" s="6"/>
      <c r="AA33" s="6">
        <f t="shared" ref="AA33:AA35" si="12">M33-M23</f>
        <v>0</v>
      </c>
      <c r="AB33" s="6"/>
      <c r="AC33" s="6">
        <f t="shared" ref="AC33:AC36" si="13">S33+U33+W33+Y33+AA33</f>
        <v>40999.479820000037</v>
      </c>
      <c r="AD33" s="6"/>
      <c r="AE33" s="35">
        <f>S33/E23</f>
        <v>0.54084428627272374</v>
      </c>
      <c r="AF33" s="28"/>
      <c r="AG33" s="35">
        <f t="shared" ref="AG33" si="14">U33/G23</f>
        <v>0.23803207751688679</v>
      </c>
      <c r="AH33" s="28"/>
      <c r="AI33" s="35"/>
      <c r="AJ33" s="35"/>
      <c r="AK33" s="35">
        <f t="shared" ref="AK33:AK34" si="15">AC33/O23</f>
        <v>0.22075190583929369</v>
      </c>
      <c r="AL33" s="11"/>
      <c r="AM33" t="s">
        <v>19</v>
      </c>
      <c r="AN33" s="6"/>
      <c r="AO33" s="22">
        <f>Commercial!$D$67+(20*Commercial!$D$68)+(30*Commercial!$D$69)+(50*Commercial!$D$70)+($AO$62-100)*Commercial!$D$71</f>
        <v>202.81849</v>
      </c>
      <c r="AP33" s="22"/>
      <c r="AQ33" s="22">
        <f>Commercial!$W$67+(20*Commercial!$W$68)+(30*Commercial!$W$69)+(50*Commercial!$W$70)+($AQ$62-100)*Commercial!$W$71</f>
        <v>224.71</v>
      </c>
      <c r="AR33" s="22"/>
      <c r="AS33" s="22">
        <f>Commercial!K68+(20*Commercial!K69)+(10*Commercial!K70)+(20*Commercial!K71)+(50*Commercial!K72)+($AS$62-100)*Commercial!K73</f>
        <v>227.26383999999999</v>
      </c>
      <c r="AT33" s="22"/>
      <c r="AU33" s="22">
        <f>Commercial!AD67+(20*Commercial!AD68)+(30*Commercial!AD69)+(Total!$AU$62-50)*Commercial!AD70</f>
        <v>199.34589999999997</v>
      </c>
      <c r="AV33" s="22"/>
      <c r="AW33" s="22"/>
      <c r="AY33" t="s">
        <v>19</v>
      </c>
      <c r="BA33" s="22">
        <f t="shared" ref="BA33:BA35" si="16">AO33-AO23</f>
        <v>78.708129999999997</v>
      </c>
      <c r="BB33" s="22"/>
      <c r="BC33" s="24">
        <f t="shared" ref="BC33:BC35" si="17">AQ33-AQ23</f>
        <v>55.231999999999999</v>
      </c>
      <c r="BD33" s="22"/>
      <c r="BE33" s="22">
        <f t="shared" ref="BE33:BI35" si="18">AS33-AS23</f>
        <v>59.891999999999996</v>
      </c>
      <c r="BF33" s="11"/>
      <c r="BG33" s="22">
        <f t="shared" si="18"/>
        <v>59.965309999999988</v>
      </c>
      <c r="BI33" s="22">
        <f t="shared" si="18"/>
        <v>0</v>
      </c>
      <c r="BK33" s="21">
        <f t="shared" ref="BK33:BK35" si="19">AVERAGE(BA33,BC33,BE33,BG33,BI33)</f>
        <v>50.759487999999997</v>
      </c>
      <c r="BM33" t="s">
        <v>19</v>
      </c>
      <c r="BN33" s="89">
        <f t="shared" ref="BN33:BN35" si="20">IFERROR(BA33/AO23,0)</f>
        <v>0.63417856494816383</v>
      </c>
      <c r="BP33" s="89">
        <f t="shared" ref="BP33:BP35" si="21">IFERROR(BC33/AQ23,0)</f>
        <v>0.32589480640555113</v>
      </c>
      <c r="BR33" s="89">
        <f t="shared" ref="BR33:BR35" si="22">IFERROR(BE33/AS23,0)</f>
        <v>0.35783797322177974</v>
      </c>
      <c r="BT33" s="89">
        <f t="shared" ref="BT33:BT35" si="23">IFERROR(BG33/AU23,0)</f>
        <v>0.43022712129429208</v>
      </c>
      <c r="BV33" s="89">
        <f t="shared" ref="BV33:BV35" si="24">IFERROR(BI33/AW23,0)</f>
        <v>0</v>
      </c>
    </row>
    <row r="34" spans="1:78" x14ac:dyDescent="0.3">
      <c r="A34" s="31">
        <v>27</v>
      </c>
      <c r="B34" s="11"/>
      <c r="C34" t="s">
        <v>20</v>
      </c>
      <c r="E34" s="6">
        <f>Industrial!E73</f>
        <v>2454.57188</v>
      </c>
      <c r="F34" s="6"/>
      <c r="G34" s="6"/>
      <c r="H34" s="6"/>
      <c r="I34" s="6">
        <f>Industrial!L77</f>
        <v>0</v>
      </c>
      <c r="J34" s="6"/>
      <c r="K34" s="6"/>
      <c r="L34" s="6"/>
      <c r="M34" s="6"/>
      <c r="N34" s="6"/>
      <c r="O34" s="6">
        <f t="shared" si="10"/>
        <v>2454.57188</v>
      </c>
      <c r="Q34" t="s">
        <v>20</v>
      </c>
      <c r="S34" s="6">
        <f>E34-E24</f>
        <v>851.81124</v>
      </c>
      <c r="T34" s="6"/>
      <c r="U34" s="6">
        <f>G34-G24</f>
        <v>0</v>
      </c>
      <c r="V34" s="6"/>
      <c r="W34" s="6">
        <f>I34-I24</f>
        <v>0</v>
      </c>
      <c r="X34" s="6"/>
      <c r="Y34" s="6">
        <f t="shared" si="11"/>
        <v>0</v>
      </c>
      <c r="Z34" s="6"/>
      <c r="AA34" s="6">
        <f t="shared" si="12"/>
        <v>0</v>
      </c>
      <c r="AB34" s="6"/>
      <c r="AC34" s="6">
        <f t="shared" si="13"/>
        <v>851.81124</v>
      </c>
      <c r="AD34" s="6"/>
      <c r="AE34" s="35">
        <f t="shared" ref="AE34" si="25">S34/E24</f>
        <v>0.5314650352282172</v>
      </c>
      <c r="AF34" s="28"/>
      <c r="AG34" s="35"/>
      <c r="AH34" s="28"/>
      <c r="AI34" s="35"/>
      <c r="AJ34" s="35"/>
      <c r="AK34" s="35">
        <f t="shared" si="15"/>
        <v>0.5314650352282172</v>
      </c>
      <c r="AL34" s="11"/>
      <c r="AM34" t="s">
        <v>20</v>
      </c>
      <c r="AN34" s="6"/>
      <c r="AO34" s="22">
        <f>Commercial!$D$67+(20*Commercial!$D$68)+(30*Commercial!$D$69)+(50*Commercial!$D$70)+($AO$63-100)*Commercial!$D$71</f>
        <v>227.21440000000001</v>
      </c>
      <c r="AP34" s="22"/>
      <c r="AQ34" s="22"/>
      <c r="AR34" s="22"/>
      <c r="AS34" s="22"/>
      <c r="AT34" s="22"/>
      <c r="AU34" s="22"/>
      <c r="AV34" s="22"/>
      <c r="AW34" s="22"/>
      <c r="AY34" t="s">
        <v>20</v>
      </c>
      <c r="BA34" s="25">
        <f t="shared" si="16"/>
        <v>83.492799999999988</v>
      </c>
      <c r="BB34" s="22"/>
      <c r="BC34" s="22"/>
      <c r="BD34" s="22"/>
      <c r="BE34" s="22">
        <f t="shared" si="18"/>
        <v>0</v>
      </c>
      <c r="BF34" s="11"/>
      <c r="BG34" s="22">
        <f t="shared" si="18"/>
        <v>0</v>
      </c>
      <c r="BI34" s="22">
        <f t="shared" si="18"/>
        <v>0</v>
      </c>
      <c r="BK34" s="21">
        <f t="shared" si="19"/>
        <v>20.873199999999997</v>
      </c>
      <c r="BM34" t="s">
        <v>20</v>
      </c>
      <c r="BN34" s="89">
        <f t="shared" si="20"/>
        <v>0.58093425066239157</v>
      </c>
      <c r="BP34" s="89">
        <f t="shared" si="21"/>
        <v>0</v>
      </c>
      <c r="BR34" s="89">
        <f t="shared" si="22"/>
        <v>0</v>
      </c>
      <c r="BT34" s="89">
        <f t="shared" si="23"/>
        <v>0</v>
      </c>
      <c r="BV34" s="89">
        <f t="shared" si="24"/>
        <v>0</v>
      </c>
    </row>
    <row r="35" spans="1:78" x14ac:dyDescent="0.3">
      <c r="A35" s="31">
        <v>28</v>
      </c>
      <c r="C35" t="s">
        <v>21</v>
      </c>
      <c r="E35" s="7">
        <v>0</v>
      </c>
      <c r="F35" s="6"/>
      <c r="G35" s="7">
        <f>OPA!Q74</f>
        <v>585.46900000000005</v>
      </c>
      <c r="H35" s="6"/>
      <c r="I35" s="7">
        <f>OPA!E79</f>
        <v>23988.685530000006</v>
      </c>
      <c r="J35" s="6"/>
      <c r="K35" s="6">
        <f>OPA!X77</f>
        <v>3767.3774800000001</v>
      </c>
      <c r="L35" s="6"/>
      <c r="M35" s="6"/>
      <c r="N35" s="6"/>
      <c r="O35" s="7">
        <f t="shared" si="10"/>
        <v>28341.532010000006</v>
      </c>
      <c r="Q35" t="s">
        <v>21</v>
      </c>
      <c r="S35" s="7">
        <f>E35-E25</f>
        <v>0</v>
      </c>
      <c r="T35" s="6"/>
      <c r="U35" s="7">
        <f>G35-G25</f>
        <v>138.34300000000002</v>
      </c>
      <c r="V35" s="6"/>
      <c r="W35" s="7">
        <f>I35-I25</f>
        <v>6217.0321700000095</v>
      </c>
      <c r="X35" s="6"/>
      <c r="Y35" s="6">
        <f t="shared" si="11"/>
        <v>1308.1557200000002</v>
      </c>
      <c r="Z35" s="6"/>
      <c r="AA35" s="6">
        <f t="shared" si="12"/>
        <v>0</v>
      </c>
      <c r="AB35" s="6"/>
      <c r="AC35" s="7">
        <f t="shared" si="13"/>
        <v>7663.5308900000091</v>
      </c>
      <c r="AD35" s="8"/>
      <c r="AE35" s="36"/>
      <c r="AF35" s="28"/>
      <c r="AG35" s="36">
        <f t="shared" ref="AG35:AG36" si="26">U35/G25</f>
        <v>0.30940495520278399</v>
      </c>
      <c r="AH35" s="28"/>
      <c r="AI35" s="36"/>
      <c r="AJ35" s="35"/>
      <c r="AK35" s="36">
        <f>AC35/O25</f>
        <v>0.37061275147082545</v>
      </c>
      <c r="AM35" t="s">
        <v>21</v>
      </c>
      <c r="AN35" s="8"/>
      <c r="AO35" s="22"/>
      <c r="AP35" s="22"/>
      <c r="AQ35" s="24">
        <f>OPA!P68+(20*OPA!P69)+($AQ$64-20)*OPA!P70</f>
        <v>129.39396000000002</v>
      </c>
      <c r="AR35" s="22"/>
      <c r="AS35" s="22">
        <f>OPA!D70+(20*OPA!D71)+(10*OPA!D72)+(20*OPA!D73)+(Total!$AS$64-50)*OPA!D74</f>
        <v>172.73581999999999</v>
      </c>
      <c r="AT35" s="22"/>
      <c r="AU35" s="22">
        <f>OPA!W68+(20*OPA!W69)+(30*OPA!W70)+($AU$64-50)*OPA!W71</f>
        <v>163.07329999999999</v>
      </c>
      <c r="AV35" s="22"/>
      <c r="AW35" s="22"/>
      <c r="AY35" t="s">
        <v>21</v>
      </c>
      <c r="BA35" s="25">
        <f t="shared" si="16"/>
        <v>0</v>
      </c>
      <c r="BB35" s="22"/>
      <c r="BC35" s="24">
        <f t="shared" si="17"/>
        <v>58.367380000000011</v>
      </c>
      <c r="BD35" s="22"/>
      <c r="BE35" s="22">
        <f t="shared" si="18"/>
        <v>59.590519999999984</v>
      </c>
      <c r="BG35" s="22">
        <f t="shared" si="18"/>
        <v>59.207969999999989</v>
      </c>
      <c r="BI35" s="22">
        <f t="shared" si="18"/>
        <v>0</v>
      </c>
      <c r="BK35" s="21">
        <f t="shared" si="19"/>
        <v>35.433173999999994</v>
      </c>
      <c r="BM35" t="s">
        <v>21</v>
      </c>
      <c r="BN35" s="89">
        <f t="shared" si="20"/>
        <v>0</v>
      </c>
      <c r="BP35" s="89">
        <f t="shared" si="21"/>
        <v>0.82176813243718061</v>
      </c>
      <c r="BR35" s="89">
        <f t="shared" si="22"/>
        <v>0.52667251755044164</v>
      </c>
      <c r="BT35" s="89">
        <f t="shared" si="23"/>
        <v>0.57004555803173196</v>
      </c>
      <c r="BV35" s="89">
        <f t="shared" si="24"/>
        <v>0</v>
      </c>
    </row>
    <row r="36" spans="1:78" x14ac:dyDescent="0.3">
      <c r="A36" s="31">
        <v>29</v>
      </c>
      <c r="E36" s="5">
        <f>SUM(E32:E35)</f>
        <v>66229.938760000005</v>
      </c>
      <c r="G36" s="5">
        <f>SUM(G32:G35)</f>
        <v>200253.37716</v>
      </c>
      <c r="I36" s="5">
        <f>SUM(I32:I35)</f>
        <v>537860.06264999998</v>
      </c>
      <c r="K36" s="87">
        <f>SUM(K32:K35)</f>
        <v>191180.90365999998</v>
      </c>
      <c r="M36" s="87">
        <f>SUM(M32:M35)</f>
        <v>64176.260683369372</v>
      </c>
      <c r="O36" s="5">
        <f t="shared" si="10"/>
        <v>1059700.5429133694</v>
      </c>
      <c r="S36" s="5">
        <f>SUM(S32:S35)</f>
        <v>15860.803000000004</v>
      </c>
      <c r="U36" s="5">
        <f>SUM(U32:U35)</f>
        <v>44196.050599999988</v>
      </c>
      <c r="W36" s="5">
        <f>SUM(W32:W35)</f>
        <v>97301.846060000025</v>
      </c>
      <c r="Y36" s="87">
        <f>SUM(Y32:Y35)</f>
        <v>37639.222309999976</v>
      </c>
      <c r="AA36" s="87">
        <f>SUM(AA32:AA35)</f>
        <v>14518.387052157086</v>
      </c>
      <c r="AC36" s="5">
        <f t="shared" si="13"/>
        <v>209516.30902215707</v>
      </c>
      <c r="AD36" s="5"/>
      <c r="AE36" s="35">
        <f t="shared" ref="AE36" si="27">S36/E26</f>
        <v>0.31489130716028002</v>
      </c>
      <c r="AF36" s="28"/>
      <c r="AG36" s="35">
        <f t="shared" si="26"/>
        <v>0.28320394546171945</v>
      </c>
      <c r="AH36" s="28"/>
      <c r="AI36" s="35">
        <f t="shared" ref="AI36" si="28">W36/I26</f>
        <v>0.22086035941659166</v>
      </c>
      <c r="AJ36" s="35"/>
      <c r="AK36" s="35">
        <f t="shared" ref="AK36" si="29">AC36/O26</f>
        <v>0.2464363612851545</v>
      </c>
      <c r="AN36" s="5"/>
      <c r="AO36" s="26"/>
      <c r="AP36" s="27"/>
      <c r="AQ36" s="26"/>
      <c r="AR36" s="27"/>
      <c r="AS36" s="26"/>
      <c r="AT36" s="27"/>
      <c r="AU36" s="26"/>
      <c r="AV36" s="27"/>
      <c r="AW36" s="26"/>
    </row>
    <row r="37" spans="1:78" x14ac:dyDescent="0.3">
      <c r="A37" s="31">
        <v>30</v>
      </c>
      <c r="E37" s="5"/>
      <c r="G37" s="5"/>
      <c r="I37" s="5"/>
      <c r="O37" s="5"/>
      <c r="S37" s="5"/>
      <c r="U37" s="5"/>
      <c r="W37" s="5"/>
      <c r="AC37" s="5"/>
      <c r="AD37" s="5"/>
      <c r="AE37" s="35"/>
      <c r="AF37" s="28"/>
      <c r="AG37" s="35"/>
      <c r="AH37" s="28"/>
      <c r="AI37" s="35"/>
      <c r="AJ37" s="35"/>
      <c r="AK37" s="35"/>
      <c r="AN37" s="5"/>
      <c r="AO37" s="26"/>
      <c r="AP37" s="27"/>
      <c r="AQ37" s="26"/>
      <c r="AR37" s="27"/>
      <c r="AS37" s="26"/>
      <c r="AT37" s="27"/>
      <c r="AU37" s="26"/>
      <c r="AV37" s="27"/>
      <c r="AW37" s="26"/>
    </row>
    <row r="38" spans="1:78" x14ac:dyDescent="0.3">
      <c r="A38" s="31">
        <v>31</v>
      </c>
      <c r="E38" s="5"/>
      <c r="G38" s="5"/>
      <c r="I38" s="5"/>
      <c r="O38" s="5"/>
      <c r="S38" s="5"/>
      <c r="U38" s="5"/>
      <c r="W38" s="5"/>
      <c r="AC38" s="5"/>
      <c r="AD38" s="5"/>
      <c r="AE38" s="35"/>
      <c r="AF38" s="28"/>
      <c r="AG38" s="35"/>
      <c r="AH38" s="28"/>
      <c r="AI38" s="35"/>
      <c r="AJ38" s="35"/>
      <c r="AK38" s="35"/>
      <c r="AN38" s="5"/>
      <c r="AO38" s="26"/>
      <c r="AP38" s="27"/>
      <c r="AQ38" s="26"/>
      <c r="AR38" s="27"/>
      <c r="AS38" s="26"/>
      <c r="AT38" s="27"/>
      <c r="AU38" s="26"/>
      <c r="AV38" s="27"/>
      <c r="AW38" s="26"/>
    </row>
    <row r="39" spans="1:78" x14ac:dyDescent="0.3">
      <c r="A39" s="31">
        <v>32</v>
      </c>
      <c r="E39" s="5"/>
      <c r="G39" s="5"/>
      <c r="I39" s="5"/>
      <c r="O39" s="5"/>
      <c r="S39" s="5"/>
      <c r="U39" s="5"/>
      <c r="W39" s="5"/>
      <c r="AC39" s="5"/>
      <c r="AD39" s="5"/>
      <c r="AE39" s="35"/>
      <c r="AF39" s="28"/>
      <c r="AG39" s="35"/>
      <c r="AH39" s="28"/>
      <c r="AI39" s="35"/>
      <c r="AJ39" s="35"/>
      <c r="AK39" s="35"/>
      <c r="AN39" s="5"/>
      <c r="AO39" s="26"/>
      <c r="AP39" s="27"/>
      <c r="AQ39" s="26"/>
      <c r="AR39" s="27"/>
      <c r="AS39" s="26"/>
      <c r="AT39" s="27"/>
      <c r="AU39" s="26"/>
      <c r="AV39" s="27"/>
      <c r="AW39" s="26"/>
    </row>
    <row r="40" spans="1:78" ht="14.4" customHeight="1" x14ac:dyDescent="0.3">
      <c r="A40" s="31">
        <v>33</v>
      </c>
      <c r="B40" s="29"/>
      <c r="C40" s="137" t="s">
        <v>80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Q40" s="142" t="s">
        <v>81</v>
      </c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20"/>
      <c r="AE40" s="146" t="s">
        <v>44</v>
      </c>
      <c r="AF40" s="146"/>
      <c r="AG40" s="146"/>
      <c r="AH40" s="146"/>
      <c r="AI40" s="146"/>
      <c r="AJ40" s="146"/>
      <c r="AK40" s="146"/>
      <c r="AL40" s="29"/>
      <c r="AM40" s="142" t="s">
        <v>82</v>
      </c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Y40" s="142" t="s">
        <v>81</v>
      </c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M40" s="142" t="s">
        <v>81</v>
      </c>
      <c r="BN40" s="142"/>
      <c r="BO40" s="142"/>
      <c r="BP40" s="142"/>
      <c r="BQ40" s="142"/>
      <c r="BR40" s="142"/>
      <c r="BS40" s="142"/>
      <c r="BT40" s="142"/>
      <c r="BU40" s="142"/>
      <c r="BV40" s="142"/>
    </row>
    <row r="41" spans="1:78" s="14" customFormat="1" ht="30" customHeight="1" x14ac:dyDescent="0.3">
      <c r="A41" s="31">
        <v>34</v>
      </c>
      <c r="B41" s="30"/>
      <c r="C41" s="13" t="s">
        <v>23</v>
      </c>
      <c r="E41" s="106" t="s">
        <v>49</v>
      </c>
      <c r="G41" s="106" t="s">
        <v>99</v>
      </c>
      <c r="I41" s="106" t="s">
        <v>72</v>
      </c>
      <c r="K41" s="107" t="s">
        <v>111</v>
      </c>
      <c r="M41" s="107" t="s">
        <v>112</v>
      </c>
      <c r="O41" s="13" t="s">
        <v>0</v>
      </c>
      <c r="Q41" s="13" t="s">
        <v>23</v>
      </c>
      <c r="S41" s="13" t="s">
        <v>49</v>
      </c>
      <c r="U41" s="13" t="s">
        <v>99</v>
      </c>
      <c r="W41" s="15" t="s">
        <v>72</v>
      </c>
      <c r="Y41" s="15" t="s">
        <v>111</v>
      </c>
      <c r="AA41" s="15" t="s">
        <v>112</v>
      </c>
      <c r="AC41" s="13" t="s">
        <v>0</v>
      </c>
      <c r="AD41" s="16"/>
      <c r="AE41" s="13" t="s">
        <v>49</v>
      </c>
      <c r="AG41" s="13" t="s">
        <v>68</v>
      </c>
      <c r="AI41" s="13" t="s">
        <v>68</v>
      </c>
      <c r="AJ41" s="16"/>
      <c r="AK41" s="13" t="s">
        <v>0</v>
      </c>
      <c r="AL41" s="30"/>
      <c r="AM41" s="13" t="s">
        <v>23</v>
      </c>
      <c r="AN41" s="16"/>
      <c r="AO41" s="13" t="s">
        <v>49</v>
      </c>
      <c r="AQ41" s="13" t="s">
        <v>99</v>
      </c>
      <c r="AS41" s="13" t="s">
        <v>72</v>
      </c>
      <c r="AU41" s="15" t="s">
        <v>111</v>
      </c>
      <c r="AW41" s="15" t="s">
        <v>112</v>
      </c>
      <c r="AY41" s="13" t="s">
        <v>23</v>
      </c>
      <c r="AZ41" s="16"/>
      <c r="BA41" s="13" t="s">
        <v>49</v>
      </c>
      <c r="BC41" s="13" t="s">
        <v>99</v>
      </c>
      <c r="BE41" s="13" t="s">
        <v>72</v>
      </c>
      <c r="BF41" s="30"/>
      <c r="BG41" s="15" t="s">
        <v>111</v>
      </c>
      <c r="BI41" s="15" t="s">
        <v>112</v>
      </c>
      <c r="BK41" s="13" t="s">
        <v>123</v>
      </c>
      <c r="BM41" s="13" t="s">
        <v>23</v>
      </c>
      <c r="BN41" s="13" t="s">
        <v>49</v>
      </c>
      <c r="BP41" s="13" t="s">
        <v>99</v>
      </c>
      <c r="BR41" s="13" t="s">
        <v>72</v>
      </c>
      <c r="BS41" s="30"/>
      <c r="BT41" s="15" t="s">
        <v>111</v>
      </c>
      <c r="BV41" s="15" t="s">
        <v>112</v>
      </c>
    </row>
    <row r="42" spans="1:78" x14ac:dyDescent="0.3">
      <c r="A42" s="31">
        <v>35</v>
      </c>
      <c r="B42" s="11"/>
      <c r="C42" t="s">
        <v>18</v>
      </c>
      <c r="E42" s="5">
        <f>Residential!E90</f>
        <v>70150.749240000005</v>
      </c>
      <c r="F42" s="5"/>
      <c r="G42" s="5">
        <f>Residential!X93</f>
        <v>210503.47076000003</v>
      </c>
      <c r="H42" s="5"/>
      <c r="I42" s="5">
        <f>Residential!L93</f>
        <v>426275.08107999997</v>
      </c>
      <c r="J42" s="5"/>
      <c r="K42" s="5">
        <f>Residential!AE93</f>
        <v>214444.25531000001</v>
      </c>
      <c r="L42" s="5"/>
      <c r="M42" s="5">
        <f>Ridgewood!H20</f>
        <v>82654.207840660209</v>
      </c>
      <c r="N42" s="5"/>
      <c r="O42" s="5">
        <f>E42+G42+I42+K42+M42</f>
        <v>1004027.7642306603</v>
      </c>
      <c r="Q42" t="s">
        <v>18</v>
      </c>
      <c r="S42" s="5">
        <f>E42-E32</f>
        <v>16181.277000000002</v>
      </c>
      <c r="T42" s="5"/>
      <c r="U42" s="5">
        <f>G42-G32</f>
        <v>46661.065480000019</v>
      </c>
      <c r="V42" s="5"/>
      <c r="W42" s="5">
        <f>I42-I32</f>
        <v>76501.030039999983</v>
      </c>
      <c r="X42" s="5"/>
      <c r="Y42" s="5">
        <f>K42-K32</f>
        <v>44027.989790000021</v>
      </c>
      <c r="Z42" s="5"/>
      <c r="AA42" s="5">
        <f>M42-M32</f>
        <v>18477.947157290837</v>
      </c>
      <c r="AB42" s="5"/>
      <c r="AC42" s="5">
        <f>S42+U42+W42+Y42+AA42</f>
        <v>201849.30946729088</v>
      </c>
      <c r="AD42" s="5"/>
      <c r="AE42" s="35">
        <f>S42/E32</f>
        <v>0.29982277625474146</v>
      </c>
      <c r="AF42" s="28"/>
      <c r="AG42" s="35">
        <f>U42/G32</f>
        <v>0.28479236129534446</v>
      </c>
      <c r="AH42" s="28"/>
      <c r="AI42" s="35">
        <f>W42/I32</f>
        <v>0.21871556741426584</v>
      </c>
      <c r="AJ42" s="35"/>
      <c r="AK42" s="35">
        <f>AC42/O32</f>
        <v>0.25162644081089586</v>
      </c>
      <c r="AL42" s="11"/>
      <c r="AM42" t="s">
        <v>18</v>
      </c>
      <c r="AN42" s="5"/>
      <c r="AO42" s="4">
        <f>Residential!D83+(20*Residential!D85)+($AO$61-20)*Residential!D86</f>
        <v>70.684960000000004</v>
      </c>
      <c r="AQ42" s="4">
        <f>Residential!W83+(20*Residential!W85)+($AQ$61-20)*Residential!W86</f>
        <v>69.70214</v>
      </c>
      <c r="AS42" s="4">
        <f>Residential!K83+(20*Residential!K85)+($AS$61-20)*Residential!K86</f>
        <v>70.811059999999998</v>
      </c>
      <c r="AU42" s="4">
        <f>Residential!AD83+(20*Residential!AD85)+($AU$61-20)*Residential!AD86</f>
        <v>76.144660000000002</v>
      </c>
      <c r="AW42" s="4">
        <f>Ridgewood!H22</f>
        <v>75.690666520751108</v>
      </c>
      <c r="AY42" t="s">
        <v>18</v>
      </c>
      <c r="BA42" s="4">
        <f>AO42-AO32</f>
        <v>16.890360000000008</v>
      </c>
      <c r="BC42" s="4">
        <f>AQ42-AQ32</f>
        <v>15.932980000000001</v>
      </c>
      <c r="BE42" s="4">
        <f>AS42-AS32</f>
        <v>14.587569999999999</v>
      </c>
      <c r="BF42" s="11"/>
      <c r="BG42" s="4">
        <f>AU42-AU32</f>
        <v>16.805200000000006</v>
      </c>
      <c r="BI42" s="4">
        <f>AW42-AW32</f>
        <v>16.92119703048612</v>
      </c>
      <c r="BK42" s="109">
        <f>ROUND(AVERAGE(BA42,BC42,BE42,BG42,BI42),2)</f>
        <v>16.23</v>
      </c>
      <c r="BM42" t="s">
        <v>18</v>
      </c>
      <c r="BN42" s="89">
        <f>IFERROR(BA42/AO32,0)</f>
        <v>0.31397872648927605</v>
      </c>
      <c r="BP42" s="89">
        <f>IFERROR(BC42/AQ32,0)</f>
        <v>0.29632190646087836</v>
      </c>
      <c r="BR42" s="89">
        <f>IFERROR(BE42/AS32,0)</f>
        <v>0.25945685691158626</v>
      </c>
      <c r="BT42" s="89">
        <f>IFERROR(BG42/AU32,0)</f>
        <v>0.28320446461764243</v>
      </c>
      <c r="BV42" s="89">
        <f>IFERROR(BI42/AW32,0)</f>
        <v>0.28792495792886258</v>
      </c>
      <c r="BY42" s="4">
        <f>ROUND(BK42/(365/12),2)</f>
        <v>0.53</v>
      </c>
      <c r="BZ42" s="4"/>
    </row>
    <row r="43" spans="1:78" x14ac:dyDescent="0.3">
      <c r="A43" s="31">
        <v>36</v>
      </c>
      <c r="B43" s="11"/>
      <c r="C43" t="s">
        <v>19</v>
      </c>
      <c r="E43" s="6">
        <f>Commercial!E92</f>
        <v>14611.676439999999</v>
      </c>
      <c r="F43" s="6"/>
      <c r="G43" s="6">
        <f>Commercial!X92</f>
        <v>44485.204639999996</v>
      </c>
      <c r="H43" s="6"/>
      <c r="I43" s="6">
        <f>Commercial!L96</f>
        <v>198239.72936999999</v>
      </c>
      <c r="J43" s="6"/>
      <c r="K43" s="6">
        <f>Commercial!AE95</f>
        <v>20292.863870000001</v>
      </c>
      <c r="L43" s="6"/>
      <c r="M43" s="6"/>
      <c r="N43" s="6"/>
      <c r="O43" s="6">
        <f t="shared" ref="O43:O46" si="30">E43+G43+I43+K43+M43</f>
        <v>277629.47431999998</v>
      </c>
      <c r="Q43" t="s">
        <v>19</v>
      </c>
      <c r="S43" s="6">
        <f t="shared" ref="S43:S45" si="31">E43-E33</f>
        <v>4805.7817999999988</v>
      </c>
      <c r="T43" s="6"/>
      <c r="U43" s="6">
        <f t="shared" ref="U43:U45" si="32">G43-G33</f>
        <v>8659.7017599999963</v>
      </c>
      <c r="V43" s="6"/>
      <c r="W43" s="6">
        <f t="shared" ref="W43:W45" si="33">I43-I33</f>
        <v>34142.403289999958</v>
      </c>
      <c r="X43" s="6"/>
      <c r="Y43" s="6">
        <f t="shared" ref="Y43:Y45" si="34">K43-K33</f>
        <v>3295.6032100000011</v>
      </c>
      <c r="Z43" s="6"/>
      <c r="AA43" s="6">
        <f t="shared" ref="AA43:AA45" si="35">M43-M33</f>
        <v>0</v>
      </c>
      <c r="AB43" s="6"/>
      <c r="AC43" s="6">
        <f t="shared" ref="AC43:AC46" si="36">S43+U43+W43+Y43+AA43</f>
        <v>50903.490059999953</v>
      </c>
      <c r="AD43" s="6"/>
      <c r="AE43" s="35">
        <f>S43/E33</f>
        <v>0.49009111115638082</v>
      </c>
      <c r="AF43" s="28"/>
      <c r="AG43" s="35">
        <f t="shared" ref="AG43" si="37">U43/G33</f>
        <v>0.24171891707999932</v>
      </c>
      <c r="AH43" s="28"/>
      <c r="AI43" s="35"/>
      <c r="AJ43" s="35"/>
      <c r="AK43" s="35">
        <f t="shared" ref="AK43:AK44" si="38">AC43/O33</f>
        <v>0.22451546621857832</v>
      </c>
      <c r="AL43" s="11"/>
      <c r="AM43" t="s">
        <v>19</v>
      </c>
      <c r="AN43" s="6"/>
      <c r="AO43" s="22">
        <f>Commercial!$D$86+(20*Commercial!$D$87)+(30*Commercial!$D$88)+(50*Commercial!$D$89)+($AO$62-100)*Commercial!$D$90</f>
        <v>312.77824999999996</v>
      </c>
      <c r="AP43" s="22"/>
      <c r="AQ43" s="22">
        <f>Commercial!$W$86+(20*Commercial!$W$87)+(30*Commercial!$W$88)+(50*Commercial!$W$89)+($AQ$62-100)*Commercial!$W$90</f>
        <v>294.07240000000002</v>
      </c>
      <c r="AR43" s="22"/>
      <c r="AS43" s="22">
        <f>Commercial!K87+(20*Commercial!K88)+(10*Commercial!K89)+(20*Commercial!K90)+(50*Commercial!K91)+($AS$62-100)*Commercial!K92</f>
        <v>299.97823999999997</v>
      </c>
      <c r="AT43" s="22"/>
      <c r="AU43" s="22">
        <f>Commercial!AD86+(20*Commercial!AD87)+(30*Commercial!AD88)+(Total!$AU$62-50)*Commercial!AD89</f>
        <v>277.40366</v>
      </c>
      <c r="AV43" s="22"/>
      <c r="AW43" s="22"/>
      <c r="AY43" t="s">
        <v>19</v>
      </c>
      <c r="BA43" s="22">
        <f t="shared" ref="BA43:BA45" si="39">AO43-AO33</f>
        <v>109.95975999999996</v>
      </c>
      <c r="BB43" s="22"/>
      <c r="BC43" s="24">
        <f t="shared" ref="BC43:BC44" si="40">AQ43-AQ33</f>
        <v>69.362400000000008</v>
      </c>
      <c r="BD43" s="22"/>
      <c r="BE43" s="22">
        <f t="shared" ref="BE43:BI45" si="41">AS43-AS33</f>
        <v>72.714399999999983</v>
      </c>
      <c r="BF43" s="11"/>
      <c r="BG43" s="22">
        <f t="shared" si="41"/>
        <v>78.05776000000003</v>
      </c>
      <c r="BI43" s="22">
        <f t="shared" si="41"/>
        <v>0</v>
      </c>
      <c r="BK43" s="21">
        <f t="shared" ref="BK43:BK45" si="42">AVERAGE(BA43,BC43,BE43,BG43,BI43)</f>
        <v>66.018863999999994</v>
      </c>
      <c r="BM43" t="s">
        <v>19</v>
      </c>
      <c r="BN43" s="89">
        <f t="shared" ref="BN43:BN45" si="43">IFERROR(BA43/AO33,0)</f>
        <v>0.54215845902412529</v>
      </c>
      <c r="BP43" s="89">
        <f t="shared" ref="BP43:BP45" si="44">IFERROR(BC43/AQ33,0)</f>
        <v>0.30867518134484451</v>
      </c>
      <c r="BR43" s="89">
        <f t="shared" ref="BR43:BR45" si="45">IFERROR(BE43/AS33,0)</f>
        <v>0.31995587155440119</v>
      </c>
      <c r="BT43" s="89">
        <f t="shared" ref="BT43:BT45" si="46">IFERROR(BG43/AU33,0)</f>
        <v>0.39156942781366477</v>
      </c>
      <c r="BV43" s="89">
        <f t="shared" ref="BV43:BV45" si="47">IFERROR(BI43/AW33,0)</f>
        <v>0</v>
      </c>
    </row>
    <row r="44" spans="1:78" x14ac:dyDescent="0.3">
      <c r="A44" s="31">
        <v>37</v>
      </c>
      <c r="B44" s="11"/>
      <c r="C44" t="s">
        <v>20</v>
      </c>
      <c r="E44" s="6">
        <f>Industrial!E92</f>
        <v>3643.33932</v>
      </c>
      <c r="F44" s="6"/>
      <c r="G44" s="6"/>
      <c r="H44" s="6"/>
      <c r="I44" s="6">
        <f>Industrial!L96</f>
        <v>0</v>
      </c>
      <c r="J44" s="6"/>
      <c r="K44" s="6"/>
      <c r="L44" s="6"/>
      <c r="M44" s="6"/>
      <c r="N44" s="6"/>
      <c r="O44" s="6">
        <f t="shared" si="30"/>
        <v>3643.33932</v>
      </c>
      <c r="Q44" t="s">
        <v>20</v>
      </c>
      <c r="S44" s="6">
        <f t="shared" si="31"/>
        <v>1188.7674400000001</v>
      </c>
      <c r="T44" s="6"/>
      <c r="U44" s="6">
        <f t="shared" si="32"/>
        <v>0</v>
      </c>
      <c r="V44" s="6"/>
      <c r="W44" s="6">
        <f t="shared" si="33"/>
        <v>0</v>
      </c>
      <c r="X44" s="6"/>
      <c r="Y44" s="6">
        <f t="shared" si="34"/>
        <v>0</v>
      </c>
      <c r="Z44" s="6"/>
      <c r="AA44" s="6">
        <f t="shared" si="35"/>
        <v>0</v>
      </c>
      <c r="AB44" s="6"/>
      <c r="AC44" s="6">
        <f t="shared" si="36"/>
        <v>1188.7674400000001</v>
      </c>
      <c r="AD44" s="6"/>
      <c r="AE44" s="35">
        <f t="shared" ref="AE44" si="48">S44/E34</f>
        <v>0.48430744672264397</v>
      </c>
      <c r="AF44" s="28"/>
      <c r="AG44" s="35"/>
      <c r="AH44" s="28"/>
      <c r="AI44" s="35"/>
      <c r="AJ44" s="35"/>
      <c r="AK44" s="35">
        <f t="shared" si="38"/>
        <v>0.48430744672264397</v>
      </c>
      <c r="AL44" s="11"/>
      <c r="AM44" t="s">
        <v>20</v>
      </c>
      <c r="AN44" s="6"/>
      <c r="AO44" s="22">
        <f>Commercial!$D$86+(20*Commercial!$D$87)+(30*Commercial!$D$88)+(50*Commercial!$D$89)+($AO$63-100)*Commercial!$D$90</f>
        <v>343.78999999999996</v>
      </c>
      <c r="AP44" s="22"/>
      <c r="AQ44" s="22"/>
      <c r="AR44" s="22"/>
      <c r="AS44" s="22"/>
      <c r="AT44" s="22"/>
      <c r="AU44" s="22"/>
      <c r="AV44" s="22"/>
      <c r="AW44" s="22"/>
      <c r="AY44" t="s">
        <v>20</v>
      </c>
      <c r="BA44" s="25">
        <f t="shared" si="39"/>
        <v>116.57559999999995</v>
      </c>
      <c r="BB44" s="22"/>
      <c r="BC44" s="24">
        <f t="shared" si="40"/>
        <v>0</v>
      </c>
      <c r="BD44" s="22"/>
      <c r="BE44" s="22">
        <f t="shared" si="41"/>
        <v>0</v>
      </c>
      <c r="BF44" s="11"/>
      <c r="BG44" s="22">
        <f t="shared" si="41"/>
        <v>0</v>
      </c>
      <c r="BI44" s="22">
        <f t="shared" si="41"/>
        <v>0</v>
      </c>
      <c r="BK44" s="21">
        <f t="shared" si="42"/>
        <v>23.31511999999999</v>
      </c>
      <c r="BM44" t="s">
        <v>20</v>
      </c>
      <c r="BN44" s="89">
        <f t="shared" si="43"/>
        <v>0.51306431282524323</v>
      </c>
      <c r="BP44" s="89">
        <f t="shared" si="44"/>
        <v>0</v>
      </c>
      <c r="BR44" s="89">
        <f t="shared" si="45"/>
        <v>0</v>
      </c>
      <c r="BT44" s="89">
        <f t="shared" si="46"/>
        <v>0</v>
      </c>
      <c r="BV44" s="89">
        <f t="shared" si="47"/>
        <v>0</v>
      </c>
    </row>
    <row r="45" spans="1:78" x14ac:dyDescent="0.3">
      <c r="A45" s="31">
        <v>38</v>
      </c>
      <c r="C45" t="s">
        <v>21</v>
      </c>
      <c r="E45" s="7">
        <v>0</v>
      </c>
      <c r="F45" s="6"/>
      <c r="G45" s="7">
        <f>OPA!Q94</f>
        <v>759.11500000000001</v>
      </c>
      <c r="H45" s="6"/>
      <c r="I45" s="7">
        <f>OPA!E98</f>
        <v>31538.439129999999</v>
      </c>
      <c r="J45" s="6"/>
      <c r="K45" s="6">
        <f>OPA!X97</f>
        <v>5471.2943199999991</v>
      </c>
      <c r="L45" s="6"/>
      <c r="M45" s="6"/>
      <c r="N45" s="6"/>
      <c r="O45" s="7">
        <f t="shared" si="30"/>
        <v>37768.848449999998</v>
      </c>
      <c r="Q45" t="s">
        <v>21</v>
      </c>
      <c r="S45" s="7">
        <f t="shared" si="31"/>
        <v>0</v>
      </c>
      <c r="T45" s="6"/>
      <c r="U45" s="7">
        <f t="shared" si="32"/>
        <v>173.64599999999996</v>
      </c>
      <c r="V45" s="6"/>
      <c r="W45" s="7">
        <f t="shared" si="33"/>
        <v>7549.7535999999927</v>
      </c>
      <c r="X45" s="6"/>
      <c r="Y45" s="6">
        <f t="shared" si="34"/>
        <v>1703.916839999999</v>
      </c>
      <c r="Z45" s="6"/>
      <c r="AA45" s="6">
        <f t="shared" si="35"/>
        <v>0</v>
      </c>
      <c r="AB45" s="6"/>
      <c r="AC45" s="7">
        <f t="shared" si="36"/>
        <v>9427.3164399999914</v>
      </c>
      <c r="AD45" s="8"/>
      <c r="AE45" s="36"/>
      <c r="AF45" s="28"/>
      <c r="AG45" s="36">
        <f t="shared" ref="AG45:AG46" si="49">U45/G35</f>
        <v>0.29659298784393356</v>
      </c>
      <c r="AH45" s="28"/>
      <c r="AI45" s="36"/>
      <c r="AJ45" s="35"/>
      <c r="AK45" s="36">
        <f>AC45/O35</f>
        <v>0.33263256328816887</v>
      </c>
      <c r="AM45" t="s">
        <v>21</v>
      </c>
      <c r="AN45" s="8"/>
      <c r="AO45" s="22"/>
      <c r="AP45" s="22"/>
      <c r="AQ45" s="24">
        <f>OPA!P88+(20*OPA!P89)+($AQ$64-20)*OPA!P90</f>
        <v>202.69134</v>
      </c>
      <c r="AR45" s="22"/>
      <c r="AS45" s="22">
        <f>OPA!D89+(20*OPA!D90)+(10*OPA!D91)+(20*OPA!D92)+(Total!$AS$64-50)*OPA!D93</f>
        <v>245.07089999999999</v>
      </c>
      <c r="AT45" s="22"/>
      <c r="AU45" s="22">
        <f>OPA!W88+(20*OPA!W89)+(30*OPA!W90)+($AU$64-50)*OPA!W91</f>
        <v>240.17442</v>
      </c>
      <c r="AV45" s="22"/>
      <c r="AW45" s="22"/>
      <c r="AY45" t="s">
        <v>21</v>
      </c>
      <c r="BA45" s="25">
        <f t="shared" si="39"/>
        <v>0</v>
      </c>
      <c r="BB45" s="22"/>
      <c r="BC45" s="24">
        <f t="shared" ref="BC45" si="50">AQ45-AQ35</f>
        <v>73.297379999999976</v>
      </c>
      <c r="BD45" s="22"/>
      <c r="BE45" s="22">
        <f t="shared" si="41"/>
        <v>72.335080000000005</v>
      </c>
      <c r="BG45" s="22">
        <f t="shared" si="41"/>
        <v>77.101120000000009</v>
      </c>
      <c r="BI45" s="22">
        <f t="shared" si="41"/>
        <v>0</v>
      </c>
      <c r="BK45" s="21">
        <f t="shared" si="42"/>
        <v>44.546715999999996</v>
      </c>
      <c r="BM45" t="s">
        <v>21</v>
      </c>
      <c r="BN45" s="89">
        <f t="shared" si="43"/>
        <v>0</v>
      </c>
      <c r="BP45" s="89">
        <f t="shared" si="44"/>
        <v>0.56646678098421255</v>
      </c>
      <c r="BR45" s="89">
        <f t="shared" si="45"/>
        <v>0.4187613200319425</v>
      </c>
      <c r="BT45" s="89">
        <f t="shared" si="46"/>
        <v>0.4728003909898188</v>
      </c>
      <c r="BV45" s="89">
        <f t="shared" si="47"/>
        <v>0</v>
      </c>
    </row>
    <row r="46" spans="1:78" x14ac:dyDescent="0.3">
      <c r="A46" s="31">
        <v>39</v>
      </c>
      <c r="E46" s="5">
        <f>SUM(E42:E45)</f>
        <v>88405.764999999999</v>
      </c>
      <c r="G46" s="5">
        <f>SUM(G42:G45)</f>
        <v>255747.7904</v>
      </c>
      <c r="I46" s="5">
        <f>SUM(I42:I45)</f>
        <v>656053.24957999995</v>
      </c>
      <c r="K46" s="87">
        <f>SUM(K42:K45)</f>
        <v>240208.4135</v>
      </c>
      <c r="M46" s="87">
        <f>SUM(M42:M45)</f>
        <v>82654.207840660209</v>
      </c>
      <c r="O46" s="5">
        <f t="shared" si="30"/>
        <v>1323069.4263206602</v>
      </c>
      <c r="S46" s="5">
        <f>SUM(S42:S45)</f>
        <v>22175.826239999999</v>
      </c>
      <c r="U46" s="5">
        <f>SUM(U42:U45)</f>
        <v>55494.413240000016</v>
      </c>
      <c r="W46" s="5">
        <f>SUM(W42:W45)</f>
        <v>118193.18692999994</v>
      </c>
      <c r="Y46" s="87">
        <f>SUM(Y42:Y45)</f>
        <v>49027.509840000021</v>
      </c>
      <c r="AA46" s="87">
        <f>SUM(AA42:AA45)</f>
        <v>18477.947157290837</v>
      </c>
      <c r="AC46" s="5">
        <f t="shared" si="36"/>
        <v>263368.88340729079</v>
      </c>
      <c r="AD46" s="5"/>
      <c r="AE46" s="35">
        <f t="shared" ref="AE46" si="51">S46/E36</f>
        <v>0.3348308431985631</v>
      </c>
      <c r="AF46" s="28"/>
      <c r="AG46" s="35">
        <f t="shared" si="49"/>
        <v>0.277120985558514</v>
      </c>
      <c r="AH46" s="28"/>
      <c r="AI46" s="35">
        <f t="shared" ref="AI46" si="52">W46/I36</f>
        <v>0.21974709620132443</v>
      </c>
      <c r="AJ46" s="35"/>
      <c r="AK46" s="35">
        <f t="shared" ref="AK46" si="53">AC46/O36</f>
        <v>0.24853142255002245</v>
      </c>
      <c r="AN46" s="5"/>
      <c r="AO46" s="26"/>
      <c r="AP46" s="27"/>
      <c r="AQ46" s="26"/>
      <c r="AR46" s="27"/>
      <c r="AS46" s="26"/>
      <c r="AT46" s="27"/>
      <c r="AU46" s="26"/>
      <c r="AV46" s="27"/>
      <c r="AW46" s="26"/>
    </row>
    <row r="47" spans="1:78" x14ac:dyDescent="0.3">
      <c r="A47" s="31">
        <v>40</v>
      </c>
      <c r="E47" s="5"/>
      <c r="G47" s="5"/>
      <c r="I47" s="5"/>
      <c r="O47" s="5"/>
      <c r="S47" s="5"/>
      <c r="U47" s="5"/>
      <c r="W47" s="5"/>
      <c r="AC47" s="5"/>
      <c r="AD47" s="5"/>
      <c r="AE47" s="35"/>
      <c r="AF47" s="28"/>
      <c r="AG47" s="35"/>
      <c r="AH47" s="28"/>
      <c r="AI47" s="35"/>
      <c r="AJ47" s="35"/>
      <c r="AK47" s="35"/>
      <c r="AN47" s="5"/>
      <c r="AO47" s="26"/>
      <c r="AP47" s="27"/>
      <c r="AQ47" s="26"/>
      <c r="AR47" s="27"/>
      <c r="AS47" s="26"/>
      <c r="AT47" s="27"/>
      <c r="AU47" s="26"/>
      <c r="AV47" s="27"/>
      <c r="AW47" s="26"/>
    </row>
    <row r="48" spans="1:78" x14ac:dyDescent="0.3">
      <c r="A48" s="31">
        <v>41</v>
      </c>
      <c r="E48" s="5"/>
      <c r="G48" s="5"/>
      <c r="I48" s="5"/>
      <c r="O48" s="5"/>
      <c r="S48" s="5"/>
      <c r="U48" s="5"/>
      <c r="W48" s="5"/>
      <c r="AC48" s="5"/>
      <c r="AD48" s="5"/>
      <c r="AE48" s="35"/>
      <c r="AF48" s="28"/>
      <c r="AG48" s="35"/>
      <c r="AH48" s="28"/>
      <c r="AI48" s="35"/>
      <c r="AJ48" s="35"/>
      <c r="AK48" s="35"/>
      <c r="AN48" s="5"/>
      <c r="AO48" s="26"/>
      <c r="AP48" s="27"/>
      <c r="AQ48" s="26"/>
      <c r="AR48" s="27"/>
      <c r="AS48" s="26"/>
      <c r="AT48" s="27"/>
      <c r="AU48" s="26"/>
      <c r="AV48" s="27"/>
      <c r="AW48" s="26"/>
    </row>
    <row r="49" spans="1:78" x14ac:dyDescent="0.3">
      <c r="A49" s="31">
        <v>42</v>
      </c>
      <c r="E49" s="5"/>
      <c r="G49" s="5"/>
      <c r="I49" s="5"/>
      <c r="O49" s="5"/>
      <c r="S49" s="5"/>
      <c r="U49" s="5"/>
      <c r="W49" s="5"/>
      <c r="AC49" s="5"/>
      <c r="AD49" s="5"/>
      <c r="AE49" s="35"/>
      <c r="AF49" s="28"/>
      <c r="AG49" s="35"/>
      <c r="AH49" s="28"/>
      <c r="AI49" s="35"/>
      <c r="AJ49" s="35"/>
      <c r="AK49" s="35"/>
      <c r="AN49" s="5"/>
      <c r="AO49" s="26"/>
      <c r="AP49" s="27"/>
      <c r="AQ49" s="26"/>
      <c r="AR49" s="27"/>
      <c r="AS49" s="26"/>
      <c r="AT49" s="27"/>
      <c r="AU49" s="26"/>
      <c r="AV49" s="27"/>
      <c r="AW49" s="26"/>
    </row>
    <row r="50" spans="1:78" ht="14.4" customHeight="1" x14ac:dyDescent="0.3">
      <c r="A50" s="31">
        <v>43</v>
      </c>
      <c r="B50" s="29"/>
      <c r="C50" s="137" t="s">
        <v>86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Q50" s="142" t="s">
        <v>87</v>
      </c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20"/>
      <c r="AE50" s="146" t="s">
        <v>44</v>
      </c>
      <c r="AF50" s="146"/>
      <c r="AG50" s="146"/>
      <c r="AH50" s="146"/>
      <c r="AI50" s="146"/>
      <c r="AJ50" s="146"/>
      <c r="AK50" s="146"/>
      <c r="AL50" s="29"/>
      <c r="AM50" s="142" t="s">
        <v>88</v>
      </c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Y50" s="142" t="s">
        <v>87</v>
      </c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M50" s="142" t="s">
        <v>87</v>
      </c>
      <c r="BN50" s="142"/>
      <c r="BO50" s="142"/>
      <c r="BP50" s="142"/>
      <c r="BQ50" s="142"/>
      <c r="BR50" s="142"/>
      <c r="BS50" s="142"/>
      <c r="BT50" s="142"/>
      <c r="BU50" s="142"/>
      <c r="BV50" s="142"/>
    </row>
    <row r="51" spans="1:78" s="14" customFormat="1" ht="30" customHeight="1" x14ac:dyDescent="0.3">
      <c r="A51" s="31">
        <v>44</v>
      </c>
      <c r="B51" s="30"/>
      <c r="C51" s="13" t="s">
        <v>23</v>
      </c>
      <c r="E51" s="106" t="s">
        <v>49</v>
      </c>
      <c r="G51" s="106" t="s">
        <v>99</v>
      </c>
      <c r="I51" s="106" t="s">
        <v>72</v>
      </c>
      <c r="K51" s="107" t="s">
        <v>111</v>
      </c>
      <c r="M51" s="107" t="s">
        <v>112</v>
      </c>
      <c r="O51" s="13" t="s">
        <v>0</v>
      </c>
      <c r="Q51" s="13" t="s">
        <v>23</v>
      </c>
      <c r="S51" s="13" t="s">
        <v>49</v>
      </c>
      <c r="U51" s="13" t="s">
        <v>99</v>
      </c>
      <c r="W51" s="15" t="s">
        <v>72</v>
      </c>
      <c r="Y51" s="15" t="s">
        <v>111</v>
      </c>
      <c r="AA51" s="15" t="s">
        <v>112</v>
      </c>
      <c r="AC51" s="13" t="s">
        <v>0</v>
      </c>
      <c r="AD51" s="16"/>
      <c r="AE51" s="13" t="s">
        <v>49</v>
      </c>
      <c r="AG51" s="13" t="s">
        <v>68</v>
      </c>
      <c r="AI51" s="13" t="s">
        <v>68</v>
      </c>
      <c r="AJ51" s="16"/>
      <c r="AK51" s="13" t="s">
        <v>0</v>
      </c>
      <c r="AL51" s="30"/>
      <c r="AM51" s="13" t="s">
        <v>23</v>
      </c>
      <c r="AN51" s="16"/>
      <c r="AO51" s="13" t="s">
        <v>49</v>
      </c>
      <c r="AQ51" s="13" t="s">
        <v>99</v>
      </c>
      <c r="AS51" s="13" t="s">
        <v>72</v>
      </c>
      <c r="AU51" s="13" t="s">
        <v>111</v>
      </c>
      <c r="AW51" s="13" t="s">
        <v>112</v>
      </c>
      <c r="AY51" s="13" t="s">
        <v>23</v>
      </c>
      <c r="AZ51" s="16"/>
      <c r="BA51" s="13" t="s">
        <v>49</v>
      </c>
      <c r="BC51" s="13" t="s">
        <v>99</v>
      </c>
      <c r="BE51" s="13" t="s">
        <v>72</v>
      </c>
      <c r="BF51" s="30"/>
      <c r="BG51" s="13" t="s">
        <v>111</v>
      </c>
      <c r="BI51" s="13" t="s">
        <v>112</v>
      </c>
      <c r="BK51" s="13" t="s">
        <v>123</v>
      </c>
      <c r="BM51" s="13" t="s">
        <v>23</v>
      </c>
      <c r="BN51" s="13" t="s">
        <v>49</v>
      </c>
      <c r="BP51" s="13" t="s">
        <v>99</v>
      </c>
      <c r="BR51" s="13" t="s">
        <v>72</v>
      </c>
      <c r="BS51" s="30"/>
      <c r="BT51" s="13" t="s">
        <v>111</v>
      </c>
      <c r="BV51" s="13" t="s">
        <v>112</v>
      </c>
    </row>
    <row r="52" spans="1:78" x14ac:dyDescent="0.3">
      <c r="A52" s="31">
        <v>45</v>
      </c>
      <c r="B52" s="11"/>
      <c r="C52" t="s">
        <v>18</v>
      </c>
      <c r="E52" s="5">
        <f>Residential!E109</f>
        <v>91549.203639999992</v>
      </c>
      <c r="F52" s="5"/>
      <c r="G52" s="5">
        <f>Residential!X109</f>
        <v>271021.62751999998</v>
      </c>
      <c r="H52" s="5"/>
      <c r="I52" s="5">
        <f>Residential!L109</f>
        <v>521357.74349272717</v>
      </c>
      <c r="J52" s="5"/>
      <c r="K52" s="5">
        <f>Residential!AE109</f>
        <v>267930.48385999998</v>
      </c>
      <c r="L52" s="5"/>
      <c r="M52" s="5">
        <f>Ridgewood!J20</f>
        <v>104431.78841889584</v>
      </c>
      <c r="N52" s="5"/>
      <c r="O52" s="5">
        <f>E52+G52+I52+K52+M52</f>
        <v>1256290.8469316228</v>
      </c>
      <c r="Q52" t="s">
        <v>18</v>
      </c>
      <c r="S52" s="5">
        <f>E52-E42</f>
        <v>21398.454399999988</v>
      </c>
      <c r="T52" s="5"/>
      <c r="U52" s="5">
        <f>G52-G42</f>
        <v>60518.156759999954</v>
      </c>
      <c r="V52" s="5"/>
      <c r="W52" s="5">
        <f>I52-I42</f>
        <v>95082.662412727193</v>
      </c>
      <c r="X52" s="5"/>
      <c r="Y52" s="5">
        <f>K52-K42</f>
        <v>53486.228549999971</v>
      </c>
      <c r="Z52" s="5"/>
      <c r="AA52" s="5">
        <f>M52-M42</f>
        <v>21777.580578235633</v>
      </c>
      <c r="AB52" s="5"/>
      <c r="AC52" s="5">
        <f>S52+U52+W52+Y52+AA52</f>
        <v>252263.08270096272</v>
      </c>
      <c r="AD52" s="5"/>
      <c r="AE52" s="35">
        <f>S52/E42</f>
        <v>0.30503529373280841</v>
      </c>
      <c r="AF52" s="28"/>
      <c r="AG52" s="35">
        <f>U52/G42</f>
        <v>0.2874924415331761</v>
      </c>
      <c r="AH52" s="28"/>
      <c r="AI52" s="35">
        <f>W52/I42</f>
        <v>0.2230547048910955</v>
      </c>
      <c r="AJ52" s="35"/>
      <c r="AK52" s="35">
        <f>AC52/O42</f>
        <v>0.25125110249740967</v>
      </c>
      <c r="AL52" s="11"/>
      <c r="AM52" t="s">
        <v>18</v>
      </c>
      <c r="AN52" s="5"/>
      <c r="AO52" s="4">
        <f>Residential!D102+(20*Residential!D104)+($AO$61-20)*Residential!D105</f>
        <v>93.023920000000004</v>
      </c>
      <c r="AQ52" s="4">
        <f>Residential!W102+(20*Residential!W104)+($AQ$61-20)*Residential!W105</f>
        <v>90.365120000000005</v>
      </c>
      <c r="AS52" s="4">
        <f>Residential!K102+(20*Residential!K104)+(Total!AS61-20)*Residential!K105</f>
        <v>88.98948</v>
      </c>
      <c r="AU52" s="4">
        <f>Residential!AD102+(20*Residential!AD104)+($AU$61-20)*Residential!AD105</f>
        <v>96.561279999999996</v>
      </c>
      <c r="AW52" s="4">
        <f>Ridgewood!J22</f>
        <v>95.633505878109744</v>
      </c>
      <c r="AY52" t="s">
        <v>18</v>
      </c>
      <c r="BA52" s="4">
        <f>AO52-AO42</f>
        <v>22.33896</v>
      </c>
      <c r="BC52" s="4">
        <f>AQ52-AQ42</f>
        <v>20.662980000000005</v>
      </c>
      <c r="BE52" s="4">
        <f>AS52-AS42</f>
        <v>18.178420000000003</v>
      </c>
      <c r="BF52" s="11"/>
      <c r="BG52" s="4">
        <f>AU52-AU42</f>
        <v>20.416619999999995</v>
      </c>
      <c r="BI52" s="4">
        <f>AW52-AW42</f>
        <v>19.942839357358636</v>
      </c>
      <c r="BK52" s="109">
        <f>ROUND(AVERAGE(BA52,BC52,BE52,BG52,BI52),2)</f>
        <v>20.309999999999999</v>
      </c>
      <c r="BM52" t="s">
        <v>18</v>
      </c>
      <c r="BN52" s="89">
        <f>IFERROR(BA52/AO42,0)</f>
        <v>0.31603554702443065</v>
      </c>
      <c r="BP52" s="89">
        <f>IFERROR(BC52/AQ42,0)</f>
        <v>0.2964468522774194</v>
      </c>
      <c r="BR52" s="89">
        <f>IFERROR(BE52/AS42,0)</f>
        <v>0.25671724162863829</v>
      </c>
      <c r="BT52" s="89">
        <f>IFERROR(BG52/AU42,0)</f>
        <v>0.26812937374728568</v>
      </c>
      <c r="BV52" s="89">
        <f>IFERROR(BI52/AW42,0)</f>
        <v>0.26347818395668604</v>
      </c>
      <c r="BY52" s="4">
        <f>ROUND(BK52/(365/12),2)</f>
        <v>0.67</v>
      </c>
      <c r="BZ52" s="4"/>
    </row>
    <row r="53" spans="1:78" x14ac:dyDescent="0.3">
      <c r="A53" s="31">
        <v>46</v>
      </c>
      <c r="B53" s="11"/>
      <c r="C53" t="s">
        <v>19</v>
      </c>
      <c r="E53" s="6">
        <f>Commercial!E111</f>
        <v>20970.824680000002</v>
      </c>
      <c r="F53" s="6"/>
      <c r="G53" s="6">
        <f>Commercial!X111</f>
        <v>55709.437639999996</v>
      </c>
      <c r="H53" s="6"/>
      <c r="I53" s="6">
        <f>Commercial!L111</f>
        <v>240811.63008</v>
      </c>
      <c r="J53" s="6"/>
      <c r="K53" s="6">
        <f>Commercial!AE111</f>
        <v>24297.421259999999</v>
      </c>
      <c r="L53" s="6"/>
      <c r="M53" s="6"/>
      <c r="N53" s="6"/>
      <c r="O53" s="6">
        <f t="shared" ref="O53:O56" si="54">E53+G53+I53+K53+M53</f>
        <v>341789.31365999999</v>
      </c>
      <c r="Q53" t="s">
        <v>19</v>
      </c>
      <c r="S53" s="6">
        <f t="shared" ref="S53:S55" si="55">E53-E43</f>
        <v>6359.1482400000023</v>
      </c>
      <c r="T53" s="6"/>
      <c r="U53" s="6">
        <f t="shared" ref="U53:U55" si="56">G53-G43</f>
        <v>11224.233</v>
      </c>
      <c r="V53" s="6"/>
      <c r="W53" s="6">
        <f t="shared" ref="W53:W55" si="57">I53-I43</f>
        <v>42571.900710000016</v>
      </c>
      <c r="X53" s="6"/>
      <c r="Y53" s="6">
        <f t="shared" ref="Y53:Y55" si="58">K53-K43</f>
        <v>4004.5573899999981</v>
      </c>
      <c r="Z53" s="6"/>
      <c r="AA53" s="6">
        <f t="shared" ref="AA53:AA55" si="59">M53-M43</f>
        <v>0</v>
      </c>
      <c r="AB53" s="6"/>
      <c r="AC53" s="6">
        <f t="shared" ref="AC53:AC56" si="60">S53+U53+W53+Y53+AA53</f>
        <v>64159.83934000002</v>
      </c>
      <c r="AD53" s="6"/>
      <c r="AE53" s="35">
        <f>S53/E43</f>
        <v>0.43521003672046837</v>
      </c>
      <c r="AF53" s="28"/>
      <c r="AG53" s="35">
        <f t="shared" ref="AG53" si="61">U53/G43</f>
        <v>0.25231384436315368</v>
      </c>
      <c r="AH53" s="28"/>
      <c r="AI53" s="35"/>
      <c r="AJ53" s="35"/>
      <c r="AK53" s="35">
        <f t="shared" ref="AK53:AK54" si="62">AC53/O43</f>
        <v>0.23109880352994658</v>
      </c>
      <c r="AL53" s="11"/>
      <c r="AM53" t="s">
        <v>19</v>
      </c>
      <c r="AN53" s="6"/>
      <c r="AO53" s="22">
        <f>Commercial!$D$105+(20*Commercial!$D$106)+(30*Commercial!$D$107)+(50*Commercial!$D$108)+($AO$62-100)*Commercial!$D$109</f>
        <v>458.20801999999998</v>
      </c>
      <c r="AP53" s="22"/>
      <c r="AQ53" s="22">
        <f>Commercial!$W$105+(20*Commercial!$W$106)+(30*Commercial!$W$107)+(50*Commercial!$W$108)+($AQ$62-100)*Commercial!$W$109</f>
        <v>383.98039999999997</v>
      </c>
      <c r="AR53" s="22"/>
      <c r="AS53" s="22">
        <f>Commercial!K105+(20*Commercial!K106)+(30*Commercial!K107)+(50*Commercial!K108)+(Total!AS62-100)*Commercial!K109</f>
        <v>390.66647999999998</v>
      </c>
      <c r="AT53" s="22"/>
      <c r="AU53" s="22">
        <f>Commercial!AD105+(20*Commercial!AD106)+(30*Commercial!AD107)+(Total!$AU$62-50)*Commercial!AD108</f>
        <v>372.20386999999999</v>
      </c>
      <c r="AV53" s="22"/>
      <c r="AW53" s="22"/>
      <c r="AY53" t="s">
        <v>19</v>
      </c>
      <c r="BA53" s="22">
        <f t="shared" ref="BA53:BA55" si="63">AO53-AO43</f>
        <v>145.42977000000002</v>
      </c>
      <c r="BB53" s="22"/>
      <c r="BC53" s="24">
        <f>AQ53-AQ43</f>
        <v>89.907999999999959</v>
      </c>
      <c r="BD53" s="22"/>
      <c r="BE53" s="24">
        <f>AS53-AS43</f>
        <v>90.688240000000008</v>
      </c>
      <c r="BF53" s="11"/>
      <c r="BG53" s="24">
        <f>AU53-AU43</f>
        <v>94.800209999999993</v>
      </c>
      <c r="BI53" s="24">
        <f>AW53-AW43</f>
        <v>0</v>
      </c>
      <c r="BK53" s="21">
        <f t="shared" ref="BK53:BK55" si="64">AVERAGE(BA53,BC53,BE53,BG53,BI53)</f>
        <v>84.165244000000001</v>
      </c>
      <c r="BM53" t="s">
        <v>19</v>
      </c>
      <c r="BN53" s="89">
        <f t="shared" ref="BN53:BN55" si="65">IFERROR(BA53/AO43,0)</f>
        <v>0.46496126249187736</v>
      </c>
      <c r="BP53" s="89">
        <f t="shared" ref="BP53:BP55" si="66">IFERROR(BC53/AQ43,0)</f>
        <v>0.30573423415458217</v>
      </c>
      <c r="BR53" s="89">
        <f t="shared" ref="BR53:BR55" si="67">IFERROR(BE53/AS43,0)</f>
        <v>0.30231606132498151</v>
      </c>
      <c r="BT53" s="89">
        <f t="shared" ref="BT53:BT55" si="68">IFERROR(BG53/AU43,0)</f>
        <v>0.34174102100887921</v>
      </c>
      <c r="BV53" s="89">
        <f t="shared" ref="BV53:BV55" si="69">IFERROR(BI53/AW43,0)</f>
        <v>0</v>
      </c>
    </row>
    <row r="54" spans="1:78" x14ac:dyDescent="0.3">
      <c r="A54" s="31">
        <v>47</v>
      </c>
      <c r="B54" s="11"/>
      <c r="C54" t="s">
        <v>20</v>
      </c>
      <c r="E54" s="6">
        <f>Industrial!E111</f>
        <v>5216.3752800000002</v>
      </c>
      <c r="F54" s="6"/>
      <c r="G54" s="6"/>
      <c r="H54" s="6"/>
      <c r="I54" s="6">
        <f>Industrial!L112</f>
        <v>0</v>
      </c>
      <c r="J54" s="6"/>
      <c r="K54" s="6"/>
      <c r="L54" s="6"/>
      <c r="M54" s="6"/>
      <c r="N54" s="6"/>
      <c r="O54" s="6">
        <f t="shared" si="54"/>
        <v>5216.3752800000002</v>
      </c>
      <c r="Q54" t="s">
        <v>20</v>
      </c>
      <c r="S54" s="6">
        <f t="shared" si="55"/>
        <v>1573.0359600000002</v>
      </c>
      <c r="T54" s="6"/>
      <c r="U54" s="6">
        <f t="shared" si="56"/>
        <v>0</v>
      </c>
      <c r="V54" s="6"/>
      <c r="W54" s="6">
        <f t="shared" si="57"/>
        <v>0</v>
      </c>
      <c r="X54" s="6"/>
      <c r="Y54" s="6">
        <f t="shared" si="58"/>
        <v>0</v>
      </c>
      <c r="Z54" s="6"/>
      <c r="AA54" s="6">
        <f t="shared" si="59"/>
        <v>0</v>
      </c>
      <c r="AB54" s="6"/>
      <c r="AC54" s="6">
        <f t="shared" si="60"/>
        <v>1573.0359600000002</v>
      </c>
      <c r="AD54" s="6"/>
      <c r="AE54" s="35">
        <f t="shared" ref="AE54" si="70">S54/E44</f>
        <v>0.43175664461579716</v>
      </c>
      <c r="AF54" s="28"/>
      <c r="AG54" s="35"/>
      <c r="AH54" s="28"/>
      <c r="AI54" s="35"/>
      <c r="AJ54" s="35"/>
      <c r="AK54" s="35">
        <f t="shared" si="62"/>
        <v>0.43175664461579716</v>
      </c>
      <c r="AL54" s="11"/>
      <c r="AM54" t="s">
        <v>20</v>
      </c>
      <c r="AN54" s="6"/>
      <c r="AO54" s="22">
        <f>Commercial!$D$105+(20*Commercial!$D$106)+(30*Commercial!$D$107)+(50*Commercial!$D$108)+($AO$63-100)*Commercial!$D$109</f>
        <v>498.02120000000002</v>
      </c>
      <c r="AP54" s="22"/>
      <c r="AQ54" s="22"/>
      <c r="AR54" s="22"/>
      <c r="AS54" s="22"/>
      <c r="AT54" s="22"/>
      <c r="AU54" s="22"/>
      <c r="AV54" s="22"/>
      <c r="AW54" s="22"/>
      <c r="AY54" t="s">
        <v>20</v>
      </c>
      <c r="BA54" s="25">
        <f t="shared" si="63"/>
        <v>154.23120000000006</v>
      </c>
      <c r="BB54" s="22"/>
      <c r="BC54" s="24">
        <f>AQ54-AQ44</f>
        <v>0</v>
      </c>
      <c r="BD54" s="22"/>
      <c r="BE54" s="24">
        <f>AS54-AS44</f>
        <v>0</v>
      </c>
      <c r="BF54" s="11"/>
      <c r="BG54" s="24">
        <f>AU54-AU44</f>
        <v>0</v>
      </c>
      <c r="BI54" s="24">
        <f>AW54-AW44</f>
        <v>0</v>
      </c>
      <c r="BK54" s="21">
        <f t="shared" si="64"/>
        <v>30.846240000000012</v>
      </c>
      <c r="BM54" t="s">
        <v>20</v>
      </c>
      <c r="BN54" s="89">
        <f t="shared" si="65"/>
        <v>0.44862037871956739</v>
      </c>
      <c r="BP54" s="89">
        <f t="shared" si="66"/>
        <v>0</v>
      </c>
      <c r="BR54" s="89">
        <f t="shared" si="67"/>
        <v>0</v>
      </c>
      <c r="BT54" s="89">
        <f t="shared" si="68"/>
        <v>0</v>
      </c>
      <c r="BV54" s="89">
        <f t="shared" si="69"/>
        <v>0</v>
      </c>
    </row>
    <row r="55" spans="1:78" x14ac:dyDescent="0.3">
      <c r="A55" s="31">
        <v>48</v>
      </c>
      <c r="C55" t="s">
        <v>21</v>
      </c>
      <c r="E55" s="7"/>
      <c r="F55" s="6"/>
      <c r="G55" s="7">
        <f>OPA!Q114</f>
        <v>984.34299999999996</v>
      </c>
      <c r="H55" s="6"/>
      <c r="I55" s="7">
        <f>OPA!E114</f>
        <v>40949.762160000006</v>
      </c>
      <c r="J55" s="6"/>
      <c r="K55" s="6">
        <f>OPA!X113</f>
        <v>7540.62464</v>
      </c>
      <c r="L55" s="6"/>
      <c r="M55" s="6"/>
      <c r="N55" s="6"/>
      <c r="O55" s="7">
        <f t="shared" si="54"/>
        <v>49474.729800000008</v>
      </c>
      <c r="Q55" t="s">
        <v>21</v>
      </c>
      <c r="S55" s="7">
        <f t="shared" si="55"/>
        <v>0</v>
      </c>
      <c r="T55" s="6"/>
      <c r="U55" s="7">
        <f t="shared" si="56"/>
        <v>225.22799999999995</v>
      </c>
      <c r="V55" s="6"/>
      <c r="W55" s="7">
        <f t="shared" si="57"/>
        <v>9411.3230300000068</v>
      </c>
      <c r="X55" s="6"/>
      <c r="Y55" s="6">
        <f t="shared" si="58"/>
        <v>2069.3303200000009</v>
      </c>
      <c r="Z55" s="6"/>
      <c r="AA55" s="6">
        <f t="shared" si="59"/>
        <v>0</v>
      </c>
      <c r="AB55" s="6"/>
      <c r="AC55" s="7">
        <f t="shared" si="60"/>
        <v>11705.881350000007</v>
      </c>
      <c r="AD55" s="8"/>
      <c r="AE55" s="36"/>
      <c r="AF55" s="28"/>
      <c r="AG55" s="36">
        <f t="shared" ref="AG55:AG56" si="71">U55/G45</f>
        <v>0.29669812874202189</v>
      </c>
      <c r="AH55" s="28"/>
      <c r="AI55" s="36"/>
      <c r="AJ55" s="35"/>
      <c r="AK55" s="36">
        <f>AC55/O45</f>
        <v>0.30993482275470347</v>
      </c>
      <c r="AM55" t="s">
        <v>21</v>
      </c>
      <c r="AN55" s="8"/>
      <c r="AO55" s="22"/>
      <c r="AP55" s="22"/>
      <c r="AQ55" s="24">
        <f>OPA!P108+(20*OPA!P109)+($AQ$64-20)*OPA!P110</f>
        <v>297.70872000000003</v>
      </c>
      <c r="AR55" s="22"/>
      <c r="AS55" s="22">
        <f>OPA!D108+(20*OPA!D109)+(30*OPA!D110)+(Total!AS64-50)*OPA!D111</f>
        <v>335.27282000000002</v>
      </c>
      <c r="AT55" s="22"/>
      <c r="AU55" s="22">
        <f>OPA!W107+(20*OPA!W108)+(30*OPA!W109)+($AU$64-50)*OPA!W110</f>
        <v>333.81869</v>
      </c>
      <c r="AV55" s="22"/>
      <c r="AW55" s="22"/>
      <c r="AY55" t="s">
        <v>21</v>
      </c>
      <c r="BA55" s="25">
        <f t="shared" si="63"/>
        <v>0</v>
      </c>
      <c r="BB55" s="22"/>
      <c r="BC55" s="24">
        <f>AQ55-AQ45</f>
        <v>95.017380000000031</v>
      </c>
      <c r="BD55" s="22"/>
      <c r="BE55" s="24">
        <f>AS55-AS45</f>
        <v>90.20192000000003</v>
      </c>
      <c r="BG55" s="24">
        <f>AU55-AU45</f>
        <v>93.644270000000006</v>
      </c>
      <c r="BI55" s="24">
        <f>AW55-AW45</f>
        <v>0</v>
      </c>
      <c r="BK55" s="21">
        <f t="shared" si="64"/>
        <v>55.772714000000022</v>
      </c>
      <c r="BM55" t="s">
        <v>21</v>
      </c>
      <c r="BN55" s="89">
        <f t="shared" si="65"/>
        <v>0</v>
      </c>
      <c r="BP55" s="89">
        <f t="shared" si="66"/>
        <v>0.46877868585801463</v>
      </c>
      <c r="BR55" s="89">
        <f t="shared" si="67"/>
        <v>0.3680645886557728</v>
      </c>
      <c r="BT55" s="89">
        <f t="shared" si="68"/>
        <v>0.38990109771057219</v>
      </c>
      <c r="BV55" s="89">
        <f t="shared" si="69"/>
        <v>0</v>
      </c>
    </row>
    <row r="56" spans="1:78" x14ac:dyDescent="0.3">
      <c r="A56" s="31">
        <v>49</v>
      </c>
      <c r="E56" s="5">
        <f>SUM(E52:E55)</f>
        <v>117736.40359999999</v>
      </c>
      <c r="G56" s="5">
        <f>SUM(G52:G55)</f>
        <v>327715.40815999999</v>
      </c>
      <c r="I56" s="5">
        <f>SUM(I52:I55)</f>
        <v>803119.13573272724</v>
      </c>
      <c r="K56" s="87">
        <f>SUM(K52:K55)</f>
        <v>299768.52975999995</v>
      </c>
      <c r="M56" s="87">
        <f>SUM(M52:M55)</f>
        <v>104431.78841889584</v>
      </c>
      <c r="O56" s="5">
        <f t="shared" si="54"/>
        <v>1652771.2656716227</v>
      </c>
      <c r="S56" s="5">
        <f>SUM(S52:S55)</f>
        <v>29330.638599999991</v>
      </c>
      <c r="U56" s="5">
        <f>SUM(U52:U55)</f>
        <v>71967.617759999965</v>
      </c>
      <c r="W56" s="5">
        <f>SUM(W52:W55)</f>
        <v>147065.88615272721</v>
      </c>
      <c r="Y56" s="87">
        <f>SUM(Y52:Y55)</f>
        <v>59560.116259999973</v>
      </c>
      <c r="AA56" s="87">
        <f>SUM(AA52:AA55)</f>
        <v>21777.580578235633</v>
      </c>
      <c r="AC56" s="5">
        <f t="shared" si="60"/>
        <v>329701.83935096278</v>
      </c>
      <c r="AD56" s="5"/>
      <c r="AE56" s="35">
        <f t="shared" ref="AE56" si="72">S56/E46</f>
        <v>0.33177291775032985</v>
      </c>
      <c r="AF56" s="28"/>
      <c r="AG56" s="35">
        <f t="shared" si="71"/>
        <v>0.28140074112640295</v>
      </c>
      <c r="AH56" s="28"/>
      <c r="AI56" s="35">
        <f t="shared" ref="AI56" si="73">W56/I46</f>
        <v>0.2241676056735907</v>
      </c>
      <c r="AJ56" s="35"/>
      <c r="AK56" s="35">
        <f t="shared" ref="AK56" si="74">AC56/O46</f>
        <v>0.24919466264732201</v>
      </c>
      <c r="AN56" s="5"/>
      <c r="AO56" s="26"/>
      <c r="AP56" s="27"/>
      <c r="AQ56" s="26"/>
      <c r="AR56" s="27"/>
      <c r="AS56" s="26"/>
      <c r="AT56" s="27"/>
      <c r="AU56" s="26"/>
      <c r="AV56" s="27"/>
      <c r="AW56" s="26"/>
    </row>
    <row r="57" spans="1:78" x14ac:dyDescent="0.3">
      <c r="A57" s="31">
        <v>50</v>
      </c>
      <c r="AE57" s="34"/>
      <c r="AF57" s="3"/>
      <c r="AG57" s="3"/>
      <c r="AH57" s="3"/>
      <c r="AI57" s="3"/>
      <c r="AJ57" s="3"/>
      <c r="AK57" s="3"/>
      <c r="AM57" s="144" t="s">
        <v>52</v>
      </c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</row>
    <row r="58" spans="1:78" x14ac:dyDescent="0.3">
      <c r="A58" s="31">
        <v>51</v>
      </c>
      <c r="AE58" s="34"/>
      <c r="AF58" s="3"/>
      <c r="AG58" s="3"/>
      <c r="AH58" s="3"/>
      <c r="AI58" s="3"/>
      <c r="AJ58" s="3"/>
      <c r="AK58" s="3"/>
      <c r="AM58" s="151" t="s">
        <v>62</v>
      </c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</row>
    <row r="59" spans="1:78" ht="14.4" customHeight="1" x14ac:dyDescent="0.3">
      <c r="A59" s="31">
        <v>52</v>
      </c>
      <c r="Q59" s="142" t="s">
        <v>90</v>
      </c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E59" s="146" t="s">
        <v>61</v>
      </c>
      <c r="AF59" s="146"/>
      <c r="AG59" s="146"/>
      <c r="AH59" s="146"/>
      <c r="AI59" s="146"/>
      <c r="AJ59" s="146"/>
      <c r="AK59" s="146"/>
      <c r="AY59" s="142" t="s">
        <v>90</v>
      </c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M59" s="142" t="s">
        <v>90</v>
      </c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</row>
    <row r="60" spans="1:78" ht="28.8" x14ac:dyDescent="0.3">
      <c r="A60" s="31">
        <v>53</v>
      </c>
      <c r="Q60" s="13" t="s">
        <v>23</v>
      </c>
      <c r="R60" s="14"/>
      <c r="S60" s="13" t="s">
        <v>49</v>
      </c>
      <c r="T60" s="14"/>
      <c r="U60" s="13" t="s">
        <v>99</v>
      </c>
      <c r="V60" s="14"/>
      <c r="W60" s="15" t="s">
        <v>72</v>
      </c>
      <c r="X60" s="14"/>
      <c r="Y60" s="15" t="s">
        <v>111</v>
      </c>
      <c r="Z60" s="14"/>
      <c r="AA60" s="15" t="s">
        <v>112</v>
      </c>
      <c r="AB60" s="14"/>
      <c r="AC60" s="13" t="s">
        <v>0</v>
      </c>
      <c r="AE60" s="13" t="s">
        <v>49</v>
      </c>
      <c r="AF60" s="14"/>
      <c r="AG60" s="13" t="s">
        <v>68</v>
      </c>
      <c r="AH60" s="14"/>
      <c r="AI60" s="13" t="s">
        <v>68</v>
      </c>
      <c r="AJ60" s="16"/>
      <c r="AK60" s="13" t="s">
        <v>0</v>
      </c>
      <c r="AM60" s="13" t="s">
        <v>23</v>
      </c>
      <c r="AN60" s="14"/>
      <c r="AO60" s="13" t="s">
        <v>49</v>
      </c>
      <c r="AP60" s="14"/>
      <c r="AQ60" s="13" t="s">
        <v>99</v>
      </c>
      <c r="AR60" s="14"/>
      <c r="AS60" s="13" t="s">
        <v>72</v>
      </c>
      <c r="AT60" s="14"/>
      <c r="AU60" s="13" t="s">
        <v>111</v>
      </c>
      <c r="AV60" s="14"/>
      <c r="AW60" s="13" t="s">
        <v>112</v>
      </c>
      <c r="AY60" s="13" t="s">
        <v>23</v>
      </c>
      <c r="AZ60" s="16"/>
      <c r="BA60" s="13" t="s">
        <v>49</v>
      </c>
      <c r="BB60" s="14"/>
      <c r="BC60" s="13" t="s">
        <v>99</v>
      </c>
      <c r="BD60" s="14"/>
      <c r="BE60" s="13" t="s">
        <v>72</v>
      </c>
      <c r="BG60" s="13" t="s">
        <v>111</v>
      </c>
      <c r="BI60" s="9" t="s">
        <v>112</v>
      </c>
      <c r="BK60" s="9" t="s">
        <v>0</v>
      </c>
      <c r="BM60" s="13" t="s">
        <v>23</v>
      </c>
      <c r="BN60" s="13" t="s">
        <v>49</v>
      </c>
      <c r="BO60" s="14"/>
      <c r="BP60" s="13" t="s">
        <v>99</v>
      </c>
      <c r="BQ60" s="14"/>
      <c r="BR60" s="13" t="s">
        <v>72</v>
      </c>
      <c r="BT60" s="13" t="s">
        <v>111</v>
      </c>
      <c r="BV60" s="9" t="s">
        <v>112</v>
      </c>
      <c r="BX60" s="9" t="s">
        <v>0</v>
      </c>
    </row>
    <row r="61" spans="1:78" x14ac:dyDescent="0.3">
      <c r="A61" s="31">
        <v>54</v>
      </c>
      <c r="Q61" t="s">
        <v>18</v>
      </c>
      <c r="S61" s="5">
        <f>S22+S32+S42+S52</f>
        <v>57901.894839999994</v>
      </c>
      <c r="T61" s="5"/>
      <c r="U61" s="5">
        <f>U22+U32+U42+U52</f>
        <v>172853.56511999998</v>
      </c>
      <c r="V61" s="5"/>
      <c r="W61" s="5">
        <f>W22+W32+W42+W52</f>
        <v>286130.10377272719</v>
      </c>
      <c r="X61" s="5"/>
      <c r="Y61" s="5">
        <f>Y22+Y32+Y42+Y52</f>
        <v>157296.13485999999</v>
      </c>
      <c r="Z61" s="5"/>
      <c r="AA61" s="5">
        <f>AA22+AA32+AA42+AA52</f>
        <v>65992.668418895846</v>
      </c>
      <c r="AB61" s="5"/>
      <c r="AC61" s="5">
        <f>S61+U61+W61+Y61+AA61</f>
        <v>740174.36701162299</v>
      </c>
      <c r="AE61" s="35">
        <f>S61/E12</f>
        <v>1.7208477261634665</v>
      </c>
      <c r="AF61" s="28"/>
      <c r="AG61" s="35">
        <f>U61/G12</f>
        <v>1.7607922667932783</v>
      </c>
      <c r="AH61" s="28"/>
      <c r="AI61" s="35">
        <f>W61/I12</f>
        <v>1.2163966110161128</v>
      </c>
      <c r="AJ61" s="35"/>
      <c r="AK61" s="35">
        <f>AC61/O32</f>
        <v>0.92270536888199439</v>
      </c>
      <c r="AM61" t="s">
        <v>18</v>
      </c>
      <c r="AO61" s="21">
        <f>ROUND(Residential!C16/Residential!B16,2)</f>
        <v>29.32</v>
      </c>
      <c r="AP61" s="21"/>
      <c r="AQ61" s="21">
        <f>ROUND(Residential!V21/Residential!U21,2)</f>
        <v>27.02</v>
      </c>
      <c r="AR61" s="21"/>
      <c r="AS61" s="21">
        <f>ROUND(Residential!J21/Residential!I21,2)</f>
        <v>25.83</v>
      </c>
      <c r="AT61" s="21"/>
      <c r="AU61" s="21">
        <f>ROUND(Residential!AC21/Residential!AB21,2)</f>
        <v>32.380000000000003</v>
      </c>
      <c r="AV61" s="21"/>
      <c r="AW61" s="21"/>
      <c r="AY61" t="s">
        <v>18</v>
      </c>
      <c r="BA61" s="4">
        <f>BA22+BA32+BA42+BA52</f>
        <v>60.353920000000002</v>
      </c>
      <c r="BC61" s="4">
        <f>BC22+BC32+BC42+BC52</f>
        <v>59.021920000000009</v>
      </c>
      <c r="BE61" s="4">
        <f>BE22+BE32+BE42+BE52</f>
        <v>54.599429999999998</v>
      </c>
      <c r="BG61" s="4">
        <f>BG22+BG32+BG42+BG52</f>
        <v>60.042719999999996</v>
      </c>
      <c r="BI61" s="4">
        <f>BI22+BI32+BI42+BI52</f>
        <v>60.432846537450409</v>
      </c>
      <c r="BK61" s="4">
        <f>BK22+BK32+BK42+BK52</f>
        <v>58.89</v>
      </c>
      <c r="BM61" t="s">
        <v>18</v>
      </c>
      <c r="BN61" s="89">
        <f>IFERROR((AO52-AO12)/AO12,0)</f>
        <v>1.8473804713804713</v>
      </c>
      <c r="BP61" s="89">
        <f>IFERROR((AQ52-AQ12)/AQ12,0)</f>
        <v>1.8830853263227754</v>
      </c>
      <c r="BR61" s="89">
        <f>IFERROR((AS52-AS12)/AS12,0)</f>
        <v>1.5876519516546208</v>
      </c>
      <c r="BT61" s="89">
        <f>IFERROR((AU52-AU12)/AU12,0)</f>
        <v>1.644169978224771</v>
      </c>
      <c r="BV61" s="89">
        <f>IFERROR((AW52-AW12)/AW12,0)</f>
        <v>1.716810073146728</v>
      </c>
    </row>
    <row r="62" spans="1:78" x14ac:dyDescent="0.3">
      <c r="A62" s="31">
        <v>55</v>
      </c>
      <c r="Q62" t="s">
        <v>19</v>
      </c>
      <c r="S62" s="6">
        <f>S23+S33+S43+S53</f>
        <v>17265.647720000001</v>
      </c>
      <c r="T62" s="6"/>
      <c r="U62" s="6">
        <f>U23+U33+U43+U53</f>
        <v>32061.584839999996</v>
      </c>
      <c r="V62" s="6"/>
      <c r="W62" s="6">
        <f>W23+W33+W43+W53</f>
        <v>127872.02145</v>
      </c>
      <c r="X62" s="6"/>
      <c r="Y62" s="6">
        <f>Y23+Y33+Y43+Y53</f>
        <v>11769.19866</v>
      </c>
      <c r="Z62" s="6"/>
      <c r="AA62" s="6">
        <f>AA23+AA33+AA43+AA53</f>
        <v>0</v>
      </c>
      <c r="AB62" s="6"/>
      <c r="AC62" s="6">
        <f t="shared" ref="AC62:AC64" si="75">S62+U62+W62+Y62+AA62</f>
        <v>188968.45267</v>
      </c>
      <c r="AE62" s="35">
        <f>S62/E13</f>
        <v>4.6598712845283368</v>
      </c>
      <c r="AF62" s="28"/>
      <c r="AG62" s="35">
        <f>U62/G13</f>
        <v>1.3557926426199673</v>
      </c>
      <c r="AH62" s="28"/>
      <c r="AI62" s="35"/>
      <c r="AJ62" s="35"/>
      <c r="AK62" s="35">
        <f>AC62/O33</f>
        <v>0.83346623584749224</v>
      </c>
      <c r="AM62" t="s">
        <v>19</v>
      </c>
      <c r="AO62" s="21">
        <f>ROUND(Commercial!C16/Commercial!B16,2)</f>
        <v>219.73</v>
      </c>
      <c r="AP62" s="21"/>
      <c r="AQ62" s="21">
        <f>ROUND(Commercial!V16/Commercial!U16,2)</f>
        <v>109.6</v>
      </c>
      <c r="AR62" s="21"/>
      <c r="AS62" s="21">
        <f>ROUND(Commercial!J21/Commercial!I21,2)</f>
        <v>119.52</v>
      </c>
      <c r="AT62" s="21"/>
      <c r="AU62" s="21">
        <f>ROUND(Commercial!AC21/Commercial!AB21,2)</f>
        <v>94.49</v>
      </c>
      <c r="AV62" s="21"/>
      <c r="AW62" s="21"/>
      <c r="AY62" t="s">
        <v>19</v>
      </c>
      <c r="BA62" s="21">
        <f>BA23+BA33+BA43+BA53</f>
        <v>398.41145999999998</v>
      </c>
      <c r="BB62" s="22"/>
      <c r="BC62" s="21">
        <f>BC23+BC33+BC43+BC53</f>
        <v>256.84440000000001</v>
      </c>
      <c r="BD62" s="22"/>
      <c r="BE62" s="21">
        <f>BE23+BE33+BE43+BE53</f>
        <v>272.32423999999997</v>
      </c>
      <c r="BG62" s="21">
        <f>BG23+BG33+BG43+BG53</f>
        <v>278.83614</v>
      </c>
      <c r="BI62" s="21">
        <f>BI23+BI33+BI43+BI53</f>
        <v>0</v>
      </c>
      <c r="BK62" s="21">
        <f>BK23+BK33+BK43+BK53</f>
        <v>241.28324799999999</v>
      </c>
      <c r="BM62" t="s">
        <v>19</v>
      </c>
      <c r="BN62" s="89">
        <f>IFERROR((AO53-AO13)/AO13,0)</f>
        <v>6.6627822737629048</v>
      </c>
      <c r="BP62" s="89">
        <f>IFERROR((AQ53-AQ13)/AQ13,0)</f>
        <v>2.0202334507928521</v>
      </c>
      <c r="BR62" s="89">
        <f>IFERROR((AS53-AS13)/AS13,0)</f>
        <v>2.3011584029506285</v>
      </c>
      <c r="BT62" s="89">
        <f>IFERROR((AU53-AU13)/AU13,0)</f>
        <v>2.9864294655123351</v>
      </c>
      <c r="BV62" s="89">
        <f>IFERROR((AW53-AW13)/AW13,0)</f>
        <v>0</v>
      </c>
    </row>
    <row r="63" spans="1:78" x14ac:dyDescent="0.3">
      <c r="A63" s="31">
        <v>56</v>
      </c>
      <c r="Q63" t="s">
        <v>20</v>
      </c>
      <c r="S63" s="6">
        <f>S24+S34+S44+S54</f>
        <v>4395.5953600000003</v>
      </c>
      <c r="T63" s="6"/>
      <c r="U63" s="6">
        <f>U24+U34+U44+U54</f>
        <v>0</v>
      </c>
      <c r="V63" s="6"/>
      <c r="W63" s="6">
        <f>W24+W34+W44+W54</f>
        <v>-748.92640000000006</v>
      </c>
      <c r="X63" s="6"/>
      <c r="Y63" s="6">
        <f>Y24+Y34+Y44+Y54</f>
        <v>0</v>
      </c>
      <c r="Z63" s="6"/>
      <c r="AA63" s="6">
        <f>AA24+AA34+AA44+AA54</f>
        <v>0</v>
      </c>
      <c r="AB63" s="6"/>
      <c r="AC63" s="6">
        <f t="shared" si="75"/>
        <v>3646.66896</v>
      </c>
      <c r="AE63" s="35">
        <f>S63/E14</f>
        <v>5.3553885187639585</v>
      </c>
      <c r="AF63" s="28"/>
      <c r="AG63" s="35"/>
      <c r="AH63" s="28"/>
      <c r="AI63" s="35"/>
      <c r="AJ63" s="35"/>
      <c r="AK63" s="35">
        <f>AC63/O34</f>
        <v>1.4856639521186072</v>
      </c>
      <c r="AM63" t="s">
        <v>20</v>
      </c>
      <c r="AO63" s="21">
        <f>ROUND(Industrial!C16/Industrial!B16,2)</f>
        <v>278.8</v>
      </c>
      <c r="AP63" s="21"/>
      <c r="AQ63" s="21"/>
      <c r="AR63" s="21"/>
      <c r="AS63" s="21"/>
      <c r="AT63" s="21"/>
      <c r="AU63" s="21"/>
      <c r="AV63" s="21"/>
      <c r="AW63" s="21"/>
      <c r="AY63" t="s">
        <v>20</v>
      </c>
      <c r="BA63" s="21">
        <f>BA24+BA34+BA44+BA54</f>
        <v>422.1576</v>
      </c>
      <c r="BB63" s="22"/>
      <c r="BC63" s="21">
        <f>BC24+BC34+BC44+BC54</f>
        <v>0</v>
      </c>
      <c r="BD63" s="22"/>
      <c r="BE63" s="21">
        <f>BE24+BE34+BE44+BE54</f>
        <v>0</v>
      </c>
      <c r="BG63" s="21">
        <f>BG24+BG34+BG44+BG54</f>
        <v>0</v>
      </c>
      <c r="BI63" s="21">
        <f>BI24+BI34+BI44+BI54</f>
        <v>0</v>
      </c>
      <c r="BK63" s="21">
        <f>BK24+BK34+BK44+BK54</f>
        <v>88.606160000000003</v>
      </c>
      <c r="BM63" t="s">
        <v>20</v>
      </c>
      <c r="BN63" s="89">
        <f>IFERROR((AO54-AO14)/AO14,0)</f>
        <v>5.564692421662035</v>
      </c>
      <c r="BP63" s="89">
        <f>IFERROR((AQ54-AQ14)/AQ14,0)</f>
        <v>0</v>
      </c>
      <c r="BR63" s="89">
        <f>IFERROR((AS54-AS14)/AS14,0)</f>
        <v>0</v>
      </c>
      <c r="BT63" s="89">
        <f>IFERROR((AU54-AU14)/AU14,0)</f>
        <v>0</v>
      </c>
      <c r="BV63" s="89">
        <f>IFERROR((AW54-AW14)/AW14,0)</f>
        <v>0</v>
      </c>
    </row>
    <row r="64" spans="1:78" x14ac:dyDescent="0.3">
      <c r="A64" s="31">
        <v>57</v>
      </c>
      <c r="Q64" t="s">
        <v>21</v>
      </c>
      <c r="S64" s="7">
        <f>S25+S35+S45+S55</f>
        <v>0</v>
      </c>
      <c r="T64" s="6"/>
      <c r="U64" s="7">
        <f>U25+U35+U45+U55</f>
        <v>643.303</v>
      </c>
      <c r="V64" s="6"/>
      <c r="W64" s="7">
        <f>W25+W35+W45+W55</f>
        <v>28267.719560000005</v>
      </c>
      <c r="X64" s="6"/>
      <c r="Y64" s="7">
        <f>Y25+Y35+Y45+Y55</f>
        <v>6085.5784800000001</v>
      </c>
      <c r="Z64" s="6"/>
      <c r="AA64" s="7">
        <f>AA25+AA35+AA45+AA55</f>
        <v>0</v>
      </c>
      <c r="AB64" s="6"/>
      <c r="AC64" s="7">
        <f t="shared" si="75"/>
        <v>34996.601040000009</v>
      </c>
      <c r="AE64" s="36"/>
      <c r="AF64" s="28"/>
      <c r="AG64" s="36">
        <f>U64/G15</f>
        <v>1.8862977949800612</v>
      </c>
      <c r="AH64" s="28"/>
      <c r="AI64" s="36"/>
      <c r="AJ64" s="35"/>
      <c r="AK64" s="36">
        <f>AC64/O35</f>
        <v>1.2348168415049627</v>
      </c>
      <c r="AM64" t="s">
        <v>21</v>
      </c>
      <c r="AO64" s="21"/>
      <c r="AP64" s="21"/>
      <c r="AQ64" s="21">
        <f>ROUND(OPA!O16/OPA!N16,2)</f>
        <v>22.62</v>
      </c>
      <c r="AR64" s="21"/>
      <c r="AS64" s="21">
        <f>ROUND(OPA!C21/OPA!B21,2)</f>
        <v>56.14</v>
      </c>
      <c r="AT64" s="21"/>
      <c r="AU64" s="21">
        <f>ROUND(OPA!V21/OPA!U21,2)</f>
        <v>54.63</v>
      </c>
      <c r="AV64" s="21"/>
      <c r="AW64" s="21"/>
      <c r="AY64" t="s">
        <v>21</v>
      </c>
      <c r="BA64" s="21">
        <f>BA25+BA35+BA45+BA55</f>
        <v>0</v>
      </c>
      <c r="BB64" s="22"/>
      <c r="BC64" s="21">
        <f>BC25+BC35+BC45+BC55</f>
        <v>271.46951999999999</v>
      </c>
      <c r="BD64" s="22"/>
      <c r="BE64" s="21">
        <f>BE25+BE35+BE45+BE55</f>
        <v>270.88962000000004</v>
      </c>
      <c r="BG64" s="21">
        <f>BG25+BG35+BG45+BG55</f>
        <v>275.40818000000002</v>
      </c>
      <c r="BI64" s="21">
        <f>BI25+BI35+BI45+BI55</f>
        <v>0</v>
      </c>
      <c r="BK64" s="21">
        <f>BK25+BK35+BK45+BK55</f>
        <v>163.55346400000002</v>
      </c>
      <c r="BM64" t="s">
        <v>21</v>
      </c>
      <c r="BN64" s="89">
        <f>IFERROR((AO55-AO15)/AO15,0)</f>
        <v>0</v>
      </c>
      <c r="BP64" s="89">
        <f>IFERROR((AQ55-AQ15)/AQ15,0)</f>
        <v>10.345952620506724</v>
      </c>
      <c r="BR64" s="89">
        <f>IFERROR((AS55-AS15)/AS15,0)</f>
        <v>4.2074581567862426</v>
      </c>
      <c r="BT64" s="89">
        <f>IFERROR((AU55-AU15)/AU15,0)</f>
        <v>4.7150449465344515</v>
      </c>
      <c r="BV64" s="89">
        <f>IFERROR((AW55-AW15)/AW15,0)</f>
        <v>0</v>
      </c>
    </row>
    <row r="65" spans="1:53" x14ac:dyDescent="0.3">
      <c r="A65" s="31">
        <v>58</v>
      </c>
      <c r="S65" s="5">
        <f>SUM(S61:S64)</f>
        <v>79563.137920000008</v>
      </c>
      <c r="U65" s="5">
        <f>SUM(U61:U64)</f>
        <v>205558.45296</v>
      </c>
      <c r="W65" s="5">
        <f>SUM(W61:W64)</f>
        <v>441520.91838272719</v>
      </c>
      <c r="Y65" s="5">
        <f>SUM(Y61:Y64)</f>
        <v>175150.91199999998</v>
      </c>
      <c r="AA65" s="5">
        <f>SUM(AA61:AA64)</f>
        <v>65992.668418895846</v>
      </c>
      <c r="AC65" s="5">
        <f>SUM(AC61:AC64)</f>
        <v>967786.08968162304</v>
      </c>
      <c r="AE65" s="35">
        <f>S65/E36</f>
        <v>1.2013167973522674</v>
      </c>
      <c r="AF65" s="28"/>
      <c r="AG65" s="35">
        <f>U65/G36</f>
        <v>1.0264918168933617</v>
      </c>
      <c r="AH65" s="28"/>
      <c r="AI65" s="35">
        <f>W65/I36</f>
        <v>0.8208843694536152</v>
      </c>
      <c r="AJ65" s="35"/>
      <c r="AK65" s="35">
        <f>AC65/O36</f>
        <v>0.91326374809712596</v>
      </c>
      <c r="BA65" s="4"/>
    </row>
    <row r="66" spans="1:53" x14ac:dyDescent="0.3">
      <c r="A66" s="31"/>
      <c r="AE66" s="34"/>
      <c r="AF66" s="3"/>
      <c r="AG66" s="3"/>
      <c r="AH66" s="3"/>
      <c r="AI66" s="3"/>
      <c r="AJ66" s="3"/>
      <c r="AK66" s="3"/>
    </row>
    <row r="67" spans="1:53" x14ac:dyDescent="0.3">
      <c r="A67" s="31"/>
      <c r="AE67" s="34"/>
      <c r="AF67" s="3"/>
      <c r="AG67" s="3"/>
      <c r="AH67" s="3"/>
      <c r="AI67" s="3"/>
      <c r="AJ67" s="3"/>
      <c r="AK67" s="3"/>
    </row>
    <row r="68" spans="1:53" x14ac:dyDescent="0.3">
      <c r="A68" s="31"/>
      <c r="Q68" s="142" t="s">
        <v>43</v>
      </c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E68" s="34"/>
      <c r="AF68" s="3"/>
      <c r="AG68" s="3"/>
      <c r="AH68" s="3"/>
      <c r="AI68" s="3"/>
      <c r="AJ68" s="3"/>
      <c r="AK68" s="3"/>
    </row>
    <row r="69" spans="1:53" x14ac:dyDescent="0.3">
      <c r="A69" s="31"/>
      <c r="Q69" s="13" t="s">
        <v>23</v>
      </c>
      <c r="R69" s="14"/>
      <c r="S69" s="13" t="s">
        <v>49</v>
      </c>
      <c r="T69" s="14"/>
      <c r="U69" s="13" t="s">
        <v>99</v>
      </c>
      <c r="V69" s="14"/>
      <c r="W69" s="15" t="s">
        <v>72</v>
      </c>
      <c r="X69" s="14"/>
      <c r="Y69" s="15" t="s">
        <v>111</v>
      </c>
      <c r="Z69" s="14"/>
      <c r="AA69" s="15" t="s">
        <v>112</v>
      </c>
      <c r="AB69" s="14"/>
      <c r="AC69" s="13" t="s">
        <v>0</v>
      </c>
    </row>
    <row r="70" spans="1:53" x14ac:dyDescent="0.3">
      <c r="A70" s="31"/>
      <c r="Q70" t="s">
        <v>18</v>
      </c>
      <c r="S70" s="89">
        <f>S22/E12</f>
        <v>0.2602018274935558</v>
      </c>
      <c r="T70" s="89"/>
      <c r="U70" s="89">
        <f>U22/G12</f>
        <v>0.29036611442786331</v>
      </c>
      <c r="V70" s="89"/>
      <c r="W70" s="89">
        <f>W22/I12</f>
        <v>0.21937974270976968</v>
      </c>
      <c r="X70" s="89"/>
      <c r="Y70" s="89">
        <f>Y22/K12</f>
        <v>0.23480759108547786</v>
      </c>
      <c r="Z70" s="89"/>
      <c r="AA70" s="89">
        <f>AA22/M12</f>
        <v>0.29185771243494368</v>
      </c>
      <c r="AB70" s="89"/>
      <c r="AC70" s="89">
        <f>AC22/O12</f>
        <v>0.24424813520923069</v>
      </c>
    </row>
    <row r="71" spans="1:53" x14ac:dyDescent="0.3">
      <c r="A71" s="31"/>
      <c r="Q71" t="s">
        <v>19</v>
      </c>
      <c r="S71" s="89">
        <f t="shared" ref="S71:AC74" si="76">S23/E13</f>
        <v>0.71759005000398113</v>
      </c>
      <c r="T71" s="89"/>
      <c r="U71" s="89">
        <f t="shared" si="76"/>
        <v>0.22368231757599577</v>
      </c>
      <c r="V71" s="89"/>
      <c r="W71" s="89">
        <f t="shared" si="76"/>
        <v>0.20378267712436987</v>
      </c>
      <c r="X71" s="89"/>
      <c r="Y71" s="89">
        <f t="shared" si="76"/>
        <v>0.15501823937898429</v>
      </c>
      <c r="Z71" s="89"/>
      <c r="AA71" s="89" t="e">
        <f t="shared" si="76"/>
        <v>#DIV/0!</v>
      </c>
      <c r="AB71" s="89"/>
      <c r="AC71" s="89">
        <f t="shared" si="76"/>
        <v>0.21532167294982851</v>
      </c>
    </row>
    <row r="72" spans="1:53" x14ac:dyDescent="0.3">
      <c r="A72" s="31"/>
      <c r="Q72" t="s">
        <v>20</v>
      </c>
      <c r="S72" s="89">
        <f t="shared" si="76"/>
        <v>0.9527288630550319</v>
      </c>
      <c r="T72" s="89"/>
      <c r="U72" s="89" t="e">
        <f t="shared" si="76"/>
        <v>#DIV/0!</v>
      </c>
      <c r="V72" s="89"/>
      <c r="W72" s="89">
        <f t="shared" si="76"/>
        <v>-1</v>
      </c>
      <c r="X72" s="89"/>
      <c r="Y72" s="89" t="e">
        <f t="shared" si="76"/>
        <v>#DIV/0!</v>
      </c>
      <c r="Z72" s="89"/>
      <c r="AA72" s="89" t="e">
        <f t="shared" si="76"/>
        <v>#DIV/0!</v>
      </c>
      <c r="AB72" s="89"/>
      <c r="AC72" s="89">
        <f t="shared" si="76"/>
        <v>2.1057645993296351E-2</v>
      </c>
    </row>
    <row r="73" spans="1:53" x14ac:dyDescent="0.3">
      <c r="A73" s="31"/>
      <c r="Q73" t="s">
        <v>21</v>
      </c>
      <c r="S73" s="110" t="e">
        <f t="shared" si="76"/>
        <v>#DIV/0!</v>
      </c>
      <c r="T73" s="89"/>
      <c r="U73" s="110">
        <f t="shared" si="76"/>
        <v>0.31106615059817055</v>
      </c>
      <c r="V73" s="89"/>
      <c r="W73" s="110">
        <f t="shared" si="76"/>
        <v>0.40132421255232148</v>
      </c>
      <c r="X73" s="89"/>
      <c r="Y73" s="110">
        <f t="shared" si="76"/>
        <v>0.69013315701269551</v>
      </c>
      <c r="Z73" s="89"/>
      <c r="AA73" s="110" t="e">
        <f t="shared" si="76"/>
        <v>#DIV/0!</v>
      </c>
      <c r="AB73" s="89"/>
      <c r="AC73" s="110">
        <f t="shared" si="76"/>
        <v>0.42822331965501842</v>
      </c>
    </row>
    <row r="74" spans="1:53" x14ac:dyDescent="0.3">
      <c r="A74" s="31"/>
      <c r="S74" s="89">
        <f t="shared" si="76"/>
        <v>0.31948720820052201</v>
      </c>
      <c r="T74" s="89"/>
      <c r="U74" s="89">
        <f t="shared" si="76"/>
        <v>0.27751486851073731</v>
      </c>
      <c r="V74" s="89"/>
      <c r="W74" s="89">
        <f t="shared" si="76"/>
        <v>0.21836390626774752</v>
      </c>
      <c r="X74" s="89"/>
      <c r="Y74" s="89">
        <f t="shared" si="76"/>
        <v>0.23210252378363269</v>
      </c>
      <c r="Z74" s="89"/>
      <c r="AA74" s="89">
        <f t="shared" si="76"/>
        <v>0.29185771243494368</v>
      </c>
      <c r="AB74" s="89"/>
      <c r="AC74" s="89">
        <f t="shared" si="76"/>
        <v>0.24117172705592105</v>
      </c>
    </row>
    <row r="75" spans="1:53" x14ac:dyDescent="0.3">
      <c r="A75" s="31"/>
    </row>
    <row r="76" spans="1:53" x14ac:dyDescent="0.3">
      <c r="A76" s="31"/>
    </row>
    <row r="77" spans="1:53" x14ac:dyDescent="0.3">
      <c r="A77" s="31"/>
    </row>
    <row r="78" spans="1:53" x14ac:dyDescent="0.3">
      <c r="A78" s="31"/>
      <c r="Q78" s="142" t="s">
        <v>44</v>
      </c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</row>
    <row r="79" spans="1:53" x14ac:dyDescent="0.3">
      <c r="Q79" s="13" t="s">
        <v>23</v>
      </c>
      <c r="R79" s="14"/>
      <c r="S79" s="13" t="s">
        <v>49</v>
      </c>
      <c r="T79" s="14"/>
      <c r="U79" s="13" t="s">
        <v>99</v>
      </c>
      <c r="V79" s="14"/>
      <c r="W79" s="15" t="s">
        <v>72</v>
      </c>
      <c r="X79" s="14"/>
      <c r="Y79" s="15" t="s">
        <v>111</v>
      </c>
      <c r="Z79" s="14"/>
      <c r="AA79" s="15" t="s">
        <v>112</v>
      </c>
      <c r="AB79" s="14"/>
      <c r="AC79" s="13" t="s">
        <v>0</v>
      </c>
    </row>
    <row r="80" spans="1:53" x14ac:dyDescent="0.3">
      <c r="Q80" t="s">
        <v>18</v>
      </c>
      <c r="S80" s="89">
        <f>S32/(S22+E12)</f>
        <v>0.27279286524084223</v>
      </c>
      <c r="T80" s="89"/>
      <c r="U80" s="89">
        <f>U32/(U22+G12)</f>
        <v>0.29343064400553731</v>
      </c>
      <c r="V80" s="89"/>
      <c r="W80" s="89">
        <f>W32/(W22+I12)</f>
        <v>0.21943950466627932</v>
      </c>
      <c r="X80" s="89"/>
      <c r="Y80" s="89">
        <f>Y32/(Y22+K12)</f>
        <v>0.24744603978552074</v>
      </c>
      <c r="Z80" s="89"/>
      <c r="AA80" s="89">
        <f>AA32/(AA22+M12)</f>
        <v>0.29236827899597384</v>
      </c>
      <c r="AB80" s="89"/>
      <c r="AC80" s="89">
        <f>AC32/(AC22+O12)</f>
        <v>0.24915482043431514</v>
      </c>
    </row>
    <row r="81" spans="3:29" x14ac:dyDescent="0.3">
      <c r="E81" s="37" t="s">
        <v>49</v>
      </c>
      <c r="G81" s="37" t="s">
        <v>72</v>
      </c>
      <c r="I81" s="38" t="s">
        <v>99</v>
      </c>
      <c r="K81" s="38" t="s">
        <v>111</v>
      </c>
      <c r="Q81" t="s">
        <v>19</v>
      </c>
      <c r="S81" s="89">
        <f t="shared" ref="S81:AC84" si="77">S33/(S23+E13)</f>
        <v>0.54084428627272374</v>
      </c>
      <c r="T81" s="89"/>
      <c r="U81" s="89">
        <f t="shared" si="77"/>
        <v>0.23803207751688679</v>
      </c>
      <c r="V81" s="89"/>
      <c r="W81" s="89">
        <f t="shared" si="77"/>
        <v>0.2069996289426296</v>
      </c>
      <c r="X81" s="89"/>
      <c r="Y81" s="89">
        <f t="shared" si="77"/>
        <v>0.17462876220654719</v>
      </c>
      <c r="Z81" s="89"/>
      <c r="AA81" s="89" t="e">
        <f t="shared" si="77"/>
        <v>#DIV/0!</v>
      </c>
      <c r="AB81" s="89"/>
      <c r="AC81" s="89">
        <f t="shared" si="77"/>
        <v>0.22075190583929369</v>
      </c>
    </row>
    <row r="82" spans="3:29" x14ac:dyDescent="0.3">
      <c r="C82" t="s">
        <v>91</v>
      </c>
      <c r="E82" s="40">
        <f>Residential!B102+Commercial!B104+Industrial!B104</f>
        <v>1024</v>
      </c>
      <c r="G82" s="42">
        <f>Residential!I102+Commercial!I104+Industrial!I105+OPA!B107</f>
        <v>6882</v>
      </c>
      <c r="I82" s="86">
        <f>Residential!U102+Commercial!U104+OPA!N107</f>
        <v>3199</v>
      </c>
      <c r="K82" s="86">
        <f>Residential!AB102+Commercial!AB104+OPA!U106</f>
        <v>3010</v>
      </c>
      <c r="Q82" t="s">
        <v>20</v>
      </c>
      <c r="S82" s="89">
        <f t="shared" si="77"/>
        <v>0.5314650352282172</v>
      </c>
      <c r="T82" s="89"/>
      <c r="U82" s="89" t="e">
        <f t="shared" si="77"/>
        <v>#DIV/0!</v>
      </c>
      <c r="V82" s="89"/>
      <c r="W82" s="89" t="e">
        <f t="shared" si="77"/>
        <v>#DIV/0!</v>
      </c>
      <c r="X82" s="89"/>
      <c r="Y82" s="89" t="e">
        <f t="shared" si="77"/>
        <v>#DIV/0!</v>
      </c>
      <c r="Z82" s="89"/>
      <c r="AA82" s="89" t="e">
        <f t="shared" si="77"/>
        <v>#DIV/0!</v>
      </c>
      <c r="AB82" s="89"/>
      <c r="AC82" s="89">
        <f t="shared" si="77"/>
        <v>0.5314650352282172</v>
      </c>
    </row>
    <row r="83" spans="3:29" x14ac:dyDescent="0.3">
      <c r="C83" t="s">
        <v>92</v>
      </c>
      <c r="E83" s="40">
        <f>Residential!B103+Commercial!B105+Industrial!B105</f>
        <v>59</v>
      </c>
      <c r="G83" s="42">
        <f>Residential!I103+Commercial!I105+Industrial!I106+OPA!B108</f>
        <v>492</v>
      </c>
      <c r="I83" s="86">
        <f>Residential!U103+Commercial!U105+OPA!N108</f>
        <v>132</v>
      </c>
      <c r="K83" s="86">
        <f>Residential!AB103+Commercial!AB105+OPA!U107</f>
        <v>48</v>
      </c>
      <c r="Q83" t="s">
        <v>21</v>
      </c>
      <c r="S83" s="110" t="e">
        <f t="shared" si="77"/>
        <v>#DIV/0!</v>
      </c>
      <c r="T83" s="89"/>
      <c r="U83" s="110">
        <f t="shared" si="77"/>
        <v>0.30940495520278399</v>
      </c>
      <c r="V83" s="89"/>
      <c r="W83" s="110">
        <f t="shared" si="77"/>
        <v>0.349828574981839</v>
      </c>
      <c r="X83" s="89"/>
      <c r="Y83" s="110">
        <f t="shared" si="77"/>
        <v>0.53193890086593909</v>
      </c>
      <c r="Z83" s="89"/>
      <c r="AA83" s="110" t="e">
        <f t="shared" si="77"/>
        <v>#DIV/0!</v>
      </c>
      <c r="AB83" s="89"/>
      <c r="AC83" s="110">
        <f t="shared" si="77"/>
        <v>0.37061275147082545</v>
      </c>
    </row>
    <row r="84" spans="3:29" x14ac:dyDescent="0.3">
      <c r="S84" s="89">
        <f t="shared" si="77"/>
        <v>0.31489130716028002</v>
      </c>
      <c r="T84" s="89"/>
      <c r="U84" s="89">
        <f t="shared" si="77"/>
        <v>0.28320394546171945</v>
      </c>
      <c r="V84" s="89"/>
      <c r="W84" s="89">
        <f t="shared" si="77"/>
        <v>0.22086035941659166</v>
      </c>
      <c r="X84" s="89"/>
      <c r="Y84" s="89">
        <f t="shared" si="77"/>
        <v>0.24514009472255904</v>
      </c>
      <c r="Z84" s="89"/>
      <c r="AA84" s="89">
        <f t="shared" si="77"/>
        <v>0.29236827899597384</v>
      </c>
      <c r="AB84" s="89"/>
      <c r="AC84" s="89">
        <f t="shared" si="77"/>
        <v>0.24643636128515445</v>
      </c>
    </row>
    <row r="85" spans="3:29" x14ac:dyDescent="0.3">
      <c r="C85" t="s">
        <v>96</v>
      </c>
      <c r="E85" s="84">
        <f>Residential!C109+Commercial!C111+Industrial!C111</f>
        <v>43640.480000000003</v>
      </c>
      <c r="G85" s="41">
        <f>Residential!J109+Commercial!J111+Industrial!J112+OPA!C114</f>
        <v>294304.97272727272</v>
      </c>
      <c r="I85" s="41">
        <f>Residential!X21+Commercial!X16+OPA!Q16</f>
        <v>105307.72</v>
      </c>
      <c r="K85" s="84">
        <f>Residential!AC109+Commercial!AC111+OPA!V113</f>
        <v>108488.65</v>
      </c>
      <c r="S85" s="5"/>
      <c r="U85" s="5"/>
      <c r="W85" s="5"/>
      <c r="AC85" s="5"/>
    </row>
    <row r="86" spans="3:29" x14ac:dyDescent="0.3">
      <c r="S86" s="5"/>
      <c r="U86" s="5"/>
      <c r="W86" s="5"/>
      <c r="AC86" s="5"/>
    </row>
    <row r="87" spans="3:29" x14ac:dyDescent="0.3">
      <c r="C87" t="s">
        <v>97</v>
      </c>
      <c r="E87" s="85">
        <v>0</v>
      </c>
      <c r="G87" s="41">
        <v>-2.7272723848454916E-3</v>
      </c>
      <c r="I87" s="41">
        <v>0</v>
      </c>
      <c r="K87" s="85">
        <v>0.39000000001396984</v>
      </c>
      <c r="S87" s="5"/>
      <c r="U87" s="5"/>
      <c r="W87" s="5"/>
      <c r="AC87" s="5"/>
    </row>
    <row r="88" spans="3:29" x14ac:dyDescent="0.3">
      <c r="Q88" s="142" t="s">
        <v>81</v>
      </c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</row>
    <row r="89" spans="3:29" x14ac:dyDescent="0.3">
      <c r="Q89" s="13" t="s">
        <v>23</v>
      </c>
      <c r="R89" s="14"/>
      <c r="S89" s="13" t="s">
        <v>49</v>
      </c>
      <c r="T89" s="14"/>
      <c r="U89" s="13" t="s">
        <v>99</v>
      </c>
      <c r="V89" s="14"/>
      <c r="W89" s="15" t="s">
        <v>72</v>
      </c>
      <c r="X89" s="14"/>
      <c r="Y89" s="15" t="s">
        <v>111</v>
      </c>
      <c r="Z89" s="14"/>
      <c r="AA89" s="15" t="s">
        <v>112</v>
      </c>
      <c r="AB89" s="14"/>
      <c r="AC89" s="13" t="s">
        <v>0</v>
      </c>
    </row>
    <row r="90" spans="3:29" x14ac:dyDescent="0.3">
      <c r="Q90" t="s">
        <v>18</v>
      </c>
      <c r="S90" s="89">
        <f>S42/(S32+S22+E12)</f>
        <v>0.29982277625474146</v>
      </c>
      <c r="T90" s="89"/>
      <c r="U90" s="89">
        <f>U42/(U32+U22+G12)</f>
        <v>0.28479236129534446</v>
      </c>
      <c r="V90" s="89"/>
      <c r="W90" s="89">
        <f>W42/(W32+W22+I12)</f>
        <v>0.21871556741426584</v>
      </c>
      <c r="X90" s="89"/>
      <c r="Y90" s="89">
        <f>Y42/(Y32+Y22+K12)</f>
        <v>0.25835556046047092</v>
      </c>
      <c r="Z90" s="89"/>
      <c r="AA90" s="89">
        <f>AA42/(AA32+AA22+M12)</f>
        <v>0.28792495792886247</v>
      </c>
      <c r="AB90" s="89"/>
      <c r="AC90" s="89">
        <f>AC42/(AC32+AC22+O12)</f>
        <v>0.25162644081089586</v>
      </c>
    </row>
    <row r="91" spans="3:29" x14ac:dyDescent="0.3">
      <c r="Q91" t="s">
        <v>19</v>
      </c>
      <c r="S91" s="89">
        <f t="shared" ref="S91:AC94" si="78">S43/(S33+S23+E13)</f>
        <v>0.49009111115638082</v>
      </c>
      <c r="T91" s="89"/>
      <c r="U91" s="89">
        <f t="shared" si="78"/>
        <v>0.24171891707999932</v>
      </c>
      <c r="V91" s="89"/>
      <c r="W91" s="89">
        <f t="shared" si="78"/>
        <v>0.20806191121819376</v>
      </c>
      <c r="X91" s="89"/>
      <c r="Y91" s="89">
        <f t="shared" si="78"/>
        <v>0.19389025537247959</v>
      </c>
      <c r="Z91" s="89"/>
      <c r="AA91" s="89" t="e">
        <f t="shared" si="78"/>
        <v>#DIV/0!</v>
      </c>
      <c r="AB91" s="89"/>
      <c r="AC91" s="89">
        <f t="shared" si="78"/>
        <v>0.22451546621857829</v>
      </c>
    </row>
    <row r="92" spans="3:29" x14ac:dyDescent="0.3">
      <c r="Q92" t="s">
        <v>20</v>
      </c>
      <c r="S92" s="89">
        <f t="shared" si="78"/>
        <v>0.48430744672264397</v>
      </c>
      <c r="T92" s="89"/>
      <c r="U92" s="89" t="e">
        <f t="shared" si="78"/>
        <v>#DIV/0!</v>
      </c>
      <c r="V92" s="89"/>
      <c r="W92" s="89" t="e">
        <f t="shared" si="78"/>
        <v>#DIV/0!</v>
      </c>
      <c r="X92" s="89"/>
      <c r="Y92" s="89" t="e">
        <f t="shared" si="78"/>
        <v>#DIV/0!</v>
      </c>
      <c r="Z92" s="89"/>
      <c r="AA92" s="89" t="e">
        <f t="shared" si="78"/>
        <v>#DIV/0!</v>
      </c>
      <c r="AB92" s="89"/>
      <c r="AC92" s="89">
        <f t="shared" si="78"/>
        <v>0.48430744672264397</v>
      </c>
    </row>
    <row r="93" spans="3:29" x14ac:dyDescent="0.3">
      <c r="Q93" t="s">
        <v>21</v>
      </c>
      <c r="S93" s="110" t="e">
        <f t="shared" si="78"/>
        <v>#DIV/0!</v>
      </c>
      <c r="T93" s="89"/>
      <c r="U93" s="110">
        <f t="shared" si="78"/>
        <v>0.29659298784393356</v>
      </c>
      <c r="V93" s="89"/>
      <c r="W93" s="110">
        <f t="shared" si="78"/>
        <v>0.31472143776107897</v>
      </c>
      <c r="X93" s="89"/>
      <c r="Y93" s="110">
        <f t="shared" si="78"/>
        <v>0.45228195184730968</v>
      </c>
      <c r="Z93" s="89"/>
      <c r="AA93" s="110" t="e">
        <f t="shared" si="78"/>
        <v>#DIV/0!</v>
      </c>
      <c r="AB93" s="89"/>
      <c r="AC93" s="110">
        <f t="shared" si="78"/>
        <v>0.33263256328816887</v>
      </c>
    </row>
    <row r="94" spans="3:29" x14ac:dyDescent="0.3">
      <c r="S94" s="89">
        <f t="shared" si="78"/>
        <v>0.3348308431985631</v>
      </c>
      <c r="T94" s="89"/>
      <c r="U94" s="89">
        <f t="shared" si="78"/>
        <v>0.27712098555851405</v>
      </c>
      <c r="V94" s="89"/>
      <c r="W94" s="89">
        <f t="shared" si="78"/>
        <v>0.21974709620132443</v>
      </c>
      <c r="X94" s="89"/>
      <c r="Y94" s="89">
        <f t="shared" si="78"/>
        <v>0.25644564337446352</v>
      </c>
      <c r="Z94" s="89"/>
      <c r="AA94" s="89">
        <f t="shared" si="78"/>
        <v>0.28792495792886247</v>
      </c>
      <c r="AB94" s="89"/>
      <c r="AC94" s="89">
        <f t="shared" si="78"/>
        <v>0.24853142255002245</v>
      </c>
    </row>
    <row r="95" spans="3:29" x14ac:dyDescent="0.3">
      <c r="S95" s="5"/>
      <c r="U95" s="5"/>
      <c r="W95" s="5"/>
      <c r="AC95" s="5"/>
    </row>
    <row r="96" spans="3:29" x14ac:dyDescent="0.3">
      <c r="S96" s="5"/>
      <c r="U96" s="5"/>
      <c r="W96" s="5"/>
      <c r="AC96" s="5"/>
    </row>
    <row r="97" spans="17:29" x14ac:dyDescent="0.3">
      <c r="S97" s="5"/>
      <c r="U97" s="5"/>
      <c r="W97" s="5"/>
      <c r="AC97" s="5"/>
    </row>
    <row r="98" spans="17:29" x14ac:dyDescent="0.3">
      <c r="Q98" s="142" t="s">
        <v>87</v>
      </c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</row>
    <row r="99" spans="17:29" x14ac:dyDescent="0.3">
      <c r="Q99" s="13" t="s">
        <v>23</v>
      </c>
      <c r="R99" s="14"/>
      <c r="S99" s="13" t="s">
        <v>49</v>
      </c>
      <c r="T99" s="14"/>
      <c r="U99" s="13" t="s">
        <v>99</v>
      </c>
      <c r="V99" s="14"/>
      <c r="W99" s="15" t="s">
        <v>72</v>
      </c>
      <c r="X99" s="14"/>
      <c r="Y99" s="15" t="s">
        <v>111</v>
      </c>
      <c r="Z99" s="14"/>
      <c r="AA99" s="15" t="s">
        <v>112</v>
      </c>
      <c r="AB99" s="14"/>
      <c r="AC99" s="13" t="s">
        <v>0</v>
      </c>
    </row>
    <row r="100" spans="17:29" x14ac:dyDescent="0.3">
      <c r="Q100" t="s">
        <v>18</v>
      </c>
      <c r="S100" s="89">
        <f>S52/(S42+S32+S22+E12)</f>
        <v>0.30503529373280841</v>
      </c>
      <c r="T100" s="89"/>
      <c r="U100" s="89">
        <f>U52/(U42+U32+U22+G12)</f>
        <v>0.2874924415331761</v>
      </c>
      <c r="V100" s="89"/>
      <c r="W100" s="89">
        <f>W52/(W42+W32+W22+I12)</f>
        <v>0.2230547048910955</v>
      </c>
      <c r="X100" s="89"/>
      <c r="Y100" s="89">
        <f>Y52/(Y42+Y32+Y22+K12)</f>
        <v>0.24941786606817903</v>
      </c>
      <c r="Z100" s="89"/>
      <c r="AA100" s="89">
        <f>AA52/(AA42+AA32+AA22+M12)</f>
        <v>0.26347818395668604</v>
      </c>
      <c r="AB100" s="89"/>
      <c r="AC100" s="89">
        <f>AC52/(AC42+AC32+AC22+O12)</f>
        <v>0.25125110249740967</v>
      </c>
    </row>
    <row r="101" spans="17:29" x14ac:dyDescent="0.3">
      <c r="Q101" t="s">
        <v>19</v>
      </c>
      <c r="S101" s="89">
        <f t="shared" ref="S101:AC104" si="79">S53/(S43+S33+S23+E13)</f>
        <v>0.43521003672046837</v>
      </c>
      <c r="T101" s="89"/>
      <c r="U101" s="89">
        <f t="shared" si="79"/>
        <v>0.25231384436315368</v>
      </c>
      <c r="V101" s="89"/>
      <c r="W101" s="89">
        <f t="shared" si="79"/>
        <v>0.21474959053511755</v>
      </c>
      <c r="X101" s="89"/>
      <c r="Y101" s="89">
        <f t="shared" si="79"/>
        <v>0.19733820793624621</v>
      </c>
      <c r="Z101" s="89"/>
      <c r="AA101" s="89" t="e">
        <f t="shared" si="79"/>
        <v>#DIV/0!</v>
      </c>
      <c r="AB101" s="89"/>
      <c r="AC101" s="89">
        <f t="shared" si="79"/>
        <v>0.23109880352994658</v>
      </c>
    </row>
    <row r="102" spans="17:29" x14ac:dyDescent="0.3">
      <c r="Q102" t="s">
        <v>20</v>
      </c>
      <c r="S102" s="89">
        <f t="shared" si="79"/>
        <v>0.43175664461579716</v>
      </c>
      <c r="T102" s="89"/>
      <c r="U102" s="89" t="e">
        <f t="shared" si="79"/>
        <v>#DIV/0!</v>
      </c>
      <c r="V102" s="89"/>
      <c r="W102" s="89" t="e">
        <f t="shared" si="79"/>
        <v>#DIV/0!</v>
      </c>
      <c r="X102" s="89"/>
      <c r="Y102" s="89" t="e">
        <f t="shared" si="79"/>
        <v>#DIV/0!</v>
      </c>
      <c r="Z102" s="89"/>
      <c r="AA102" s="89" t="e">
        <f t="shared" si="79"/>
        <v>#DIV/0!</v>
      </c>
      <c r="AB102" s="89"/>
      <c r="AC102" s="89">
        <f t="shared" si="79"/>
        <v>0.43175664461579716</v>
      </c>
    </row>
    <row r="103" spans="17:29" x14ac:dyDescent="0.3">
      <c r="Q103" t="s">
        <v>21</v>
      </c>
      <c r="S103" s="110" t="e">
        <f t="shared" si="79"/>
        <v>#DIV/0!</v>
      </c>
      <c r="T103" s="89"/>
      <c r="U103" s="110">
        <f t="shared" si="79"/>
        <v>0.29669812874202189</v>
      </c>
      <c r="V103" s="89"/>
      <c r="W103" s="110">
        <f t="shared" si="79"/>
        <v>0.29840801541277823</v>
      </c>
      <c r="X103" s="89"/>
      <c r="Y103" s="110">
        <f t="shared" si="79"/>
        <v>0.37821586611337721</v>
      </c>
      <c r="Z103" s="89"/>
      <c r="AA103" s="110" t="e">
        <f t="shared" si="79"/>
        <v>#DIV/0!</v>
      </c>
      <c r="AB103" s="89"/>
      <c r="AC103" s="110">
        <f t="shared" si="79"/>
        <v>0.30993482275470347</v>
      </c>
    </row>
    <row r="104" spans="17:29" x14ac:dyDescent="0.3">
      <c r="S104" s="89">
        <f t="shared" si="79"/>
        <v>0.33177291775032985</v>
      </c>
      <c r="T104" s="89"/>
      <c r="U104" s="89">
        <f t="shared" si="79"/>
        <v>0.28140074112640295</v>
      </c>
      <c r="V104" s="89"/>
      <c r="W104" s="89">
        <f t="shared" si="79"/>
        <v>0.2241676056735907</v>
      </c>
      <c r="X104" s="89"/>
      <c r="Y104" s="89">
        <f t="shared" si="79"/>
        <v>0.24795183229499984</v>
      </c>
      <c r="Z104" s="89"/>
      <c r="AA104" s="89">
        <f t="shared" si="79"/>
        <v>0.26347818395668604</v>
      </c>
      <c r="AB104" s="89"/>
      <c r="AC104" s="89">
        <f t="shared" si="79"/>
        <v>0.24919466264732196</v>
      </c>
    </row>
    <row r="107" spans="17:29" x14ac:dyDescent="0.3">
      <c r="Q107" s="142" t="s">
        <v>90</v>
      </c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</row>
    <row r="108" spans="17:29" x14ac:dyDescent="0.3">
      <c r="Q108" s="13" t="s">
        <v>23</v>
      </c>
      <c r="R108" s="14"/>
      <c r="S108" s="13" t="s">
        <v>49</v>
      </c>
      <c r="T108" s="14"/>
      <c r="U108" s="13" t="s">
        <v>99</v>
      </c>
      <c r="V108" s="14"/>
      <c r="W108" s="15" t="s">
        <v>72</v>
      </c>
      <c r="X108" s="14"/>
      <c r="Y108" s="15" t="s">
        <v>111</v>
      </c>
      <c r="Z108" s="14"/>
      <c r="AA108" s="15" t="s">
        <v>112</v>
      </c>
      <c r="AB108" s="14"/>
      <c r="AC108" s="13" t="s">
        <v>0</v>
      </c>
    </row>
    <row r="109" spans="17:29" x14ac:dyDescent="0.3">
      <c r="Q109" t="s">
        <v>18</v>
      </c>
      <c r="S109" s="89">
        <f>S61/E12</f>
        <v>1.7208477261634665</v>
      </c>
      <c r="T109" s="89"/>
      <c r="U109" s="89">
        <f>U61/G12</f>
        <v>1.7607922667932783</v>
      </c>
      <c r="V109" s="89"/>
      <c r="W109" s="89">
        <f>W61/I12</f>
        <v>1.2163966110161128</v>
      </c>
      <c r="X109" s="89"/>
      <c r="Y109" s="89">
        <f>Y61/K12</f>
        <v>1.42176581036329</v>
      </c>
      <c r="Z109" s="89"/>
      <c r="AA109" s="89">
        <f>AA61/M12</f>
        <v>1.716810073146728</v>
      </c>
      <c r="AB109" s="89"/>
      <c r="AC109" s="89">
        <f>AC61/O12</f>
        <v>1.4341227141717172</v>
      </c>
    </row>
    <row r="110" spans="17:29" x14ac:dyDescent="0.3">
      <c r="Q110" t="s">
        <v>19</v>
      </c>
      <c r="S110" s="89">
        <f t="shared" ref="S110:AC113" si="80">S62/E13</f>
        <v>4.6598712845283368</v>
      </c>
      <c r="T110" s="89"/>
      <c r="U110" s="89">
        <f t="shared" si="80"/>
        <v>1.3557926426199673</v>
      </c>
      <c r="V110" s="89"/>
      <c r="W110" s="89">
        <f t="shared" si="80"/>
        <v>1.1322159072546452</v>
      </c>
      <c r="X110" s="89"/>
      <c r="Y110" s="89">
        <f t="shared" si="80"/>
        <v>0.939414874381303</v>
      </c>
      <c r="Z110" s="89"/>
      <c r="AA110" s="89" t="e">
        <f t="shared" si="80"/>
        <v>#DIV/0!</v>
      </c>
      <c r="AB110" s="89"/>
      <c r="AC110" s="89">
        <f t="shared" si="80"/>
        <v>1.2365357153848606</v>
      </c>
    </row>
    <row r="111" spans="17:29" x14ac:dyDescent="0.3">
      <c r="Q111" t="s">
        <v>20</v>
      </c>
      <c r="S111" s="89">
        <f t="shared" si="80"/>
        <v>5.3553885187639585</v>
      </c>
      <c r="T111" s="89"/>
      <c r="U111" s="89" t="e">
        <f t="shared" si="80"/>
        <v>#DIV/0!</v>
      </c>
      <c r="V111" s="89"/>
      <c r="W111" s="89">
        <f t="shared" si="80"/>
        <v>-1</v>
      </c>
      <c r="X111" s="89"/>
      <c r="Y111" s="89" t="e">
        <f t="shared" si="80"/>
        <v>#DIV/0!</v>
      </c>
      <c r="Z111" s="89"/>
      <c r="AA111" s="89" t="e">
        <f t="shared" si="80"/>
        <v>#DIV/0!</v>
      </c>
      <c r="AB111" s="89"/>
      <c r="AC111" s="89">
        <f t="shared" si="80"/>
        <v>2.3231536457087083</v>
      </c>
    </row>
    <row r="112" spans="17:29" x14ac:dyDescent="0.3">
      <c r="Q112" t="s">
        <v>21</v>
      </c>
      <c r="S112" s="110" t="e">
        <f t="shared" si="80"/>
        <v>#DIV/0!</v>
      </c>
      <c r="T112" s="89"/>
      <c r="U112" s="110">
        <f t="shared" si="80"/>
        <v>1.8862977949800612</v>
      </c>
      <c r="V112" s="89"/>
      <c r="W112" s="110">
        <f t="shared" si="80"/>
        <v>2.2289563638589263</v>
      </c>
      <c r="X112" s="89"/>
      <c r="Y112" s="110">
        <f t="shared" si="80"/>
        <v>4.1823954780925989</v>
      </c>
      <c r="Z112" s="89"/>
      <c r="AA112" s="110" t="e">
        <f t="shared" si="80"/>
        <v>#DIV/0!</v>
      </c>
      <c r="AB112" s="89"/>
      <c r="AC112" s="110">
        <f t="shared" si="80"/>
        <v>2.4172047106452177</v>
      </c>
    </row>
    <row r="113" spans="19:29" x14ac:dyDescent="0.3">
      <c r="S113" s="89">
        <f t="shared" si="80"/>
        <v>2.0842633320126258</v>
      </c>
      <c r="T113" s="89"/>
      <c r="U113" s="89">
        <f t="shared" si="80"/>
        <v>1.6827404761640623</v>
      </c>
      <c r="V113" s="89"/>
      <c r="W113" s="89">
        <f t="shared" si="80"/>
        <v>1.2210262584214235</v>
      </c>
      <c r="X113" s="89"/>
      <c r="Y113" s="89">
        <f t="shared" si="80"/>
        <v>1.4055068227778329</v>
      </c>
      <c r="Z113" s="89"/>
      <c r="AA113" s="89">
        <f t="shared" si="80"/>
        <v>1.716810073146728</v>
      </c>
      <c r="AB113" s="89"/>
      <c r="AC113" s="89">
        <f t="shared" si="80"/>
        <v>1.4128569837776337</v>
      </c>
    </row>
  </sheetData>
  <mergeCells count="44">
    <mergeCell ref="C40:O40"/>
    <mergeCell ref="Q40:AC40"/>
    <mergeCell ref="C50:O50"/>
    <mergeCell ref="Q50:AC50"/>
    <mergeCell ref="AE59:AK59"/>
    <mergeCell ref="AE40:AK40"/>
    <mergeCell ref="AE50:AK50"/>
    <mergeCell ref="AM10:AW10"/>
    <mergeCell ref="Q59:AC59"/>
    <mergeCell ref="Q7:AC7"/>
    <mergeCell ref="Q20:AC20"/>
    <mergeCell ref="Q30:AC30"/>
    <mergeCell ref="AE7:AK7"/>
    <mergeCell ref="AM7:AW7"/>
    <mergeCell ref="AM20:AW20"/>
    <mergeCell ref="AM50:AW50"/>
    <mergeCell ref="AM8:AW8"/>
    <mergeCell ref="AM30:AW30"/>
    <mergeCell ref="AM40:AW40"/>
    <mergeCell ref="AM57:AW57"/>
    <mergeCell ref="AM58:AW58"/>
    <mergeCell ref="C7:O7"/>
    <mergeCell ref="C20:O20"/>
    <mergeCell ref="C30:O30"/>
    <mergeCell ref="C10:O10"/>
    <mergeCell ref="AE20:AK20"/>
    <mergeCell ref="AE30:AK30"/>
    <mergeCell ref="AY59:BK59"/>
    <mergeCell ref="BM20:BV20"/>
    <mergeCell ref="AY7:BI7"/>
    <mergeCell ref="BM7:BV7"/>
    <mergeCell ref="BM30:BV30"/>
    <mergeCell ref="BM40:BV40"/>
    <mergeCell ref="BM50:BV50"/>
    <mergeCell ref="BM59:BX59"/>
    <mergeCell ref="AY20:BI20"/>
    <mergeCell ref="AY30:BI30"/>
    <mergeCell ref="AY40:BI40"/>
    <mergeCell ref="AY50:BI50"/>
    <mergeCell ref="Q68:AC68"/>
    <mergeCell ref="Q78:AC78"/>
    <mergeCell ref="Q88:AC88"/>
    <mergeCell ref="Q98:AC98"/>
    <mergeCell ref="Q107:AC107"/>
  </mergeCells>
  <printOptions horizontalCentered="1"/>
  <pageMargins left="0.25" right="0.25" top="0.75" bottom="0.25" header="0.3" footer="0.3"/>
  <pageSetup scale="50" orientation="landscape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topLeftCell="A6" zoomScale="90" zoomScaleNormal="90" workbookViewId="0">
      <selection activeCell="B10" sqref="B10"/>
    </sheetView>
  </sheetViews>
  <sheetFormatPr defaultRowHeight="14.4" x14ac:dyDescent="0.3"/>
  <cols>
    <col min="1" max="1" width="19" customWidth="1"/>
    <col min="2" max="12" width="9.44140625" customWidth="1"/>
    <col min="17" max="17" width="19" customWidth="1"/>
    <col min="18" max="19" width="11" customWidth="1"/>
    <col min="20" max="20" width="11.109375" customWidth="1"/>
    <col min="21" max="21" width="11.44140625" customWidth="1"/>
    <col min="22" max="22" width="11.33203125" customWidth="1"/>
    <col min="23" max="24" width="11.6640625" customWidth="1"/>
    <col min="25" max="25" width="10.33203125" customWidth="1"/>
    <col min="26" max="26" width="11.33203125" customWidth="1"/>
    <col min="27" max="27" width="10.88671875" customWidth="1"/>
  </cols>
  <sheetData>
    <row r="1" spans="1:27" x14ac:dyDescent="0.3">
      <c r="A1" s="127" t="s">
        <v>144</v>
      </c>
    </row>
    <row r="2" spans="1:27" x14ac:dyDescent="0.3">
      <c r="A2" s="127" t="s">
        <v>145</v>
      </c>
    </row>
    <row r="3" spans="1:27" x14ac:dyDescent="0.3">
      <c r="A3" s="127" t="s">
        <v>146</v>
      </c>
    </row>
    <row r="4" spans="1:27" x14ac:dyDescent="0.3">
      <c r="A4" s="127" t="s">
        <v>155</v>
      </c>
    </row>
    <row r="5" spans="1:27" x14ac:dyDescent="0.3">
      <c r="A5" s="127"/>
    </row>
    <row r="7" spans="1:27" ht="57.6" x14ac:dyDescent="0.3">
      <c r="A7" s="111" t="s">
        <v>127</v>
      </c>
      <c r="B7" s="112" t="s">
        <v>128</v>
      </c>
      <c r="C7" s="152" t="s">
        <v>129</v>
      </c>
      <c r="D7" s="152"/>
      <c r="E7" s="153" t="s">
        <v>130</v>
      </c>
      <c r="F7" s="153"/>
      <c r="G7" s="153" t="s">
        <v>131</v>
      </c>
      <c r="H7" s="153"/>
      <c r="I7" s="153" t="s">
        <v>132</v>
      </c>
      <c r="J7" s="153"/>
      <c r="K7" s="153" t="s">
        <v>133</v>
      </c>
      <c r="L7" s="153"/>
      <c r="Q7" s="122" t="s">
        <v>23</v>
      </c>
      <c r="R7" s="123" t="s">
        <v>134</v>
      </c>
      <c r="S7" s="123" t="s">
        <v>135</v>
      </c>
      <c r="T7" s="123" t="s">
        <v>136</v>
      </c>
      <c r="U7" s="123" t="s">
        <v>138</v>
      </c>
      <c r="V7" s="123" t="s">
        <v>137</v>
      </c>
      <c r="W7" s="123" t="s">
        <v>139</v>
      </c>
      <c r="X7" s="123" t="s">
        <v>140</v>
      </c>
      <c r="Y7" s="123" t="s">
        <v>141</v>
      </c>
      <c r="Z7" s="123" t="s">
        <v>142</v>
      </c>
      <c r="AA7" s="123" t="s">
        <v>143</v>
      </c>
    </row>
    <row r="8" spans="1:27" x14ac:dyDescent="0.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</row>
    <row r="9" spans="1:27" x14ac:dyDescent="0.3">
      <c r="A9" s="114" t="s">
        <v>112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O9" s="124"/>
      <c r="Q9" s="113" t="s">
        <v>18</v>
      </c>
      <c r="R9" s="119">
        <f>Total!AC61</f>
        <v>740174.36701162299</v>
      </c>
      <c r="S9" s="116">
        <f>Total!AC109</f>
        <v>1.4341227141717172</v>
      </c>
      <c r="T9" s="119">
        <f>Total!AC22</f>
        <v>126060.48777121236</v>
      </c>
      <c r="U9" s="116">
        <f>Total!AC70</f>
        <v>0.24424813520923069</v>
      </c>
      <c r="V9" s="119">
        <f>Total!AC32</f>
        <v>160001.48707215703</v>
      </c>
      <c r="W9" s="116">
        <f>Total!AC80</f>
        <v>0.24915482043431514</v>
      </c>
      <c r="X9" s="119">
        <f>Total!AC42</f>
        <v>201849.30946729088</v>
      </c>
      <c r="Y9" s="116">
        <f>Total!AC90</f>
        <v>0.25162644081089586</v>
      </c>
      <c r="Z9" s="119">
        <f>Total!AC52</f>
        <v>252263.08270096272</v>
      </c>
      <c r="AA9" s="116">
        <f>Total!AC100</f>
        <v>0.25125110249740967</v>
      </c>
    </row>
    <row r="10" spans="1:27" x14ac:dyDescent="0.3">
      <c r="A10" s="113" t="s">
        <v>18</v>
      </c>
      <c r="B10" s="134">
        <f>SUM(Ridgewood!L13:L16)/Ridgewood!L12*100</f>
        <v>3406.4823024044258</v>
      </c>
      <c r="C10" s="115">
        <f>Total!BI61</f>
        <v>60.432846537450409</v>
      </c>
      <c r="D10" s="116">
        <f>Total!BV61</f>
        <v>1.716810073146728</v>
      </c>
      <c r="E10" s="115">
        <f>Total!BI22</f>
        <v>10.273583911366565</v>
      </c>
      <c r="F10" s="116">
        <f>Total!BV22</f>
        <v>0.29185771243494363</v>
      </c>
      <c r="G10" s="115">
        <f>Total!BI32</f>
        <v>13.295226238239088</v>
      </c>
      <c r="H10" s="116">
        <f>Total!BV32</f>
        <v>0.29236827899597384</v>
      </c>
      <c r="I10" s="115">
        <f>Total!BI42</f>
        <v>16.92119703048612</v>
      </c>
      <c r="J10" s="116">
        <f>Total!BV42</f>
        <v>0.28792495792886258</v>
      </c>
      <c r="K10" s="115">
        <f>Total!BI52</f>
        <v>19.942839357358636</v>
      </c>
      <c r="L10" s="116">
        <f>Total!BV52</f>
        <v>0.26347818395668604</v>
      </c>
      <c r="O10" s="4"/>
      <c r="P10" s="4"/>
      <c r="Q10" s="113" t="s">
        <v>19</v>
      </c>
      <c r="R10" s="117">
        <f>Total!AC62</f>
        <v>188968.45267</v>
      </c>
      <c r="S10" s="116">
        <f>Total!AC110</f>
        <v>1.2365357153848606</v>
      </c>
      <c r="T10" s="117">
        <f>Total!AC23</f>
        <v>32905.643449999989</v>
      </c>
      <c r="U10" s="116">
        <f>Total!AC71</f>
        <v>0.21532167294982851</v>
      </c>
      <c r="V10" s="117">
        <f>Total!AC33</f>
        <v>40999.479820000037</v>
      </c>
      <c r="W10" s="116">
        <f>Total!AC81</f>
        <v>0.22075190583929369</v>
      </c>
      <c r="X10" s="117">
        <f>Total!AC43</f>
        <v>50903.490059999953</v>
      </c>
      <c r="Y10" s="116">
        <f>Total!AC91</f>
        <v>0.22451546621857829</v>
      </c>
      <c r="Z10" s="117">
        <f>Total!AC53</f>
        <v>64159.83934000002</v>
      </c>
      <c r="AA10" s="116">
        <f>Total!AC101</f>
        <v>0.23109880352994658</v>
      </c>
    </row>
    <row r="11" spans="1:27" x14ac:dyDescent="0.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Q11" s="113" t="s">
        <v>20</v>
      </c>
      <c r="R11" s="117">
        <f>Total!AC63</f>
        <v>3646.66896</v>
      </c>
      <c r="S11" s="116">
        <f>Total!AC111</f>
        <v>2.3231536457087083</v>
      </c>
      <c r="T11" s="117">
        <f>Total!AC24</f>
        <v>33.054319999999962</v>
      </c>
      <c r="U11" s="116">
        <f>Total!AC72</f>
        <v>2.1057645993296351E-2</v>
      </c>
      <c r="V11" s="117">
        <f>Total!AC34</f>
        <v>851.81124</v>
      </c>
      <c r="W11" s="116">
        <f>Total!AC82</f>
        <v>0.5314650352282172</v>
      </c>
      <c r="X11" s="117">
        <f>Total!AC44</f>
        <v>1188.7674400000001</v>
      </c>
      <c r="Y11" s="116">
        <f>Total!AC92</f>
        <v>0.48430744672264397</v>
      </c>
      <c r="Z11" s="117">
        <f>Total!AC54</f>
        <v>1573.0359600000002</v>
      </c>
      <c r="AA11" s="116">
        <f>Total!AC102</f>
        <v>0.43175664461579716</v>
      </c>
    </row>
    <row r="12" spans="1:27" x14ac:dyDescent="0.3">
      <c r="A12" s="114" t="s">
        <v>99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Q12" s="113" t="s">
        <v>21</v>
      </c>
      <c r="R12" s="117">
        <f>Total!AC64</f>
        <v>34996.601040000009</v>
      </c>
      <c r="S12" s="116">
        <f>Total!AC112</f>
        <v>2.4172047106452177</v>
      </c>
      <c r="T12" s="117">
        <f>Total!AC25</f>
        <v>6199.8723599999958</v>
      </c>
      <c r="U12" s="116">
        <f>Total!AC73</f>
        <v>0.42822331965501842</v>
      </c>
      <c r="V12" s="117">
        <f>Total!AC35</f>
        <v>7663.5308900000091</v>
      </c>
      <c r="W12" s="116">
        <f>Total!AC83</f>
        <v>0.37061275147082545</v>
      </c>
      <c r="X12" s="117">
        <f>Total!AC45</f>
        <v>9427.3164399999914</v>
      </c>
      <c r="Y12" s="116">
        <f>Total!AC93</f>
        <v>0.33263256328816887</v>
      </c>
      <c r="Z12" s="117">
        <f>Total!AC55</f>
        <v>11705.881350000007</v>
      </c>
      <c r="AA12" s="116">
        <f>Total!AC103</f>
        <v>0.30993482275470347</v>
      </c>
    </row>
    <row r="13" spans="1:27" x14ac:dyDescent="0.3">
      <c r="A13" s="113" t="s">
        <v>18</v>
      </c>
      <c r="B13" s="117">
        <f>Total!AQ61*100</f>
        <v>2702</v>
      </c>
      <c r="C13" s="118">
        <f>Total!BC61</f>
        <v>59.021920000000009</v>
      </c>
      <c r="D13" s="116">
        <f>Total!BP61</f>
        <v>1.8830853263227754</v>
      </c>
      <c r="E13" s="118">
        <f>Total!BC22</f>
        <v>9.7329799999999977</v>
      </c>
      <c r="F13" s="116">
        <f>Total!BP22</f>
        <v>0.31052923760177642</v>
      </c>
      <c r="G13" s="118">
        <f>Total!BC32</f>
        <v>12.692980000000006</v>
      </c>
      <c r="H13" s="116">
        <f>Total!BP32</f>
        <v>0.30901072105536609</v>
      </c>
      <c r="I13" s="115">
        <f>Total!BC42</f>
        <v>15.932980000000001</v>
      </c>
      <c r="J13" s="116">
        <f>Total!BP42</f>
        <v>0.29632190646087836</v>
      </c>
      <c r="K13" s="115">
        <f>Total!BC52</f>
        <v>20.662980000000005</v>
      </c>
      <c r="L13" s="116">
        <f>Total!BP52</f>
        <v>0.2964468522774194</v>
      </c>
      <c r="O13" s="4"/>
      <c r="Q13" s="120" t="s">
        <v>0</v>
      </c>
      <c r="R13" s="121">
        <f>SUM(R9:R12)</f>
        <v>967786.08968162304</v>
      </c>
      <c r="S13" s="116">
        <f>Total!AC113</f>
        <v>1.4128569837776337</v>
      </c>
      <c r="T13" s="121">
        <f>SUM(T9:T12)</f>
        <v>165199.05790121233</v>
      </c>
      <c r="U13" s="116">
        <f>Total!AC74</f>
        <v>0.24117172705592105</v>
      </c>
      <c r="V13" s="121">
        <f>SUM(V9:V12)</f>
        <v>209516.3090221571</v>
      </c>
      <c r="W13" s="116">
        <f>Total!AC84</f>
        <v>0.24643636128515445</v>
      </c>
      <c r="X13" s="121">
        <f>SUM(X9:X12)</f>
        <v>263368.88340729079</v>
      </c>
      <c r="Y13" s="116">
        <f>Total!AC94</f>
        <v>0.24853142255002245</v>
      </c>
      <c r="Z13" s="121">
        <f>SUM(Z9:Z12)</f>
        <v>329701.83935096272</v>
      </c>
      <c r="AA13" s="116">
        <f>Total!AC104</f>
        <v>0.24919466264732196</v>
      </c>
    </row>
    <row r="14" spans="1:27" x14ac:dyDescent="0.3">
      <c r="A14" s="113" t="s">
        <v>19</v>
      </c>
      <c r="B14" s="117">
        <f>Total!AQ62*100</f>
        <v>10960</v>
      </c>
      <c r="C14" s="118">
        <f>Total!BC62</f>
        <v>256.84440000000001</v>
      </c>
      <c r="D14" s="116">
        <f>Total!BP62</f>
        <v>2.0202334507928521</v>
      </c>
      <c r="E14" s="118">
        <f>Total!BC23</f>
        <v>42.342000000000027</v>
      </c>
      <c r="F14" s="116">
        <f>Total!BP23</f>
        <v>0.33304492826579435</v>
      </c>
      <c r="G14" s="118">
        <f>Total!BC33</f>
        <v>55.231999999999999</v>
      </c>
      <c r="H14" s="116">
        <f>Total!BP33</f>
        <v>0.32589480640555113</v>
      </c>
      <c r="I14" s="115">
        <f>Total!BC43</f>
        <v>69.362400000000008</v>
      </c>
      <c r="J14" s="116">
        <f>Total!BP43</f>
        <v>0.30867518134484451</v>
      </c>
      <c r="K14" s="115">
        <f>Total!BC53</f>
        <v>89.907999999999959</v>
      </c>
      <c r="L14" s="116">
        <f>Total!BP53</f>
        <v>0.30573423415458217</v>
      </c>
      <c r="O14" s="4"/>
    </row>
    <row r="15" spans="1:27" x14ac:dyDescent="0.3">
      <c r="A15" s="113" t="s">
        <v>21</v>
      </c>
      <c r="B15" s="117">
        <f>Total!AQ64*100</f>
        <v>2262</v>
      </c>
      <c r="C15" s="118">
        <f>Total!BC64</f>
        <v>271.46951999999999</v>
      </c>
      <c r="D15" s="116">
        <f>Total!BP64</f>
        <v>10.345952620506724</v>
      </c>
      <c r="E15" s="118">
        <f>Total!BC25</f>
        <v>44.787380000000013</v>
      </c>
      <c r="F15" s="116">
        <f>Total!BP25</f>
        <v>1.706888167322175</v>
      </c>
      <c r="G15" s="118">
        <f>Total!BC35</f>
        <v>58.367380000000011</v>
      </c>
      <c r="H15" s="116">
        <f>Total!BP35</f>
        <v>0.82176813243718061</v>
      </c>
      <c r="I15" s="115">
        <f>Total!BC45</f>
        <v>73.297379999999976</v>
      </c>
      <c r="J15" s="116">
        <f>Total!BP45</f>
        <v>0.56646678098421255</v>
      </c>
      <c r="K15" s="115">
        <f>Total!BC55</f>
        <v>95.017380000000031</v>
      </c>
      <c r="L15" s="116">
        <f>Total!BP55</f>
        <v>0.46877868585801463</v>
      </c>
      <c r="O15" s="4"/>
      <c r="Q15" t="s">
        <v>97</v>
      </c>
      <c r="R15" s="5">
        <f>Total!AC65-Increase!R13</f>
        <v>0</v>
      </c>
      <c r="T15" s="5">
        <f>Total!AC26-Increase!T13</f>
        <v>0</v>
      </c>
      <c r="V15" s="5">
        <f>Total!AC36-Increase!V13</f>
        <v>0</v>
      </c>
      <c r="X15" s="5">
        <f>Total!AC46-Increase!X13</f>
        <v>0</v>
      </c>
      <c r="Z15" s="5">
        <f>Total!AC56-Increase!Z13</f>
        <v>0</v>
      </c>
    </row>
    <row r="16" spans="1:27" x14ac:dyDescent="0.3">
      <c r="A16" s="113"/>
      <c r="B16" s="113"/>
      <c r="C16" s="113"/>
      <c r="D16" s="115"/>
      <c r="E16" s="113"/>
      <c r="F16" s="113"/>
      <c r="G16" s="113"/>
      <c r="H16" s="113"/>
      <c r="I16" s="113"/>
      <c r="J16" s="113"/>
      <c r="K16" s="113"/>
      <c r="L16" s="113"/>
    </row>
    <row r="17" spans="1:15" x14ac:dyDescent="0.3">
      <c r="A17" s="114" t="s">
        <v>72</v>
      </c>
      <c r="B17" s="113"/>
      <c r="C17" s="113"/>
      <c r="D17" s="116"/>
      <c r="E17" s="113"/>
      <c r="F17" s="113"/>
      <c r="G17" s="113"/>
      <c r="H17" s="113"/>
      <c r="I17" s="113"/>
      <c r="J17" s="113"/>
      <c r="K17" s="113"/>
      <c r="L17" s="113"/>
    </row>
    <row r="18" spans="1:15" x14ac:dyDescent="0.3">
      <c r="A18" s="113" t="s">
        <v>18</v>
      </c>
      <c r="B18" s="117">
        <f>Total!AS61*100</f>
        <v>2583</v>
      </c>
      <c r="C18" s="118">
        <f>Total!BE61</f>
        <v>54.599429999999998</v>
      </c>
      <c r="D18" s="116">
        <f>Total!BR61</f>
        <v>1.5876519516546208</v>
      </c>
      <c r="E18" s="118">
        <f>Total!BE22</f>
        <v>9.8383799999999937</v>
      </c>
      <c r="F18" s="116">
        <f>Total!BR22</f>
        <v>0.28608216620795818</v>
      </c>
      <c r="G18" s="118">
        <f>Total!BE32</f>
        <v>11.995060000000002</v>
      </c>
      <c r="H18" s="116">
        <f>Total!BR32</f>
        <v>0.27120700418260391</v>
      </c>
      <c r="I18" s="115">
        <f>Total!BE42</f>
        <v>14.587569999999999</v>
      </c>
      <c r="J18" s="116">
        <f>Total!BR42</f>
        <v>0.25945685691158626</v>
      </c>
      <c r="K18" s="115">
        <f>Total!BE52</f>
        <v>18.178420000000003</v>
      </c>
      <c r="L18" s="116">
        <f>Total!BR52</f>
        <v>0.25671724162863829</v>
      </c>
      <c r="O18" s="4"/>
    </row>
    <row r="19" spans="1:15" x14ac:dyDescent="0.3">
      <c r="A19" s="113" t="s">
        <v>19</v>
      </c>
      <c r="B19" s="117">
        <f>Total!AS62*100</f>
        <v>11952</v>
      </c>
      <c r="C19" s="118">
        <f>Total!BE62</f>
        <v>272.32423999999997</v>
      </c>
      <c r="D19" s="116">
        <f>Total!BR62</f>
        <v>2.3011584029506285</v>
      </c>
      <c r="E19" s="118">
        <f>Total!BE23</f>
        <v>49.029599999999988</v>
      </c>
      <c r="F19" s="116">
        <f>Total!BR23</f>
        <v>0.41430346425756337</v>
      </c>
      <c r="G19" s="118">
        <f>Total!BE33</f>
        <v>59.891999999999996</v>
      </c>
      <c r="H19" s="116">
        <f>Total!BR33</f>
        <v>0.35783797322177974</v>
      </c>
      <c r="I19" s="115">
        <f>Total!BE43</f>
        <v>72.714399999999983</v>
      </c>
      <c r="J19" s="116">
        <f>Total!BR43</f>
        <v>0.31995587155440119</v>
      </c>
      <c r="K19" s="115">
        <f>Total!BE53</f>
        <v>90.688240000000008</v>
      </c>
      <c r="L19" s="116">
        <f>Total!BR53</f>
        <v>0.30231606132498151</v>
      </c>
      <c r="O19" s="4"/>
    </row>
    <row r="20" spans="1:15" x14ac:dyDescent="0.3">
      <c r="A20" s="113" t="s">
        <v>21</v>
      </c>
      <c r="B20" s="117">
        <f>Total!AS64*100</f>
        <v>5614</v>
      </c>
      <c r="C20" s="118">
        <f>Total!BE64</f>
        <v>270.88962000000004</v>
      </c>
      <c r="D20" s="116">
        <f>Total!BR64</f>
        <v>4.2074581567862426</v>
      </c>
      <c r="E20" s="118">
        <f>Total!BE25</f>
        <v>48.762100000000004</v>
      </c>
      <c r="F20" s="116">
        <f>Total!BR25</f>
        <v>0.75737304141453055</v>
      </c>
      <c r="G20" s="118">
        <f>Total!BE35</f>
        <v>59.590519999999984</v>
      </c>
      <c r="H20" s="116">
        <f>Total!BR35</f>
        <v>0.52667251755044164</v>
      </c>
      <c r="I20" s="115">
        <f>Total!BE45</f>
        <v>72.335080000000005</v>
      </c>
      <c r="J20" s="116">
        <f>Total!BR45</f>
        <v>0.4187613200319425</v>
      </c>
      <c r="K20" s="115">
        <f>Total!BE55</f>
        <v>90.20192000000003</v>
      </c>
      <c r="L20" s="116">
        <f>Total!BR55</f>
        <v>0.3680645886557728</v>
      </c>
      <c r="O20" s="4"/>
    </row>
    <row r="21" spans="1:15" x14ac:dyDescent="0.3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</row>
    <row r="22" spans="1:15" x14ac:dyDescent="0.3">
      <c r="A22" s="114" t="s">
        <v>103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5" x14ac:dyDescent="0.3">
      <c r="A23" s="113" t="s">
        <v>18</v>
      </c>
      <c r="B23" s="117">
        <f>Total!AU61*100</f>
        <v>3238.0000000000005</v>
      </c>
      <c r="C23" s="118">
        <f>Total!BG61</f>
        <v>60.042719999999996</v>
      </c>
      <c r="D23" s="116">
        <f>Total!BT61</f>
        <v>1.644169978224771</v>
      </c>
      <c r="E23" s="118">
        <f>Total!BG22</f>
        <v>9.9171200000000042</v>
      </c>
      <c r="F23" s="116">
        <f>Total!BT22</f>
        <v>0.27156382946096463</v>
      </c>
      <c r="G23" s="118">
        <f>Total!BG32</f>
        <v>12.90377999999999</v>
      </c>
      <c r="H23" s="116">
        <f>Total!BT32</f>
        <v>0.2778850228961865</v>
      </c>
      <c r="I23" s="115">
        <f>Total!BG42</f>
        <v>16.805200000000006</v>
      </c>
      <c r="J23" s="116">
        <f>Total!BT42</f>
        <v>0.28320446461764243</v>
      </c>
      <c r="K23" s="115">
        <f>Total!BG52</f>
        <v>20.416619999999995</v>
      </c>
      <c r="L23" s="116">
        <f>Total!BT52</f>
        <v>0.26812937374728568</v>
      </c>
      <c r="O23" s="4"/>
    </row>
    <row r="24" spans="1:15" x14ac:dyDescent="0.3">
      <c r="A24" s="113" t="s">
        <v>19</v>
      </c>
      <c r="B24" s="117">
        <f>Total!AU62*100</f>
        <v>9449</v>
      </c>
      <c r="C24" s="118">
        <f>Total!BG62</f>
        <v>278.83614</v>
      </c>
      <c r="D24" s="116">
        <f>Total!BT62</f>
        <v>2.9864294655123351</v>
      </c>
      <c r="E24" s="118">
        <f>Total!BG23</f>
        <v>46.012859999999989</v>
      </c>
      <c r="F24" s="116">
        <f>Total!BT23</f>
        <v>0.49281330926648848</v>
      </c>
      <c r="G24" s="118">
        <f>Total!BG33</f>
        <v>59.965309999999988</v>
      </c>
      <c r="H24" s="116">
        <f>Total!BT33</f>
        <v>0.43022712129429208</v>
      </c>
      <c r="I24" s="115">
        <f>Total!BG43</f>
        <v>78.05776000000003</v>
      </c>
      <c r="J24" s="116">
        <f>Total!BT43</f>
        <v>0.39156942781366477</v>
      </c>
      <c r="K24" s="115">
        <f>Total!BG53</f>
        <v>94.800209999999993</v>
      </c>
      <c r="L24" s="116">
        <f>Total!BT53</f>
        <v>0.34174102100887921</v>
      </c>
      <c r="O24" s="4"/>
    </row>
    <row r="25" spans="1:15" x14ac:dyDescent="0.3">
      <c r="A25" s="113" t="s">
        <v>21</v>
      </c>
      <c r="B25" s="117">
        <f>Total!AU64*100</f>
        <v>5463</v>
      </c>
      <c r="C25" s="118">
        <f>Total!BG64</f>
        <v>275.40818000000002</v>
      </c>
      <c r="D25" s="116">
        <f>Total!BT64</f>
        <v>4.7150449465344515</v>
      </c>
      <c r="E25" s="118">
        <f>Total!BG25</f>
        <v>45.454820000000005</v>
      </c>
      <c r="F25" s="116">
        <f>Total!BT25</f>
        <v>0.77819591029080226</v>
      </c>
      <c r="G25" s="118">
        <f>Total!BG35</f>
        <v>59.207969999999989</v>
      </c>
      <c r="H25" s="116">
        <f>Total!BT35</f>
        <v>0.57004555803173196</v>
      </c>
      <c r="I25" s="115">
        <f>Total!BG45</f>
        <v>77.101120000000009</v>
      </c>
      <c r="J25" s="116">
        <f>Total!BT45</f>
        <v>0.4728003909898188</v>
      </c>
      <c r="K25" s="115">
        <f>Total!BG55</f>
        <v>93.644270000000006</v>
      </c>
      <c r="L25" s="116">
        <f>Total!BT55</f>
        <v>0.38990109771057219</v>
      </c>
      <c r="O25" s="4"/>
    </row>
    <row r="26" spans="1:15" x14ac:dyDescent="0.3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5" x14ac:dyDescent="0.3">
      <c r="A27" s="114" t="s">
        <v>49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5" x14ac:dyDescent="0.3">
      <c r="A28" s="113" t="s">
        <v>18</v>
      </c>
      <c r="B28" s="117">
        <f>Total!AO61*100</f>
        <v>2932</v>
      </c>
      <c r="C28" s="118">
        <f>Total!BA61</f>
        <v>60.353920000000002</v>
      </c>
      <c r="D28" s="116">
        <f>Total!BN61</f>
        <v>1.8473804713804713</v>
      </c>
      <c r="E28" s="118">
        <f>Total!BA22</f>
        <v>9.0523600000000002</v>
      </c>
      <c r="F28" s="116">
        <f>Total!BN22</f>
        <v>0.27708478726660546</v>
      </c>
      <c r="G28" s="118">
        <f>Total!BA32</f>
        <v>12.072239999999994</v>
      </c>
      <c r="H28" s="116">
        <f>Total!BN32</f>
        <v>0.28934700721627427</v>
      </c>
      <c r="I28" s="115">
        <f>Total!BA42</f>
        <v>16.890360000000008</v>
      </c>
      <c r="J28" s="116">
        <f>Total!BN42</f>
        <v>0.31397872648927605</v>
      </c>
      <c r="K28" s="115">
        <f>Total!BA52</f>
        <v>22.33896</v>
      </c>
      <c r="L28" s="116">
        <f>Total!BN52</f>
        <v>0.31603554702443065</v>
      </c>
      <c r="O28" s="4"/>
    </row>
    <row r="29" spans="1:15" x14ac:dyDescent="0.3">
      <c r="A29" s="113" t="s">
        <v>19</v>
      </c>
      <c r="B29" s="117">
        <f>Total!AO62*100</f>
        <v>21973</v>
      </c>
      <c r="C29" s="118">
        <f>Total!BA62</f>
        <v>398.41145999999998</v>
      </c>
      <c r="D29" s="116">
        <f>Total!BN62</f>
        <v>6.6627822737629048</v>
      </c>
      <c r="E29" s="118">
        <f>Total!BA23</f>
        <v>64.313800000000001</v>
      </c>
      <c r="F29" s="116">
        <f>Total!BN23</f>
        <v>1.0755434760795604</v>
      </c>
      <c r="G29" s="118">
        <f>Total!BA33</f>
        <v>78.708129999999997</v>
      </c>
      <c r="H29" s="116">
        <f>Total!BN33</f>
        <v>0.63417856494816383</v>
      </c>
      <c r="I29" s="115">
        <f>Total!BA43</f>
        <v>109.95975999999996</v>
      </c>
      <c r="J29" s="116">
        <f>Total!BN43</f>
        <v>0.54215845902412529</v>
      </c>
      <c r="K29" s="115">
        <f>Total!BA53</f>
        <v>145.42977000000002</v>
      </c>
      <c r="L29" s="116">
        <f>Total!BN53</f>
        <v>0.46496126249187736</v>
      </c>
      <c r="O29" s="4"/>
    </row>
    <row r="30" spans="1:15" x14ac:dyDescent="0.3">
      <c r="A30" s="113" t="s">
        <v>20</v>
      </c>
      <c r="B30" s="117">
        <f>Total!AO63*100</f>
        <v>27880</v>
      </c>
      <c r="C30" s="118">
        <f>Total!BA63</f>
        <v>422.1576</v>
      </c>
      <c r="D30" s="116">
        <f>Total!BN63</f>
        <v>5.564692421662035</v>
      </c>
      <c r="E30" s="118">
        <f>Total!BA24</f>
        <v>67.858000000000018</v>
      </c>
      <c r="F30" s="116">
        <f>Total!BN24</f>
        <v>0.89447376607490303</v>
      </c>
      <c r="G30" s="118">
        <f>Total!BA34</f>
        <v>83.492799999999988</v>
      </c>
      <c r="H30" s="116">
        <f>Total!BN34</f>
        <v>0.58093425066239157</v>
      </c>
      <c r="I30" s="115">
        <f>Total!BA44</f>
        <v>116.57559999999995</v>
      </c>
      <c r="J30" s="116">
        <f>Total!BN44</f>
        <v>0.51306431282524323</v>
      </c>
      <c r="K30" s="115">
        <f>Total!BA54</f>
        <v>154.23120000000006</v>
      </c>
      <c r="L30" s="116">
        <f>Total!BN54</f>
        <v>0.44862037871956739</v>
      </c>
      <c r="O30" s="4"/>
    </row>
  </sheetData>
  <mergeCells count="5">
    <mergeCell ref="C7:D7"/>
    <mergeCell ref="E7:F7"/>
    <mergeCell ref="G7:H7"/>
    <mergeCell ref="I7:J7"/>
    <mergeCell ref="K7:L7"/>
  </mergeCells>
  <phoneticPr fontId="18" type="noConversion"/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Residential</vt:lpstr>
      <vt:lpstr>Commercial</vt:lpstr>
      <vt:lpstr>Industrial</vt:lpstr>
      <vt:lpstr>OPA</vt:lpstr>
      <vt:lpstr>Ridgewood</vt:lpstr>
      <vt:lpstr>Total</vt:lpstr>
      <vt:lpstr>Increase</vt:lpstr>
      <vt:lpstr>Industrial!Print_Area</vt:lpstr>
      <vt:lpstr>OPA!Print_Area</vt:lpstr>
      <vt:lpstr>Residential!Print_Area</vt:lpstr>
      <vt:lpstr>Total!Print_Area</vt:lpstr>
      <vt:lpstr>Commercial!Print_Titles</vt:lpstr>
      <vt:lpstr>Industrial!Print_Titles</vt:lpstr>
      <vt:lpstr>OPA!Print_Titles</vt:lpstr>
      <vt:lpstr>Residential!Print_Titles</vt:lpstr>
      <vt:lpstr>Total!Print_Titles</vt:lpstr>
    </vt:vector>
  </TitlesOfParts>
  <Company>American Water Works,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JORDANRA</dc:creator>
  <cp:lastModifiedBy>Tricia Sinopole</cp:lastModifiedBy>
  <cp:lastPrinted>2021-11-23T03:29:20Z</cp:lastPrinted>
  <dcterms:created xsi:type="dcterms:W3CDTF">2014-10-16T13:19:54Z</dcterms:created>
  <dcterms:modified xsi:type="dcterms:W3CDTF">2022-03-25T18:19:02Z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KY # of Bills w Usage Final.xlsx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846c87f6-c46e-48eb-b7ce-d3a4a7d30611_Enabled">
    <vt:lpwstr>True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Owner">
    <vt:lpwstr>Tricia.Sinopole@amwater.com</vt:lpwstr>
  </property>
  <property fmtid="{D5CDD505-2E9C-101B-9397-08002B2CF9AE}" pid="8" name="MSIP_Label_846c87f6-c46e-48eb-b7ce-d3a4a7d30611_SetDate">
    <vt:lpwstr>2021-11-05T15:45:43.1167737Z</vt:lpwstr>
  </property>
  <property fmtid="{D5CDD505-2E9C-101B-9397-08002B2CF9AE}" pid="9" name="MSIP_Label_846c87f6-c46e-48eb-b7ce-d3a4a7d30611_Name">
    <vt:lpwstr>General</vt:lpwstr>
  </property>
  <property fmtid="{D5CDD505-2E9C-101B-9397-08002B2CF9AE}" pid="10" name="MSIP_Label_846c87f6-c46e-48eb-b7ce-d3a4a7d30611_Application">
    <vt:lpwstr>Microsoft Azure Information Protection</vt:lpwstr>
  </property>
  <property fmtid="{D5CDD505-2E9C-101B-9397-08002B2CF9AE}" pid="11" name="MSIP_Label_846c87f6-c46e-48eb-b7ce-d3a4a7d30611_ActionId">
    <vt:lpwstr>567a8f38-bce2-4c4d-8908-f4b4439283a8</vt:lpwstr>
  </property>
  <property fmtid="{D5CDD505-2E9C-101B-9397-08002B2CF9AE}" pid="12" name="MSIP_Label_846c87f6-c46e-48eb-b7ce-d3a4a7d30611_Extended_MSFT_Method">
    <vt:lpwstr>Automatic</vt:lpwstr>
  </property>
  <property fmtid="{D5CDD505-2E9C-101B-9397-08002B2CF9AE}" pid="13" name="Sensitivity">
    <vt:lpwstr>General</vt:lpwstr>
  </property>
</Properties>
</file>