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-my.sharepoint.com/personal/wesley_selinger_amwater_com/Documents/Documents/"/>
    </mc:Choice>
  </mc:AlternateContent>
  <xr:revisionPtr revIDLastSave="0" documentId="8_{48BE5845-1C26-4F9D-91C5-788E0BE18905}" xr6:coauthVersionLast="47" xr6:coauthVersionMax="47" xr10:uidLastSave="{00000000-0000-0000-0000-000000000000}"/>
  <bookViews>
    <workbookView xWindow="-110" yWindow="-110" windowWidth="19420" windowHeight="10420" xr2:uid="{48A8D7DE-077B-4375-BE6A-38D95429950E}"/>
  </bookViews>
  <sheets>
    <sheet name="2021-00434 WACC" sheetId="1" r:id="rId1"/>
    <sheet name="Sheet1" sheetId="2" r:id="rId2"/>
  </sheets>
  <externalReferences>
    <externalReference r:id="rId3"/>
  </externalReferences>
  <definedNames>
    <definedName name="_xlnm.Print_Area" localSheetId="0">'2021-00434 WACC'!$A$1:$O$132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Z_3504B94A_F634_11D2_9451_0008C780B76A_.wvu.PrintArea" localSheetId="0" hidden="1">'2021-00434 WACC'!$A$89:$P$149</definedName>
    <definedName name="Z_3504B94B_F634_11D2_9451_0008C780B76A_.wvu.PrintArea" localSheetId="0" hidden="1">'2021-00434 WACC'!$A$89:$P$149</definedName>
    <definedName name="Z_3504B94C_F634_11D2_9451_0008C780B76A_.wvu.PrintArea" localSheetId="0" hidden="1">'2021-00434 WACC'!$A$89:$P$149</definedName>
    <definedName name="Z_3504B94D_F634_11D2_9451_0008C780B76A_.wvu.PrintArea" localSheetId="0" hidden="1">'2021-00434 WACC'!$A$89:$P$149</definedName>
    <definedName name="Z_3504B94E_F634_11D2_9451_0008C780B76A_.wvu.PrintArea" localSheetId="0" hidden="1">'2021-00434 WACC'!$A$89:$P$149</definedName>
    <definedName name="Z_3504B950_F634_11D2_9451_0008C780B76A_.wvu.PrintArea" localSheetId="0" hidden="1">'2021-00434 WACC'!$A$89:$P$149</definedName>
    <definedName name="Z_3504B951_F634_11D2_9451_0008C780B76A_.wvu.PrintArea" localSheetId="0" hidden="1">'2021-00434 WACC'!$A$89:$P$149</definedName>
    <definedName name="Z_3504B952_F634_11D2_9451_0008C780B76A_.wvu.PrintArea" localSheetId="0" hidden="1">'2021-00434 WACC'!$A$89:$P$149</definedName>
    <definedName name="Z_3504B953_F634_11D2_9451_0008C780B76A_.wvu.PrintArea" localSheetId="0" hidden="1">'2021-00434 WACC'!$A$89:$P$149</definedName>
    <definedName name="Z_3504B954_F634_11D2_9451_0008C780B76A_.wvu.PrintArea" localSheetId="0" hidden="1">'2021-00434 WACC'!$A$89:$P$149</definedName>
    <definedName name="Z_3504B955_F634_11D2_9451_0008C780B76A_.wvu.PrintArea" localSheetId="0" hidden="1">'2021-00434 WACC'!$A$89:$P$149</definedName>
    <definedName name="Z_3504B956_F634_11D2_9451_0008C780B76A_.wvu.PrintArea" localSheetId="0" hidden="1">'2021-00434 WACC'!$A$89:$P$149</definedName>
    <definedName name="Z_3504B966_F634_11D2_9451_0008C780B76A_.wvu.PrintArea" localSheetId="0" hidden="1">'2021-00434 WACC'!$A$89:$P$149</definedName>
    <definedName name="Z_42E2132E_130A_11D4_8702_444553540000_.wvu.PrintArea" localSheetId="0" hidden="1">'2021-00434 WACC'!$A$5:$O$149</definedName>
  </definedNames>
  <calcPr calcId="191029" iterate="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F108" i="1" l="1"/>
  <c r="N105" i="1"/>
  <c r="K105" i="1"/>
  <c r="J105" i="1"/>
  <c r="I105" i="1"/>
  <c r="H105" i="1"/>
  <c r="G105" i="1"/>
  <c r="F105" i="1"/>
  <c r="N100" i="1"/>
  <c r="M100" i="1"/>
  <c r="K100" i="1"/>
  <c r="J100" i="1"/>
  <c r="H100" i="1"/>
  <c r="F100" i="1"/>
  <c r="E100" i="1"/>
  <c r="A90" i="1"/>
  <c r="A88" i="1"/>
  <c r="A87" i="1"/>
  <c r="E84" i="1"/>
  <c r="A84" i="1"/>
  <c r="A83" i="1"/>
  <c r="A82" i="1"/>
  <c r="O81" i="1"/>
  <c r="N81" i="1"/>
  <c r="M81" i="1"/>
  <c r="L81" i="1"/>
  <c r="K81" i="1"/>
  <c r="J81" i="1"/>
  <c r="I81" i="1"/>
  <c r="E81" i="1"/>
  <c r="A81" i="1"/>
  <c r="A80" i="1"/>
  <c r="A79" i="1"/>
  <c r="A78" i="1"/>
  <c r="A77" i="1"/>
  <c r="O76" i="1"/>
  <c r="M76" i="1"/>
  <c r="L76" i="1"/>
  <c r="K76" i="1"/>
  <c r="J76" i="1"/>
  <c r="I76" i="1"/>
  <c r="G76" i="1"/>
  <c r="F76" i="1"/>
  <c r="E76" i="1"/>
  <c r="D76" i="1"/>
  <c r="C76" i="1"/>
  <c r="B76" i="1"/>
  <c r="A76" i="1"/>
  <c r="O75" i="1"/>
  <c r="M75" i="1"/>
  <c r="L75" i="1"/>
  <c r="K75" i="1"/>
  <c r="J75" i="1"/>
  <c r="I75" i="1"/>
  <c r="G75" i="1"/>
  <c r="F75" i="1"/>
  <c r="E75" i="1"/>
  <c r="D75" i="1"/>
  <c r="C75" i="1"/>
  <c r="B75" i="1"/>
  <c r="A75" i="1"/>
  <c r="O74" i="1"/>
  <c r="M74" i="1"/>
  <c r="L74" i="1"/>
  <c r="K74" i="1"/>
  <c r="J74" i="1"/>
  <c r="I74" i="1"/>
  <c r="G74" i="1"/>
  <c r="F74" i="1"/>
  <c r="E74" i="1"/>
  <c r="D74" i="1"/>
  <c r="C74" i="1"/>
  <c r="B74" i="1"/>
  <c r="A74" i="1"/>
  <c r="O73" i="1"/>
  <c r="M73" i="1"/>
  <c r="K73" i="1"/>
  <c r="J73" i="1"/>
  <c r="I73" i="1"/>
  <c r="G73" i="1"/>
  <c r="F73" i="1"/>
  <c r="E73" i="1"/>
  <c r="D73" i="1"/>
  <c r="C73" i="1"/>
  <c r="B73" i="1"/>
  <c r="A73" i="1"/>
  <c r="O72" i="1"/>
  <c r="M72" i="1"/>
  <c r="K72" i="1"/>
  <c r="J72" i="1"/>
  <c r="I72" i="1"/>
  <c r="G72" i="1"/>
  <c r="F72" i="1"/>
  <c r="E72" i="1"/>
  <c r="D72" i="1"/>
  <c r="C72" i="1"/>
  <c r="B72" i="1"/>
  <c r="A72" i="1"/>
  <c r="O71" i="1"/>
  <c r="M71" i="1"/>
  <c r="K71" i="1"/>
  <c r="J71" i="1"/>
  <c r="I71" i="1"/>
  <c r="G71" i="1"/>
  <c r="F71" i="1"/>
  <c r="E71" i="1"/>
  <c r="D71" i="1"/>
  <c r="C71" i="1"/>
  <c r="B71" i="1"/>
  <c r="A71" i="1"/>
  <c r="O70" i="1"/>
  <c r="M70" i="1"/>
  <c r="K70" i="1"/>
  <c r="J70" i="1"/>
  <c r="I70" i="1"/>
  <c r="G70" i="1"/>
  <c r="F70" i="1"/>
  <c r="E70" i="1"/>
  <c r="D70" i="1"/>
  <c r="C70" i="1"/>
  <c r="B70" i="1"/>
  <c r="A70" i="1"/>
  <c r="O69" i="1"/>
  <c r="M69" i="1"/>
  <c r="K69" i="1"/>
  <c r="J69" i="1"/>
  <c r="I69" i="1"/>
  <c r="G69" i="1"/>
  <c r="F69" i="1"/>
  <c r="E69" i="1"/>
  <c r="D69" i="1"/>
  <c r="C69" i="1"/>
  <c r="B69" i="1"/>
  <c r="A69" i="1"/>
  <c r="O68" i="1"/>
  <c r="M68" i="1"/>
  <c r="K68" i="1"/>
  <c r="J68" i="1"/>
  <c r="I68" i="1"/>
  <c r="G68" i="1"/>
  <c r="F68" i="1"/>
  <c r="E68" i="1"/>
  <c r="D68" i="1"/>
  <c r="C68" i="1"/>
  <c r="B68" i="1"/>
  <c r="A68" i="1"/>
  <c r="A67" i="1"/>
  <c r="A66" i="1"/>
  <c r="A65" i="1"/>
  <c r="O64" i="1"/>
  <c r="M64" i="1"/>
  <c r="K64" i="1"/>
  <c r="J64" i="1"/>
  <c r="I64" i="1"/>
  <c r="G64" i="1"/>
  <c r="F64" i="1"/>
  <c r="E64" i="1"/>
  <c r="D64" i="1"/>
  <c r="C64" i="1"/>
  <c r="B64" i="1"/>
  <c r="A64" i="1"/>
  <c r="O63" i="1"/>
  <c r="M63" i="1"/>
  <c r="K63" i="1"/>
  <c r="J63" i="1"/>
  <c r="I63" i="1"/>
  <c r="G63" i="1"/>
  <c r="F63" i="1"/>
  <c r="E63" i="1"/>
  <c r="D63" i="1"/>
  <c r="C63" i="1"/>
  <c r="B63" i="1"/>
  <c r="A63" i="1"/>
  <c r="O62" i="1"/>
  <c r="M62" i="1"/>
  <c r="K62" i="1"/>
  <c r="J62" i="1"/>
  <c r="I62" i="1"/>
  <c r="G62" i="1"/>
  <c r="F62" i="1"/>
  <c r="E62" i="1"/>
  <c r="D62" i="1"/>
  <c r="C62" i="1"/>
  <c r="B62" i="1"/>
  <c r="A62" i="1"/>
  <c r="A61" i="1"/>
  <c r="A60" i="1"/>
  <c r="A59" i="1"/>
  <c r="A52" i="1"/>
  <c r="A50" i="1"/>
  <c r="A49" i="1"/>
  <c r="G44" i="1"/>
  <c r="K13" i="1" s="1"/>
  <c r="L13" i="1" s="1"/>
  <c r="L21" i="1" s="1"/>
  <c r="K41" i="1"/>
  <c r="A33" i="1"/>
  <c r="A31" i="1"/>
  <c r="A30" i="1"/>
  <c r="BR28" i="1"/>
  <c r="BQ28" i="1"/>
  <c r="BR27" i="1"/>
  <c r="BQ27" i="1"/>
  <c r="E27" i="1"/>
  <c r="BR26" i="1"/>
  <c r="BQ26" i="1"/>
  <c r="BR25" i="1"/>
  <c r="BQ25" i="1"/>
  <c r="BR24" i="1"/>
  <c r="BQ24" i="1"/>
  <c r="BR23" i="1"/>
  <c r="BQ23" i="1"/>
  <c r="BR22" i="1"/>
  <c r="BQ22" i="1"/>
  <c r="BR21" i="1"/>
  <c r="BQ21" i="1"/>
  <c r="J21" i="1"/>
  <c r="I21" i="1"/>
  <c r="H21" i="1"/>
  <c r="G21" i="1"/>
  <c r="L19" i="1"/>
  <c r="J19" i="1"/>
  <c r="I19" i="1"/>
  <c r="H19" i="1"/>
  <c r="G19" i="1"/>
  <c r="L17" i="1"/>
  <c r="K17" i="1"/>
  <c r="J17" i="1"/>
  <c r="I17" i="1"/>
  <c r="H17" i="1"/>
  <c r="G17" i="1"/>
  <c r="L15" i="1"/>
  <c r="K15" i="1"/>
  <c r="J15" i="1"/>
  <c r="I15" i="1"/>
  <c r="H15" i="1"/>
  <c r="G15" i="1"/>
  <c r="J13" i="1"/>
  <c r="I13" i="1"/>
  <c r="H13" i="1"/>
  <c r="G13" i="1"/>
</calcChain>
</file>

<file path=xl/sharedStrings.xml><?xml version="1.0" encoding="utf-8"?>
<sst xmlns="http://schemas.openxmlformats.org/spreadsheetml/2006/main" count="412" uniqueCount="107">
  <si>
    <t>KENTUCKY-AMERICAN WATER COMPANY</t>
  </si>
  <si>
    <t>COST OF CAPITAL SUMMARY</t>
  </si>
  <si>
    <t>AS OF DECEMBER 31, 2020</t>
  </si>
  <si>
    <t>Net</t>
  </si>
  <si>
    <t>Line</t>
  </si>
  <si>
    <t>Class of</t>
  </si>
  <si>
    <t>Carrying</t>
  </si>
  <si>
    <t>Adjusted</t>
  </si>
  <si>
    <t>Terminal</t>
  </si>
  <si>
    <t>No.</t>
  </si>
  <si>
    <t>Capital</t>
  </si>
  <si>
    <t>Amount</t>
  </si>
  <si>
    <t>% of Total</t>
  </si>
  <si>
    <t>Add (1)</t>
  </si>
  <si>
    <t>Cost Rate</t>
  </si>
  <si>
    <t>Weighted Cost</t>
  </si>
  <si>
    <t>Short-Term Debt</t>
  </si>
  <si>
    <t>Long-Term Debt</t>
  </si>
  <si>
    <t>Preferred Stock</t>
  </si>
  <si>
    <t>Common Equity</t>
  </si>
  <si>
    <t xml:space="preserve">    Total Capital</t>
  </si>
  <si>
    <t>(1) JDITC</t>
  </si>
  <si>
    <t>EMBEDDED COST OF SHORT-TERM DEBT</t>
  </si>
  <si>
    <t>Interest</t>
  </si>
  <si>
    <t>Issue</t>
  </si>
  <si>
    <t>Outstanding</t>
  </si>
  <si>
    <t>Rate</t>
  </si>
  <si>
    <t>Requirement</t>
  </si>
  <si>
    <t>Promissory  Note</t>
  </si>
  <si>
    <t>Weighted Cost of Short-Term Debt</t>
  </si>
  <si>
    <t>EMBEDDED COST OF LONG-TERM DEBT</t>
  </si>
  <si>
    <t>Annual Amort.</t>
  </si>
  <si>
    <t>Unamortized</t>
  </si>
  <si>
    <t xml:space="preserve">  </t>
  </si>
  <si>
    <t>Debt Issue</t>
  </si>
  <si>
    <t>Maturity</t>
  </si>
  <si>
    <t>Bond Rating</t>
  </si>
  <si>
    <t>Annualized</t>
  </si>
  <si>
    <t>Principal</t>
  </si>
  <si>
    <t>of Issue</t>
  </si>
  <si>
    <t>Discount or</t>
  </si>
  <si>
    <t>Type &amp; Rate</t>
  </si>
  <si>
    <t>Date</t>
  </si>
  <si>
    <t>at Issue</t>
  </si>
  <si>
    <t>at Maturity</t>
  </si>
  <si>
    <t>Expense</t>
  </si>
  <si>
    <t>Premium</t>
  </si>
  <si>
    <t>Debt Expense</t>
  </si>
  <si>
    <t>Gain/Loss</t>
  </si>
  <si>
    <t>Value</t>
  </si>
  <si>
    <t>General Mortgage Bonds:</t>
  </si>
  <si>
    <t>N/A</t>
  </si>
  <si>
    <t>AWCC Inter-Company Notes:</t>
  </si>
  <si>
    <t>Total Long-Term Debt and Annualized Cost</t>
  </si>
  <si>
    <t>Annualized Cost Rate</t>
  </si>
  <si>
    <t>EMBEDDED COST OF PREFERRED STOCK</t>
  </si>
  <si>
    <t>Gain or Loss</t>
  </si>
  <si>
    <t>Dividend Rate,</t>
  </si>
  <si>
    <t>Premium or</t>
  </si>
  <si>
    <t>on Reaquired</t>
  </si>
  <si>
    <t>Type &amp; Par Value</t>
  </si>
  <si>
    <t>Date Issued</t>
  </si>
  <si>
    <t>Discount</t>
  </si>
  <si>
    <t>Stock</t>
  </si>
  <si>
    <t>Proceeds</t>
  </si>
  <si>
    <t>Dividends</t>
  </si>
  <si>
    <t>8.47% Series, $100 Par</t>
  </si>
  <si>
    <t>Total</t>
  </si>
  <si>
    <t>Case No. 2021-00434</t>
  </si>
  <si>
    <t>Company Code</t>
  </si>
  <si>
    <t>Start Date</t>
  </si>
  <si>
    <t>End Date</t>
  </si>
  <si>
    <t>Transaction amt</t>
  </si>
  <si>
    <t>Net amount</t>
  </si>
  <si>
    <t>Outstanding start</t>
  </si>
  <si>
    <t>Outstanding end</t>
  </si>
  <si>
    <t>Weighted Outstanding</t>
  </si>
  <si>
    <t>Prior Accrued Interest</t>
  </si>
  <si>
    <t>Current Accrued Interest</t>
  </si>
  <si>
    <t>Sub-Total</t>
  </si>
  <si>
    <t>Unaccrued Interest</t>
  </si>
  <si>
    <t>Total Interest</t>
  </si>
  <si>
    <t>Annual Yield</t>
  </si>
  <si>
    <t>Analysis days</t>
  </si>
  <si>
    <t>Rate Value</t>
  </si>
  <si>
    <t>Reference</t>
  </si>
  <si>
    <t>Days Outstanding</t>
  </si>
  <si>
    <t>31</t>
  </si>
  <si>
    <t/>
  </si>
  <si>
    <t>CP</t>
  </si>
  <si>
    <t>6</t>
  </si>
  <si>
    <t>0</t>
  </si>
  <si>
    <t>9</t>
  </si>
  <si>
    <t>17</t>
  </si>
  <si>
    <t>2</t>
  </si>
  <si>
    <t>3</t>
  </si>
  <si>
    <t>7</t>
  </si>
  <si>
    <t>14</t>
  </si>
  <si>
    <t>25</t>
  </si>
  <si>
    <t>1</t>
  </si>
  <si>
    <t>18</t>
  </si>
  <si>
    <t>13</t>
  </si>
  <si>
    <t>16</t>
  </si>
  <si>
    <t>10</t>
  </si>
  <si>
    <t>5</t>
  </si>
  <si>
    <t>4</t>
  </si>
  <si>
    <t>AWCC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</si>
</sst>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%"/>
    <numFmt numFmtId="166" formatCode="_(* #,##0_);_(* \(#,##0\);_(* &quot;-&quot;??_);_(@_)"/>
    <numFmt numFmtId="167" formatCode="mm/dd/yy"/>
    <numFmt numFmtId="168" formatCode="&quot;$&quot;#,##0.000_);\(&quot;$&quot;#,##0.000\)"/>
    <numFmt numFmtId="169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u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3" applyFont="1"/>
    <xf numFmtId="0" fontId="3" fillId="0" borderId="0" xfId="0" applyFont="1"/>
    <xf numFmtId="0" fontId="4" fillId="0" borderId="0" xfId="0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5" fontId="3" fillId="0" borderId="0" xfId="0" applyNumberFormat="1" applyFont="1"/>
    <xf numFmtId="165" fontId="3" fillId="0" borderId="0" xfId="0" applyNumberFormat="1" applyFont="1"/>
    <xf numFmtId="37" fontId="3" fillId="0" borderId="0" xfId="0" applyNumberFormat="1" applyFont="1"/>
    <xf numFmtId="37" fontId="3" fillId="0" borderId="2" xfId="0" applyNumberFormat="1" applyFont="1" applyBorder="1"/>
    <xf numFmtId="165" fontId="3" fillId="0" borderId="2" xfId="0" applyNumberFormat="1" applyFont="1" applyBorder="1"/>
    <xf numFmtId="5" fontId="3" fillId="0" borderId="3" xfId="0" applyNumberFormat="1" applyFont="1" applyBorder="1"/>
    <xf numFmtId="165" fontId="3" fillId="0" borderId="3" xfId="0" applyNumberFormat="1" applyFont="1" applyBorder="1"/>
    <xf numFmtId="166" fontId="3" fillId="0" borderId="0" xfId="1" applyNumberFormat="1" applyFont="1" applyFill="1" applyAlignment="1"/>
    <xf numFmtId="42" fontId="3" fillId="0" borderId="0" xfId="0" applyNumberFormat="1" applyFont="1"/>
    <xf numFmtId="0" fontId="3" fillId="0" borderId="0" xfId="0" applyFont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3" fontId="6" fillId="0" borderId="0" xfId="0" applyNumberFormat="1" applyFont="1"/>
    <xf numFmtId="167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/>
    <xf numFmtId="167" fontId="3" fillId="0" borderId="0" xfId="0" applyNumberFormat="1" applyFont="1"/>
    <xf numFmtId="3" fontId="2" fillId="0" borderId="0" xfId="0" applyNumberFormat="1" applyFont="1"/>
    <xf numFmtId="5" fontId="3" fillId="0" borderId="2" xfId="0" applyNumberFormat="1" applyFont="1" applyBorder="1"/>
    <xf numFmtId="168" fontId="3" fillId="0" borderId="0" xfId="0" applyNumberFormat="1" applyFont="1"/>
    <xf numFmtId="10" fontId="3" fillId="0" borderId="0" xfId="2" applyNumberFormat="1" applyFont="1" applyFill="1" applyAlignment="1"/>
    <xf numFmtId="3" fontId="4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/>
    <xf numFmtId="169" fontId="0" fillId="0" borderId="0" xfId="4" applyNumberFormat="1" applyFont="1"/>
    <xf numFmtId="0" fontId="0" fillId="0" borderId="0" xfId="0" applyAlignment="1">
      <alignment horizontal="center"/>
    </xf>
    <xf numFmtId="0" fontId="0" fillId="2" borderId="0" xfId="0" applyFill="1"/>
    <xf numFmtId="165" fontId="5" fillId="0" borderId="0" xfId="2" applyNumberFormat="1" applyFont="1" applyFill="1"/>
  </cellXfs>
  <cellStyles count="5">
    <cellStyle name="Comma" xfId="1" builtinId="3"/>
    <cellStyle name="Currency" xfId="4" builtinId="4"/>
    <cellStyle name="Normal" xfId="0" builtinId="0"/>
    <cellStyle name="Normal 4" xfId="3" xr:uid="{19DF4636-F331-476F-AE0D-93B44DF45DB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KY\2021%20Sewer%20Rate%20Case\Capital%20Structure\Capital%20Structure%202021_WW_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Sch J"/>
      <sheetName val="Cap Struct WP1"/>
      <sheetName val="Retained Earnings"/>
      <sheetName val="Short Term Debt"/>
      <sheetName val="Debt Compendium"/>
      <sheetName val="Debt Balances "/>
      <sheetName val="Notes"/>
      <sheetName val="JDE TrBal"/>
      <sheetName val="JDE Inc Stmt"/>
      <sheetName val="JDE Bal Sht"/>
    </sheetNames>
    <sheetDataSet>
      <sheetData sheetId="0"/>
      <sheetData sheetId="1"/>
      <sheetData sheetId="2">
        <row r="11">
          <cell r="G11">
            <v>6.9599999999999995E-2</v>
          </cell>
          <cell r="AE11">
            <v>7000000</v>
          </cell>
        </row>
        <row r="12">
          <cell r="G12">
            <v>7.1499999999999994E-2</v>
          </cell>
          <cell r="AE12">
            <v>7500000</v>
          </cell>
        </row>
        <row r="13">
          <cell r="G13">
            <v>6.9900000000000004E-2</v>
          </cell>
          <cell r="AE13">
            <v>9000000</v>
          </cell>
        </row>
        <row r="14">
          <cell r="D14" t="str">
            <v xml:space="preserve">    Series 6.593%  Note</v>
          </cell>
          <cell r="E14">
            <v>39377</v>
          </cell>
          <cell r="F14">
            <v>50328</v>
          </cell>
          <cell r="G14">
            <v>6.5930000000000002E-2</v>
          </cell>
          <cell r="AE14">
            <v>47000000</v>
          </cell>
        </row>
        <row r="16">
          <cell r="D16" t="str">
            <v xml:space="preserve">    Series 2.45%    Note</v>
          </cell>
          <cell r="E16">
            <v>43783</v>
          </cell>
          <cell r="F16">
            <v>47392</v>
          </cell>
          <cell r="G16">
            <v>2.4500000000000001E-2</v>
          </cell>
          <cell r="AE16">
            <v>45390000</v>
          </cell>
        </row>
        <row r="18">
          <cell r="D18" t="str">
            <v xml:space="preserve">    Series 2.45%    Note</v>
          </cell>
          <cell r="E18">
            <v>43783</v>
          </cell>
          <cell r="F18">
            <v>47392</v>
          </cell>
          <cell r="G18">
            <v>2.4500000000000001E-2</v>
          </cell>
          <cell r="AE18">
            <v>26000000</v>
          </cell>
        </row>
        <row r="20">
          <cell r="D20" t="str">
            <v xml:space="preserve">    Series 0.70%    Note</v>
          </cell>
          <cell r="E20">
            <v>44082</v>
          </cell>
          <cell r="F20">
            <v>45170</v>
          </cell>
          <cell r="G20">
            <v>7.0000000000000001E-3</v>
          </cell>
          <cell r="AE20">
            <v>26000000</v>
          </cell>
        </row>
        <row r="21">
          <cell r="D21" t="str">
            <v xml:space="preserve">    Series 5.05%  Note</v>
          </cell>
          <cell r="E21">
            <v>40868</v>
          </cell>
          <cell r="F21">
            <v>50328</v>
          </cell>
          <cell r="G21">
            <v>5.0500000000000003E-2</v>
          </cell>
          <cell r="AE21">
            <v>20000000</v>
          </cell>
        </row>
        <row r="22">
          <cell r="D22" t="str">
            <v xml:space="preserve">    Series 4.00%    Note</v>
          </cell>
          <cell r="E22">
            <v>41409</v>
          </cell>
          <cell r="F22">
            <v>50328</v>
          </cell>
          <cell r="G22">
            <v>0.04</v>
          </cell>
          <cell r="AE22">
            <v>7859000</v>
          </cell>
        </row>
        <row r="23">
          <cell r="D23" t="str">
            <v xml:space="preserve">    Series 4.00%    Note</v>
          </cell>
          <cell r="E23">
            <v>42691</v>
          </cell>
          <cell r="F23">
            <v>53662</v>
          </cell>
          <cell r="G23">
            <v>0.04</v>
          </cell>
          <cell r="AE23">
            <v>5000000</v>
          </cell>
        </row>
        <row r="24">
          <cell r="D24" t="str">
            <v xml:space="preserve">    Series 3.75%    Note</v>
          </cell>
          <cell r="E24">
            <v>42991</v>
          </cell>
          <cell r="F24">
            <v>53936</v>
          </cell>
          <cell r="G24">
            <v>3.7499999999999999E-2</v>
          </cell>
          <cell r="AE24">
            <v>5000000</v>
          </cell>
        </row>
        <row r="25">
          <cell r="D25" t="str">
            <v xml:space="preserve">    Series 4.15%    Note</v>
          </cell>
          <cell r="E25">
            <v>43607</v>
          </cell>
          <cell r="F25">
            <v>54575</v>
          </cell>
          <cell r="G25">
            <v>4.1500000000000002E-2</v>
          </cell>
          <cell r="AE25">
            <v>16000000</v>
          </cell>
        </row>
        <row r="41">
          <cell r="D41" t="str">
            <v xml:space="preserve">    Series 6.96%   GMB</v>
          </cell>
          <cell r="E41">
            <v>34304</v>
          </cell>
          <cell r="F41">
            <v>45261</v>
          </cell>
          <cell r="AE41">
            <v>6690.4100000000017</v>
          </cell>
        </row>
        <row r="42">
          <cell r="D42" t="str">
            <v xml:space="preserve">    Series 7.15%   GMB</v>
          </cell>
          <cell r="E42">
            <v>35462</v>
          </cell>
          <cell r="F42">
            <v>46419</v>
          </cell>
          <cell r="AE42">
            <v>14770.260000000006</v>
          </cell>
        </row>
        <row r="43">
          <cell r="D43" t="str">
            <v xml:space="preserve">    Series 6.99%   GMB</v>
          </cell>
          <cell r="E43">
            <v>35947</v>
          </cell>
          <cell r="F43">
            <v>46905</v>
          </cell>
          <cell r="AE43">
            <v>24182.369999999988</v>
          </cell>
        </row>
        <row r="44">
          <cell r="AE44">
            <v>2724.03</v>
          </cell>
        </row>
        <row r="45">
          <cell r="AE45">
            <v>278656.56999999983</v>
          </cell>
        </row>
        <row r="47">
          <cell r="AE47">
            <v>515899.6399999999</v>
          </cell>
        </row>
        <row r="48">
          <cell r="AE48">
            <v>376038.90999999968</v>
          </cell>
        </row>
        <row r="49">
          <cell r="AE49">
            <v>7353.1500000000015</v>
          </cell>
        </row>
        <row r="51">
          <cell r="AE51">
            <v>318903.74999999988</v>
          </cell>
        </row>
        <row r="52">
          <cell r="AE52">
            <v>243152.24</v>
          </cell>
        </row>
        <row r="53">
          <cell r="AE53">
            <v>4211.550000000002</v>
          </cell>
        </row>
        <row r="55">
          <cell r="AE55">
            <v>412646.84</v>
          </cell>
        </row>
        <row r="56">
          <cell r="AE56">
            <v>211058.49000000005</v>
          </cell>
        </row>
        <row r="57">
          <cell r="AE57">
            <v>0</v>
          </cell>
        </row>
        <row r="58">
          <cell r="AE58">
            <v>0</v>
          </cell>
        </row>
        <row r="59">
          <cell r="AE59">
            <v>45317.950000000012</v>
          </cell>
        </row>
        <row r="60">
          <cell r="AE60">
            <v>46181.200000000026</v>
          </cell>
        </row>
        <row r="61">
          <cell r="AE61">
            <v>157829.65</v>
          </cell>
        </row>
        <row r="80">
          <cell r="AE80">
            <v>190.61</v>
          </cell>
        </row>
        <row r="81">
          <cell r="AE81">
            <v>202.06</v>
          </cell>
        </row>
        <row r="82">
          <cell r="AE82">
            <v>271.39999999999998</v>
          </cell>
        </row>
        <row r="83">
          <cell r="AE83">
            <v>77.73</v>
          </cell>
        </row>
        <row r="84">
          <cell r="AE84">
            <v>1382.46</v>
          </cell>
        </row>
        <row r="86">
          <cell r="AE86">
            <v>4911.7700000000004</v>
          </cell>
        </row>
        <row r="87">
          <cell r="AE87">
            <v>1701.53</v>
          </cell>
        </row>
        <row r="88">
          <cell r="AE88">
            <v>70.03</v>
          </cell>
        </row>
        <row r="90">
          <cell r="AE90">
            <v>3036.21</v>
          </cell>
        </row>
        <row r="91">
          <cell r="AE91">
            <v>1085.5</v>
          </cell>
        </row>
        <row r="92">
          <cell r="AE92">
            <v>40.11</v>
          </cell>
        </row>
        <row r="94">
          <cell r="AE94">
            <v>3435.9</v>
          </cell>
        </row>
        <row r="95">
          <cell r="AE95">
            <v>905.83</v>
          </cell>
        </row>
        <row r="96">
          <cell r="AE96">
            <v>0</v>
          </cell>
        </row>
        <row r="97">
          <cell r="AE97">
            <v>0</v>
          </cell>
        </row>
        <row r="98">
          <cell r="AE98">
            <v>145.66999999999999</v>
          </cell>
        </row>
        <row r="99">
          <cell r="AE99">
            <v>144.27000000000001</v>
          </cell>
        </row>
        <row r="100">
          <cell r="AE100">
            <v>462.75</v>
          </cell>
        </row>
        <row r="118">
          <cell r="AE118">
            <v>35848.849999999969</v>
          </cell>
        </row>
        <row r="119">
          <cell r="AE119">
            <v>13685.089999999987</v>
          </cell>
        </row>
        <row r="120">
          <cell r="AE120">
            <v>80257.549999999988</v>
          </cell>
        </row>
        <row r="186">
          <cell r="E186">
            <v>38322</v>
          </cell>
          <cell r="AE186">
            <v>2250000</v>
          </cell>
        </row>
        <row r="205">
          <cell r="AE205">
            <v>6148.2900000000063</v>
          </cell>
        </row>
        <row r="224">
          <cell r="AE224">
            <v>32.19</v>
          </cell>
        </row>
        <row r="266">
          <cell r="AE266">
            <v>235056857.32999998</v>
          </cell>
        </row>
        <row r="281">
          <cell r="AE281">
            <v>133907.64000000025</v>
          </cell>
        </row>
        <row r="284">
          <cell r="AE284">
            <v>2349.4499999999989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4A061-FC9B-4D87-92D5-CC13C803A20B}">
  <sheetPr>
    <tabColor rgb="FFFF0000"/>
    <pageSetUpPr autoPageBreaks="0"/>
  </sheetPr>
  <dimension ref="A1:BR156"/>
  <sheetViews>
    <sheetView tabSelected="1" zoomScaleNormal="100" zoomScaleSheetLayoutView="100" workbookViewId="0">
      <selection activeCell="K17" sqref="K17"/>
    </sheetView>
  </sheetViews>
  <sheetFormatPr defaultColWidth="16.6328125" defaultRowHeight="14" x14ac:dyDescent="0.3"/>
  <cols>
    <col min="1" max="1" width="4.6328125" style="3" customWidth="1"/>
    <col min="2" max="2" width="25.6328125" style="3" customWidth="1"/>
    <col min="3" max="3" width="16.90625" style="3" customWidth="1"/>
    <col min="4" max="5" width="15.6328125" style="3" customWidth="1"/>
    <col min="6" max="6" width="11.54296875" style="3" bestFit="1" customWidth="1"/>
    <col min="7" max="7" width="12.90625" style="3" bestFit="1" customWidth="1"/>
    <col min="8" max="9" width="13.08984375" style="3" customWidth="1"/>
    <col min="10" max="10" width="13" style="3" customWidth="1"/>
    <col min="11" max="11" width="13.54296875" style="3" bestFit="1" customWidth="1"/>
    <col min="12" max="12" width="13.6328125" style="3" bestFit="1" customWidth="1"/>
    <col min="13" max="14" width="12.90625" style="3" bestFit="1" customWidth="1"/>
    <col min="15" max="15" width="13.08984375" style="3" customWidth="1"/>
    <col min="16" max="16384" width="16.6328125" style="3"/>
  </cols>
  <sheetData>
    <row r="1" spans="1:15" ht="14.5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4.5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4.5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</row>
    <row r="4" spans="1:15" ht="14.5" x14ac:dyDescent="0.3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4.5" x14ac:dyDescent="0.35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4.5" x14ac:dyDescent="0.35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4.5" x14ac:dyDescent="0.35">
      <c r="A7" s="7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4.5" x14ac:dyDescent="0.3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4.5" x14ac:dyDescent="0.35">
      <c r="A9" s="8"/>
      <c r="B9" s="8"/>
      <c r="C9" s="8"/>
      <c r="D9" s="8"/>
      <c r="E9" s="8"/>
      <c r="F9" s="8"/>
      <c r="G9" s="10" t="s">
        <v>3</v>
      </c>
      <c r="H9" s="8"/>
      <c r="I9" s="8"/>
      <c r="J9" s="8"/>
      <c r="K9" s="8"/>
      <c r="L9" s="8"/>
      <c r="M9" s="8"/>
      <c r="N9" s="8"/>
      <c r="O9" s="8"/>
    </row>
    <row r="10" spans="1:15" ht="14.5" x14ac:dyDescent="0.35">
      <c r="A10" s="11" t="s">
        <v>4</v>
      </c>
      <c r="B10" s="2"/>
      <c r="C10" s="11" t="s">
        <v>5</v>
      </c>
      <c r="D10" s="2"/>
      <c r="E10" s="2"/>
      <c r="F10" s="2"/>
      <c r="G10" s="11" t="s">
        <v>6</v>
      </c>
      <c r="H10" s="2"/>
      <c r="I10" s="2"/>
      <c r="J10" s="11" t="s">
        <v>7</v>
      </c>
      <c r="K10" s="2"/>
      <c r="L10" s="11" t="s">
        <v>8</v>
      </c>
      <c r="M10" s="2"/>
      <c r="N10" s="2"/>
      <c r="O10" s="2"/>
    </row>
    <row r="11" spans="1:15" ht="15" thickBot="1" x14ac:dyDescent="0.4">
      <c r="A11" s="12" t="s">
        <v>9</v>
      </c>
      <c r="B11" s="13"/>
      <c r="C11" s="12" t="s">
        <v>10</v>
      </c>
      <c r="D11" s="13"/>
      <c r="E11" s="12"/>
      <c r="F11" s="13"/>
      <c r="G11" s="12" t="s">
        <v>11</v>
      </c>
      <c r="H11" s="12" t="s">
        <v>12</v>
      </c>
      <c r="I11" s="12" t="s">
        <v>13</v>
      </c>
      <c r="J11" s="12" t="s">
        <v>10</v>
      </c>
      <c r="K11" s="12" t="s">
        <v>14</v>
      </c>
      <c r="L11" s="12" t="s">
        <v>15</v>
      </c>
      <c r="M11" s="13"/>
      <c r="N11" s="2"/>
      <c r="O11" s="8"/>
    </row>
    <row r="12" spans="1:15" ht="14.5" x14ac:dyDescent="0.35">
      <c r="A12" s="10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4.5" x14ac:dyDescent="0.35">
      <c r="A13" s="10">
        <v>2</v>
      </c>
      <c r="B13" s="2"/>
      <c r="C13" s="8" t="s">
        <v>16</v>
      </c>
      <c r="D13" s="2"/>
      <c r="E13" s="10"/>
      <c r="F13" s="2"/>
      <c r="G13" s="14">
        <f>G41</f>
        <v>31195452.789999999</v>
      </c>
      <c r="H13" s="15">
        <f>ROUND(G13/$G$21,5)</f>
        <v>6.4000000000000001E-2</v>
      </c>
      <c r="I13" s="14">
        <f>ROUND(H13*$E$27,0)</f>
        <v>8720</v>
      </c>
      <c r="J13" s="14">
        <f>G13+I13</f>
        <v>31204172.789999999</v>
      </c>
      <c r="K13" s="15">
        <f>G44</f>
        <v>2.370713E-3</v>
      </c>
      <c r="L13" s="15">
        <f>ROUND(K13*H13,4)</f>
        <v>2.0000000000000001E-4</v>
      </c>
      <c r="M13" s="2"/>
      <c r="N13" s="2"/>
      <c r="O13" s="2"/>
    </row>
    <row r="14" spans="1:15" ht="14.5" x14ac:dyDescent="0.35">
      <c r="A14" s="10">
        <v>3</v>
      </c>
      <c r="B14" s="2"/>
      <c r="C14" s="2"/>
      <c r="D14" s="2"/>
      <c r="E14" s="2"/>
      <c r="F14" s="2"/>
      <c r="G14" s="2"/>
      <c r="H14" s="15"/>
      <c r="I14" s="2"/>
      <c r="J14" s="2"/>
      <c r="K14" s="15"/>
      <c r="L14" s="15"/>
      <c r="M14" s="2"/>
      <c r="N14" s="2"/>
      <c r="O14" s="2"/>
    </row>
    <row r="15" spans="1:15" ht="14.5" x14ac:dyDescent="0.35">
      <c r="A15" s="10">
        <v>4</v>
      </c>
      <c r="B15" s="2"/>
      <c r="C15" s="8" t="s">
        <v>17</v>
      </c>
      <c r="D15" s="2"/>
      <c r="E15" s="10"/>
      <c r="F15" s="2"/>
      <c r="G15" s="16">
        <f>O81</f>
        <v>218953591.50000003</v>
      </c>
      <c r="H15" s="15">
        <f>ROUND(G15/$G$21,5)</f>
        <v>0.44918000000000002</v>
      </c>
      <c r="I15" s="16">
        <f>ROUND(H15*$E$27,0)</f>
        <v>61204</v>
      </c>
      <c r="J15" s="16">
        <f>G15+I15</f>
        <v>219014795.50000003</v>
      </c>
      <c r="K15" s="15">
        <f>E84</f>
        <v>4.24E-2</v>
      </c>
      <c r="L15" s="15">
        <f>ROUND(K15*H15,4)</f>
        <v>1.9E-2</v>
      </c>
      <c r="M15" s="2"/>
      <c r="N15" s="2"/>
      <c r="O15" s="2"/>
    </row>
    <row r="16" spans="1:15" ht="14.5" x14ac:dyDescent="0.35">
      <c r="A16" s="10">
        <v>5</v>
      </c>
      <c r="B16" s="2"/>
      <c r="C16" s="2"/>
      <c r="D16" s="2"/>
      <c r="E16" s="2"/>
      <c r="F16" s="2"/>
      <c r="G16" s="2"/>
      <c r="H16" s="15"/>
      <c r="I16" s="2"/>
      <c r="J16" s="2"/>
      <c r="K16" s="15"/>
      <c r="L16" s="15"/>
      <c r="M16" s="2"/>
      <c r="N16" s="2"/>
      <c r="O16" s="2"/>
    </row>
    <row r="17" spans="1:70" ht="14.5" x14ac:dyDescent="0.35">
      <c r="A17" s="10">
        <v>6</v>
      </c>
      <c r="B17" s="2"/>
      <c r="C17" s="8" t="s">
        <v>18</v>
      </c>
      <c r="D17" s="2"/>
      <c r="E17" s="10"/>
      <c r="F17" s="2"/>
      <c r="G17" s="16">
        <f>J105</f>
        <v>2243851.71</v>
      </c>
      <c r="H17" s="15">
        <f>ROUND(G17/$G$21,5)</f>
        <v>4.5999999999999999E-3</v>
      </c>
      <c r="I17" s="16">
        <f>ROUND(H17*$E$27,0)</f>
        <v>627</v>
      </c>
      <c r="J17" s="16">
        <f>G17+I17</f>
        <v>2244478.71</v>
      </c>
      <c r="K17" s="15">
        <f>F108</f>
        <v>8.5099999999999995E-2</v>
      </c>
      <c r="L17" s="15">
        <f>ROUND(K17*H17,4)</f>
        <v>4.0000000000000002E-4</v>
      </c>
      <c r="M17" s="2"/>
      <c r="N17" s="2"/>
      <c r="O17" s="2"/>
    </row>
    <row r="18" spans="1:70" ht="14.5" x14ac:dyDescent="0.35">
      <c r="A18" s="10">
        <v>7</v>
      </c>
      <c r="B18" s="2"/>
      <c r="C18" s="2"/>
      <c r="D18" s="2"/>
      <c r="E18" s="2"/>
      <c r="F18" s="2"/>
      <c r="G18" s="2"/>
      <c r="H18" s="15"/>
      <c r="I18" s="2"/>
      <c r="J18" s="2"/>
      <c r="K18" s="15"/>
      <c r="L18" s="15"/>
      <c r="M18" s="2"/>
      <c r="N18" s="2"/>
      <c r="O18" s="2"/>
    </row>
    <row r="19" spans="1:70" ht="14.5" x14ac:dyDescent="0.35">
      <c r="A19" s="10">
        <v>8</v>
      </c>
      <c r="B19" s="2"/>
      <c r="C19" s="8" t="s">
        <v>19</v>
      </c>
      <c r="D19" s="2"/>
      <c r="E19" s="2"/>
      <c r="F19" s="2"/>
      <c r="G19" s="17">
        <f>'[1]Cap Struct WP1'!AE266</f>
        <v>235056857.32999998</v>
      </c>
      <c r="H19" s="18">
        <f>ROUND(G19/$G$21,5)</f>
        <v>0.48221999999999998</v>
      </c>
      <c r="I19" s="17">
        <f>E27-SUM(I13:I17)</f>
        <v>65706.090000000258</v>
      </c>
      <c r="J19" s="17">
        <f>G19+I19</f>
        <v>235122563.41999999</v>
      </c>
      <c r="K19" s="15"/>
      <c r="L19" s="18">
        <f>ROUND(K19*H19,4)</f>
        <v>0</v>
      </c>
      <c r="M19" s="2"/>
      <c r="N19" s="2"/>
      <c r="O19" s="2"/>
    </row>
    <row r="20" spans="1:70" ht="14.5" x14ac:dyDescent="0.35">
      <c r="A20" s="10">
        <v>9</v>
      </c>
      <c r="B20" s="2"/>
      <c r="C20" s="2"/>
      <c r="D20" s="2"/>
      <c r="E20" s="2"/>
      <c r="F20" s="2"/>
      <c r="G20" s="2"/>
      <c r="H20" s="15"/>
      <c r="I20" s="2"/>
      <c r="J20" s="2"/>
      <c r="K20" s="15"/>
      <c r="L20" s="15"/>
      <c r="M20" s="2"/>
      <c r="N20" s="2"/>
      <c r="O20" s="2"/>
    </row>
    <row r="21" spans="1:70" ht="15" thickBot="1" x14ac:dyDescent="0.4">
      <c r="A21" s="10">
        <v>10</v>
      </c>
      <c r="B21" s="2"/>
      <c r="C21" s="8" t="s">
        <v>20</v>
      </c>
      <c r="D21" s="2"/>
      <c r="E21" s="2"/>
      <c r="F21" s="2"/>
      <c r="G21" s="19">
        <f>SUM(G13:G19)</f>
        <v>487449753.33000004</v>
      </c>
      <c r="H21" s="20">
        <f>SUM(H13:H19)</f>
        <v>1</v>
      </c>
      <c r="I21" s="19">
        <f>SUM(I13:I19)</f>
        <v>136257.09000000026</v>
      </c>
      <c r="J21" s="19">
        <f>SUM(J13:J19)</f>
        <v>487586010.42000002</v>
      </c>
      <c r="K21" s="15"/>
      <c r="L21" s="20">
        <f>SUM(L13:L19)</f>
        <v>1.9599999999999999E-2</v>
      </c>
      <c r="M21" s="2"/>
      <c r="N21" s="2"/>
      <c r="O21" s="2"/>
      <c r="BQ21" s="3" t="e">
        <f>#REF!</f>
        <v>#REF!</v>
      </c>
      <c r="BR21" s="3" t="e">
        <f>BQ21-#REF!</f>
        <v>#REF!</v>
      </c>
    </row>
    <row r="22" spans="1:70" ht="15" thickTop="1" x14ac:dyDescent="0.35">
      <c r="A22" s="10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BQ22" s="3" t="e">
        <f>#REF!</f>
        <v>#REF!</v>
      </c>
      <c r="BR22" s="3" t="e">
        <f>BQ22-#REF!</f>
        <v>#REF!</v>
      </c>
    </row>
    <row r="23" spans="1:70" ht="14.5" x14ac:dyDescent="0.35">
      <c r="A23" s="10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BQ23" s="3" t="e">
        <f>#REF!</f>
        <v>#REF!</v>
      </c>
      <c r="BR23" s="3" t="e">
        <f>BQ23-#REF!</f>
        <v>#REF!</v>
      </c>
    </row>
    <row r="24" spans="1:70" ht="14.5" x14ac:dyDescent="0.35">
      <c r="A24" s="10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BQ24" s="3" t="e">
        <f>#REF!</f>
        <v>#REF!</v>
      </c>
      <c r="BR24" s="3" t="e">
        <f>BQ24-#REF!</f>
        <v>#REF!</v>
      </c>
    </row>
    <row r="25" spans="1:70" ht="14.5" x14ac:dyDescent="0.35">
      <c r="A25" s="10">
        <v>14</v>
      </c>
      <c r="B25" s="2"/>
      <c r="C25" s="2"/>
      <c r="D25" s="2"/>
      <c r="E25" s="2"/>
      <c r="F25" s="2"/>
      <c r="G25" s="2"/>
      <c r="H25" s="2"/>
      <c r="I25" s="2"/>
      <c r="J25" s="14"/>
      <c r="K25" s="2"/>
      <c r="L25" s="2"/>
      <c r="M25" s="2"/>
      <c r="N25" s="2"/>
      <c r="O25" s="2"/>
      <c r="BQ25" s="3" t="e">
        <f>#REF!</f>
        <v>#REF!</v>
      </c>
      <c r="BR25" s="3" t="e">
        <f>BQ25-#REF!</f>
        <v>#REF!</v>
      </c>
    </row>
    <row r="26" spans="1:70" ht="14.5" x14ac:dyDescent="0.35">
      <c r="A26" s="10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BQ26" s="3" t="e">
        <f>#REF!</f>
        <v>#REF!</v>
      </c>
      <c r="BR26" s="3" t="e">
        <f>BQ26-#REF!</f>
        <v>#REF!</v>
      </c>
    </row>
    <row r="27" spans="1:70" ht="15" thickBot="1" x14ac:dyDescent="0.4">
      <c r="A27" s="10">
        <v>16</v>
      </c>
      <c r="B27" s="2"/>
      <c r="C27" s="8" t="s">
        <v>21</v>
      </c>
      <c r="D27" s="2"/>
      <c r="E27" s="19">
        <f>'[1]Cap Struct WP1'!AE281+'[1]Cap Struct WP1'!AE284</f>
        <v>136257.09000000026</v>
      </c>
      <c r="F27" s="21"/>
      <c r="G27" s="22"/>
      <c r="H27" s="2"/>
      <c r="I27" s="2"/>
      <c r="J27" s="2"/>
      <c r="K27" s="2"/>
      <c r="L27" s="2"/>
      <c r="M27" s="2"/>
      <c r="N27" s="2"/>
      <c r="O27" s="2"/>
      <c r="BQ27" s="3" t="e">
        <f>#REF!</f>
        <v>#REF!</v>
      </c>
      <c r="BR27" s="3" t="e">
        <f>BQ27-#REF!</f>
        <v>#REF!</v>
      </c>
    </row>
    <row r="28" spans="1:70" ht="15" thickTop="1" x14ac:dyDescent="0.3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BQ28" s="3" t="e">
        <f>#REF!</f>
        <v>#REF!</v>
      </c>
      <c r="BR28" s="3" t="e">
        <f>BQ28-#REF!</f>
        <v>#REF!</v>
      </c>
    </row>
    <row r="29" spans="1:70" ht="14.5" x14ac:dyDescent="0.3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70" ht="14.5" x14ac:dyDescent="0.35">
      <c r="A30" s="5" t="str">
        <f>A4</f>
        <v>KENTUCKY-AMERICAN WATER COMPANY</v>
      </c>
      <c r="B30" s="6"/>
      <c r="C30" s="5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70" ht="14.5" x14ac:dyDescent="0.35">
      <c r="A31" s="5" t="str">
        <f>A5</f>
        <v>Case No. 2021-00434</v>
      </c>
      <c r="B31" s="6"/>
      <c r="C31" s="5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70" ht="14.5" x14ac:dyDescent="0.35">
      <c r="A32" s="5" t="s">
        <v>22</v>
      </c>
      <c r="B32" s="23"/>
      <c r="C32" s="5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4.5" x14ac:dyDescent="0.35">
      <c r="A33" s="5" t="str">
        <f>$A$7</f>
        <v>AS OF DECEMBER 31, 2020</v>
      </c>
      <c r="B33" s="23"/>
      <c r="C33" s="5"/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4.5" x14ac:dyDescent="0.35">
      <c r="A34" s="2"/>
      <c r="B34" s="23"/>
      <c r="C34" s="5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5" ht="14.5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4.5" x14ac:dyDescent="0.35">
      <c r="A36" s="11" t="s">
        <v>4</v>
      </c>
      <c r="B36" s="2"/>
      <c r="C36" s="2"/>
      <c r="D36" s="2"/>
      <c r="E36" s="2"/>
      <c r="F36" s="2"/>
      <c r="G36" s="11" t="s">
        <v>11</v>
      </c>
      <c r="H36" s="2"/>
      <c r="I36" s="11" t="s">
        <v>23</v>
      </c>
      <c r="J36" s="2"/>
      <c r="K36" s="11" t="s">
        <v>23</v>
      </c>
      <c r="L36" s="2"/>
      <c r="M36" s="8"/>
      <c r="N36" s="8"/>
      <c r="O36" s="8"/>
    </row>
    <row r="37" spans="1:15" ht="15" thickBot="1" x14ac:dyDescent="0.4">
      <c r="A37" s="12" t="s">
        <v>9</v>
      </c>
      <c r="B37" s="13"/>
      <c r="C37" s="12" t="s">
        <v>24</v>
      </c>
      <c r="D37" s="13"/>
      <c r="E37" s="12"/>
      <c r="F37" s="13"/>
      <c r="G37" s="12" t="s">
        <v>25</v>
      </c>
      <c r="H37" s="12"/>
      <c r="I37" s="12" t="s">
        <v>26</v>
      </c>
      <c r="J37" s="12"/>
      <c r="K37" s="12" t="s">
        <v>27</v>
      </c>
      <c r="L37" s="12"/>
      <c r="M37" s="8"/>
      <c r="N37" s="8"/>
      <c r="O37" s="8"/>
    </row>
    <row r="38" spans="1:15" ht="14.5" x14ac:dyDescent="0.35">
      <c r="A38" s="10">
        <v>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8"/>
      <c r="N38" s="8"/>
      <c r="O38" s="8"/>
    </row>
    <row r="39" spans="1:15" ht="14.5" x14ac:dyDescent="0.35">
      <c r="A39" s="10">
        <v>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8"/>
      <c r="N39" s="8"/>
      <c r="O39" s="8"/>
    </row>
    <row r="40" spans="1:15" ht="14.5" x14ac:dyDescent="0.35">
      <c r="A40" s="10">
        <v>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8"/>
    </row>
    <row r="41" spans="1:15" ht="15" thickBot="1" x14ac:dyDescent="0.4">
      <c r="A41" s="10">
        <v>4</v>
      </c>
      <c r="B41" s="2"/>
      <c r="C41" s="8" t="s">
        <v>28</v>
      </c>
      <c r="D41" s="8"/>
      <c r="E41" s="2"/>
      <c r="F41" s="2"/>
      <c r="G41" s="19">
        <v>31195452.789999999</v>
      </c>
      <c r="H41" s="2"/>
      <c r="I41" s="40">
        <f>-Sheet1!N71/100</f>
        <v>2.370713E-3</v>
      </c>
      <c r="J41" s="2"/>
      <c r="K41" s="19">
        <f>ROUND(I41*G41,0)</f>
        <v>73955</v>
      </c>
      <c r="L41" s="2"/>
      <c r="M41" s="2"/>
      <c r="N41" s="2"/>
      <c r="O41" s="2"/>
    </row>
    <row r="42" spans="1:15" ht="15" thickTop="1" x14ac:dyDescent="0.35">
      <c r="A42" s="10">
        <v>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4.5" x14ac:dyDescent="0.35">
      <c r="A43" s="10">
        <v>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thickBot="1" x14ac:dyDescent="0.4">
      <c r="A44" s="10">
        <v>7</v>
      </c>
      <c r="B44" s="2"/>
      <c r="C44" s="8" t="s">
        <v>29</v>
      </c>
      <c r="D44" s="8"/>
      <c r="E44" s="2"/>
      <c r="F44" s="2"/>
      <c r="G44" s="20">
        <f>I41</f>
        <v>2.370713E-3</v>
      </c>
      <c r="H44" s="2"/>
      <c r="I44" s="2"/>
      <c r="J44" s="2"/>
      <c r="K44" s="2"/>
      <c r="L44" s="2"/>
      <c r="M44" s="2"/>
      <c r="N44" s="2"/>
      <c r="O44" s="2"/>
    </row>
    <row r="45" spans="1:15" ht="15" thickTop="1" x14ac:dyDescent="0.3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4.5" x14ac:dyDescent="0.3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4.5" x14ac:dyDescent="0.3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5" ht="14.5" x14ac:dyDescent="0.35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6" ht="14.5" x14ac:dyDescent="0.35">
      <c r="A49" s="5" t="str">
        <f>A4</f>
        <v>KENTUCKY-AMERICAN WATER COMPANY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6" ht="14.5" x14ac:dyDescent="0.35">
      <c r="A50" s="5" t="str">
        <f>$A$5</f>
        <v>Case No. 2021-00434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6" ht="14.5" x14ac:dyDescent="0.35">
      <c r="A51" s="5" t="s">
        <v>30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6" ht="14.5" x14ac:dyDescent="0.35">
      <c r="A52" s="7" t="str">
        <f>$A$7</f>
        <v>AS OF DECEMBER 31, 2020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6" ht="14.5" x14ac:dyDescent="0.35">
      <c r="A53" s="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6" ht="14.5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6" ht="14.5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10" t="s">
        <v>31</v>
      </c>
      <c r="L55" s="10" t="s">
        <v>32</v>
      </c>
      <c r="M55" s="8"/>
      <c r="N55" s="8"/>
      <c r="O55" s="8"/>
    </row>
    <row r="56" spans="1:16" ht="14.5" x14ac:dyDescent="0.35">
      <c r="A56" s="2" t="s">
        <v>33</v>
      </c>
      <c r="B56" s="6" t="s">
        <v>34</v>
      </c>
      <c r="C56" s="11" t="s">
        <v>24</v>
      </c>
      <c r="D56" s="11" t="s">
        <v>35</v>
      </c>
      <c r="E56" s="11" t="s">
        <v>11</v>
      </c>
      <c r="F56" s="11" t="s">
        <v>14</v>
      </c>
      <c r="G56" s="11" t="s">
        <v>14</v>
      </c>
      <c r="H56" s="11" t="s">
        <v>36</v>
      </c>
      <c r="I56" s="11" t="s">
        <v>37</v>
      </c>
      <c r="J56" s="11" t="s">
        <v>38</v>
      </c>
      <c r="K56" s="11" t="s">
        <v>39</v>
      </c>
      <c r="L56" s="11" t="s">
        <v>40</v>
      </c>
      <c r="M56" s="11" t="s">
        <v>32</v>
      </c>
      <c r="N56" s="11" t="s">
        <v>32</v>
      </c>
      <c r="O56" s="11" t="s">
        <v>6</v>
      </c>
    </row>
    <row r="57" spans="1:16" ht="15" thickBot="1" x14ac:dyDescent="0.4">
      <c r="A57" s="12" t="s">
        <v>9</v>
      </c>
      <c r="B57" s="24" t="s">
        <v>41</v>
      </c>
      <c r="C57" s="12" t="s">
        <v>42</v>
      </c>
      <c r="D57" s="12" t="s">
        <v>42</v>
      </c>
      <c r="E57" s="12" t="s">
        <v>25</v>
      </c>
      <c r="F57" s="12" t="s">
        <v>43</v>
      </c>
      <c r="G57" s="12" t="s">
        <v>44</v>
      </c>
      <c r="H57" s="12" t="s">
        <v>43</v>
      </c>
      <c r="I57" s="12" t="s">
        <v>23</v>
      </c>
      <c r="J57" s="12" t="s">
        <v>11</v>
      </c>
      <c r="K57" s="12" t="s">
        <v>45</v>
      </c>
      <c r="L57" s="12" t="s">
        <v>46</v>
      </c>
      <c r="M57" s="12" t="s">
        <v>47</v>
      </c>
      <c r="N57" s="12" t="s">
        <v>48</v>
      </c>
      <c r="O57" s="12" t="s">
        <v>49</v>
      </c>
    </row>
    <row r="58" spans="1:16" ht="14.5" x14ac:dyDescent="0.35">
      <c r="A58" s="10">
        <v>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6" ht="14.5" x14ac:dyDescent="0.35">
      <c r="A59" s="10">
        <f>A58+1</f>
        <v>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6" ht="14.5" x14ac:dyDescent="0.35">
      <c r="A60" s="10">
        <f t="shared" ref="A60:A84" si="0">A59+1</f>
        <v>3</v>
      </c>
      <c r="B60" s="25" t="s">
        <v>50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 ht="14.5" x14ac:dyDescent="0.35">
      <c r="A61" s="10">
        <f t="shared" si="0"/>
        <v>4</v>
      </c>
      <c r="B61" s="9"/>
      <c r="C61" s="26"/>
      <c r="D61" s="26"/>
      <c r="E61" s="14"/>
      <c r="F61" s="15"/>
      <c r="G61" s="15"/>
      <c r="H61" s="10"/>
      <c r="I61" s="14"/>
      <c r="J61" s="14"/>
      <c r="K61" s="22"/>
      <c r="L61" s="14"/>
      <c r="M61" s="14"/>
      <c r="N61" s="14"/>
      <c r="O61" s="14"/>
    </row>
    <row r="62" spans="1:16" ht="14.5" x14ac:dyDescent="0.35">
      <c r="A62" s="10">
        <f t="shared" si="0"/>
        <v>5</v>
      </c>
      <c r="B62" s="9" t="str">
        <f>'[1]Cap Struct WP1'!D41</f>
        <v xml:space="preserve">    Series 6.96%   GMB</v>
      </c>
      <c r="C62" s="26">
        <f>'[1]Cap Struct WP1'!E41</f>
        <v>34304</v>
      </c>
      <c r="D62" s="26">
        <f>'[1]Cap Struct WP1'!F41</f>
        <v>45261</v>
      </c>
      <c r="E62" s="14">
        <f>'[1]Cap Struct WP1'!AE11</f>
        <v>7000000</v>
      </c>
      <c r="F62" s="15">
        <f>'[1]Cap Struct WP1'!G11</f>
        <v>6.9599999999999995E-2</v>
      </c>
      <c r="G62" s="15">
        <f>IF(E62=0,0,ROUND((E62*F62+K62)/E62,5))</f>
        <v>7.0059999999999997E-2</v>
      </c>
      <c r="H62" s="10" t="s">
        <v>51</v>
      </c>
      <c r="I62" s="14">
        <f>ROUND(G62*E62,0)</f>
        <v>490420</v>
      </c>
      <c r="J62" s="14">
        <f t="shared" ref="J62:J69" si="1">E62</f>
        <v>7000000</v>
      </c>
      <c r="K62" s="14">
        <f>SUM('[1]Cap Struct WP1'!AE80*12)+('[1]Cap Struct WP1'!AE83*12)</f>
        <v>3220.08</v>
      </c>
      <c r="L62" s="14">
        <v>0</v>
      </c>
      <c r="M62" s="14">
        <f>'[1]Cap Struct WP1'!AE41+'[1]Cap Struct WP1'!AE44</f>
        <v>9414.4400000000023</v>
      </c>
      <c r="N62" s="14">
        <v>0</v>
      </c>
      <c r="O62" s="14">
        <f>E62-L62-M62+N62</f>
        <v>6990585.5599999996</v>
      </c>
      <c r="P62" s="27"/>
    </row>
    <row r="63" spans="1:16" ht="14.5" x14ac:dyDescent="0.35">
      <c r="A63" s="10">
        <f t="shared" si="0"/>
        <v>6</v>
      </c>
      <c r="B63" s="9" t="str">
        <f>'[1]Cap Struct WP1'!D42</f>
        <v xml:space="preserve">    Series 7.15%   GMB</v>
      </c>
      <c r="C63" s="26">
        <f>'[1]Cap Struct WP1'!E42</f>
        <v>35462</v>
      </c>
      <c r="D63" s="26">
        <f>'[1]Cap Struct WP1'!F42</f>
        <v>46419</v>
      </c>
      <c r="E63" s="16">
        <f>'[1]Cap Struct WP1'!AE12</f>
        <v>7500000</v>
      </c>
      <c r="F63" s="15">
        <f>'[1]Cap Struct WP1'!G12</f>
        <v>7.1499999999999994E-2</v>
      </c>
      <c r="G63" s="15">
        <f t="shared" ref="G63:G69" si="2">IF(E63=0,0,ROUND((E63*F63+K63)/E63,5))</f>
        <v>7.1819999999999995E-2</v>
      </c>
      <c r="H63" s="10" t="s">
        <v>51</v>
      </c>
      <c r="I63" s="16">
        <f>ROUND(G63*E63,0)</f>
        <v>538650</v>
      </c>
      <c r="J63" s="16">
        <f t="shared" si="1"/>
        <v>7500000</v>
      </c>
      <c r="K63" s="14">
        <f>SUM('[1]Cap Struct WP1'!AE81*12)</f>
        <v>2424.7200000000003</v>
      </c>
      <c r="L63" s="16">
        <v>0</v>
      </c>
      <c r="M63" s="14">
        <f>'[1]Cap Struct WP1'!AE42</f>
        <v>14770.260000000006</v>
      </c>
      <c r="N63" s="16">
        <v>0</v>
      </c>
      <c r="O63" s="16">
        <f>E63-L63-M63+N63</f>
        <v>7485229.7400000002</v>
      </c>
      <c r="P63" s="27"/>
    </row>
    <row r="64" spans="1:16" ht="14.5" x14ac:dyDescent="0.35">
      <c r="A64" s="10">
        <f t="shared" si="0"/>
        <v>7</v>
      </c>
      <c r="B64" s="9" t="str">
        <f>'[1]Cap Struct WP1'!D43</f>
        <v xml:space="preserve">    Series 6.99%   GMB</v>
      </c>
      <c r="C64" s="26">
        <f>'[1]Cap Struct WP1'!E43</f>
        <v>35947</v>
      </c>
      <c r="D64" s="26">
        <f>'[1]Cap Struct WP1'!F43</f>
        <v>46905</v>
      </c>
      <c r="E64" s="16">
        <f>'[1]Cap Struct WP1'!AE13</f>
        <v>9000000</v>
      </c>
      <c r="F64" s="15">
        <f>'[1]Cap Struct WP1'!G13</f>
        <v>6.9900000000000004E-2</v>
      </c>
      <c r="G64" s="15">
        <f t="shared" si="2"/>
        <v>7.0260000000000003E-2</v>
      </c>
      <c r="H64" s="10" t="s">
        <v>51</v>
      </c>
      <c r="I64" s="16">
        <f t="shared" ref="I64:I69" si="3">ROUND(G64*E64,0)</f>
        <v>632340</v>
      </c>
      <c r="J64" s="16">
        <f t="shared" si="1"/>
        <v>9000000</v>
      </c>
      <c r="K64" s="14">
        <f>SUM('[1]Cap Struct WP1'!AE82*12)</f>
        <v>3256.7999999999997</v>
      </c>
      <c r="L64" s="16">
        <v>0</v>
      </c>
      <c r="M64" s="14">
        <f>'[1]Cap Struct WP1'!AE43</f>
        <v>24182.369999999988</v>
      </c>
      <c r="N64" s="16">
        <v>0</v>
      </c>
      <c r="O64" s="16">
        <f>E64-L64-M64+N64</f>
        <v>8975817.6300000008</v>
      </c>
      <c r="P64" s="27"/>
    </row>
    <row r="65" spans="1:16" ht="14.5" x14ac:dyDescent="0.35">
      <c r="A65" s="10">
        <f t="shared" si="0"/>
        <v>8</v>
      </c>
      <c r="B65" s="9"/>
      <c r="C65" s="26"/>
      <c r="D65" s="26"/>
      <c r="E65" s="16"/>
      <c r="F65" s="15"/>
      <c r="G65" s="15"/>
      <c r="H65" s="10"/>
      <c r="I65" s="16"/>
      <c r="J65" s="16"/>
      <c r="K65" s="16"/>
      <c r="L65" s="16"/>
      <c r="M65" s="16"/>
      <c r="N65" s="16"/>
      <c r="O65" s="16"/>
      <c r="P65" s="27"/>
    </row>
    <row r="66" spans="1:16" ht="14.5" x14ac:dyDescent="0.35">
      <c r="A66" s="10">
        <f t="shared" si="0"/>
        <v>9</v>
      </c>
      <c r="B66" s="25" t="s">
        <v>52</v>
      </c>
      <c r="C66" s="26"/>
      <c r="D66" s="26"/>
      <c r="E66" s="16"/>
      <c r="F66" s="15"/>
      <c r="G66" s="15"/>
      <c r="H66" s="10"/>
      <c r="I66" s="16"/>
      <c r="J66" s="16"/>
      <c r="K66" s="16"/>
      <c r="L66" s="16"/>
      <c r="M66" s="16"/>
      <c r="N66" s="16"/>
      <c r="O66" s="16"/>
      <c r="P66" s="27"/>
    </row>
    <row r="67" spans="1:16" ht="14.5" x14ac:dyDescent="0.35">
      <c r="A67" s="10">
        <f t="shared" si="0"/>
        <v>10</v>
      </c>
      <c r="B67" s="9"/>
      <c r="C67" s="26"/>
      <c r="D67" s="26"/>
      <c r="E67" s="16"/>
      <c r="F67" s="15"/>
      <c r="G67" s="15"/>
      <c r="H67" s="10"/>
      <c r="I67" s="16"/>
      <c r="J67" s="16"/>
      <c r="K67" s="16"/>
      <c r="L67" s="16"/>
      <c r="M67" s="16"/>
      <c r="N67" s="16"/>
      <c r="O67" s="16"/>
      <c r="P67" s="27"/>
    </row>
    <row r="68" spans="1:16" ht="14.5" x14ac:dyDescent="0.35">
      <c r="A68" s="10">
        <f t="shared" si="0"/>
        <v>11</v>
      </c>
      <c r="B68" s="9" t="str">
        <f>'[1]Cap Struct WP1'!D14</f>
        <v xml:space="preserve">    Series 6.593%  Note</v>
      </c>
      <c r="C68" s="26">
        <f>'[1]Cap Struct WP1'!E14</f>
        <v>39377</v>
      </c>
      <c r="D68" s="26">
        <f>'[1]Cap Struct WP1'!F14</f>
        <v>50328</v>
      </c>
      <c r="E68" s="16">
        <f>'[1]Cap Struct WP1'!AE14</f>
        <v>47000000</v>
      </c>
      <c r="F68" s="15">
        <f>'[1]Cap Struct WP1'!G14</f>
        <v>6.5930000000000002E-2</v>
      </c>
      <c r="G68" s="15">
        <f t="shared" si="2"/>
        <v>6.6280000000000006E-2</v>
      </c>
      <c r="H68" s="10" t="s">
        <v>51</v>
      </c>
      <c r="I68" s="16">
        <f t="shared" si="3"/>
        <v>3115160</v>
      </c>
      <c r="J68" s="16">
        <f t="shared" si="1"/>
        <v>47000000</v>
      </c>
      <c r="K68" s="16">
        <f>SUM('[1]Cap Struct WP1'!AE84*12)</f>
        <v>16589.52</v>
      </c>
      <c r="L68" s="16">
        <v>0</v>
      </c>
      <c r="M68" s="16">
        <f>'[1]Cap Struct WP1'!AE45</f>
        <v>278656.56999999983</v>
      </c>
      <c r="N68" s="16">
        <v>0</v>
      </c>
      <c r="O68" s="16">
        <f t="shared" ref="O68:O76" si="4">E68-L68-M68+N68</f>
        <v>46721343.43</v>
      </c>
      <c r="P68" s="27"/>
    </row>
    <row r="69" spans="1:16" ht="14.5" x14ac:dyDescent="0.35">
      <c r="A69" s="10">
        <f t="shared" si="0"/>
        <v>12</v>
      </c>
      <c r="B69" s="9" t="str">
        <f>'[1]Cap Struct WP1'!D16</f>
        <v xml:space="preserve">    Series 2.45%    Note</v>
      </c>
      <c r="C69" s="26">
        <f>'[1]Cap Struct WP1'!E16</f>
        <v>43783</v>
      </c>
      <c r="D69" s="26">
        <f>'[1]Cap Struct WP1'!F16</f>
        <v>47392</v>
      </c>
      <c r="E69" s="16">
        <f>'[1]Cap Struct WP1'!AE16</f>
        <v>45390000</v>
      </c>
      <c r="F69" s="15">
        <f>'[1]Cap Struct WP1'!G16</f>
        <v>2.4500000000000001E-2</v>
      </c>
      <c r="G69" s="15">
        <f t="shared" si="2"/>
        <v>2.6270000000000002E-2</v>
      </c>
      <c r="H69" s="10" t="s">
        <v>51</v>
      </c>
      <c r="I69" s="16">
        <f t="shared" si="3"/>
        <v>1192395</v>
      </c>
      <c r="J69" s="16">
        <f t="shared" si="1"/>
        <v>45390000</v>
      </c>
      <c r="K69" s="16">
        <f>SUM('[1]Cap Struct WP1'!AE86*12)+('[1]Cap Struct WP1'!AE87*12)+('[1]Cap Struct WP1'!AE88*12)</f>
        <v>80199.960000000006</v>
      </c>
      <c r="L69" s="16">
        <v>0</v>
      </c>
      <c r="M69" s="16">
        <f>'[1]Cap Struct WP1'!AE47+'[1]Cap Struct WP1'!AE48+'[1]Cap Struct WP1'!AE49</f>
        <v>899291.6999999996</v>
      </c>
      <c r="N69" s="16">
        <v>0</v>
      </c>
      <c r="O69" s="16">
        <f t="shared" si="4"/>
        <v>44490708.299999997</v>
      </c>
      <c r="P69" s="27"/>
    </row>
    <row r="70" spans="1:16" ht="14.5" x14ac:dyDescent="0.35">
      <c r="A70" s="10">
        <f t="shared" si="0"/>
        <v>13</v>
      </c>
      <c r="B70" s="9" t="str">
        <f>'[1]Cap Struct WP1'!D18</f>
        <v xml:space="preserve">    Series 2.45%    Note</v>
      </c>
      <c r="C70" s="26">
        <f>'[1]Cap Struct WP1'!E18</f>
        <v>43783</v>
      </c>
      <c r="D70" s="26">
        <f>'[1]Cap Struct WP1'!F18</f>
        <v>47392</v>
      </c>
      <c r="E70" s="16">
        <f>'[1]Cap Struct WP1'!AE18</f>
        <v>26000000</v>
      </c>
      <c r="F70" s="15">
        <f>'[1]Cap Struct WP1'!G18</f>
        <v>2.4500000000000001E-2</v>
      </c>
      <c r="G70" s="15">
        <f>IF(E70=0,0,ROUND((E70*F70+K70)/E70,5))</f>
        <v>2.6419999999999999E-2</v>
      </c>
      <c r="H70" s="10" t="s">
        <v>51</v>
      </c>
      <c r="I70" s="16">
        <f>ROUND(G70*E70,0)</f>
        <v>686920</v>
      </c>
      <c r="J70" s="16">
        <f t="shared" ref="J70:J76" si="5">E70</f>
        <v>26000000</v>
      </c>
      <c r="K70" s="16">
        <f>SUM('[1]Cap Struct WP1'!AE90*12)+('[1]Cap Struct WP1'!AE91*12)+('[1]Cap Struct WP1'!AE92*12)</f>
        <v>49941.840000000004</v>
      </c>
      <c r="L70" s="16">
        <v>0</v>
      </c>
      <c r="M70" s="16">
        <f>'[1]Cap Struct WP1'!AE51+'[1]Cap Struct WP1'!AE52+'[1]Cap Struct WP1'!AE53</f>
        <v>566267.53999999992</v>
      </c>
      <c r="N70" s="16">
        <v>0</v>
      </c>
      <c r="O70" s="16">
        <f t="shared" si="4"/>
        <v>25433732.460000001</v>
      </c>
      <c r="P70" s="27"/>
    </row>
    <row r="71" spans="1:16" ht="14.5" x14ac:dyDescent="0.35">
      <c r="A71" s="10">
        <f t="shared" si="0"/>
        <v>14</v>
      </c>
      <c r="B71" s="9" t="str">
        <f>'[1]Cap Struct WP1'!D20</f>
        <v xml:space="preserve">    Series 0.70%    Note</v>
      </c>
      <c r="C71" s="26">
        <f>'[1]Cap Struct WP1'!E20</f>
        <v>44082</v>
      </c>
      <c r="D71" s="26">
        <f>'[1]Cap Struct WP1'!F20</f>
        <v>45170</v>
      </c>
      <c r="E71" s="16">
        <f>'[1]Cap Struct WP1'!AE20</f>
        <v>26000000</v>
      </c>
      <c r="F71" s="15">
        <f>'[1]Cap Struct WP1'!G20</f>
        <v>7.0000000000000001E-3</v>
      </c>
      <c r="G71" s="15">
        <f t="shared" ref="G71:G76" si="6">IF(E71=0,0,ROUND((E71*F71+K71)/E71,5))</f>
        <v>8.9999999999999993E-3</v>
      </c>
      <c r="H71" s="10" t="s">
        <v>51</v>
      </c>
      <c r="I71" s="16">
        <f t="shared" ref="I71:I76" si="7">ROUND(G71*E71,0)</f>
        <v>234000</v>
      </c>
      <c r="J71" s="16">
        <f t="shared" si="5"/>
        <v>26000000</v>
      </c>
      <c r="K71" s="16">
        <f>SUM('[1]Cap Struct WP1'!AE94*12)+('[1]Cap Struct WP1'!AE95*12)</f>
        <v>52100.76</v>
      </c>
      <c r="L71" s="16">
        <v>0</v>
      </c>
      <c r="M71" s="16">
        <f>'[1]Cap Struct WP1'!AE55+'[1]Cap Struct WP1'!AE56</f>
        <v>623705.33000000007</v>
      </c>
      <c r="N71" s="16">
        <v>0</v>
      </c>
      <c r="O71" s="16">
        <f t="shared" si="4"/>
        <v>25376294.670000002</v>
      </c>
      <c r="P71" s="27"/>
    </row>
    <row r="72" spans="1:16" ht="14.5" x14ac:dyDescent="0.35">
      <c r="A72" s="10">
        <f t="shared" si="0"/>
        <v>15</v>
      </c>
      <c r="B72" s="9" t="str">
        <f>'[1]Cap Struct WP1'!D21</f>
        <v xml:space="preserve">    Series 5.05%  Note</v>
      </c>
      <c r="C72" s="26">
        <f>'[1]Cap Struct WP1'!E21</f>
        <v>40868</v>
      </c>
      <c r="D72" s="26">
        <f>'[1]Cap Struct WP1'!F21</f>
        <v>50328</v>
      </c>
      <c r="E72" s="16">
        <f>'[1]Cap Struct WP1'!AE21</f>
        <v>20000000</v>
      </c>
      <c r="F72" s="15">
        <f>'[1]Cap Struct WP1'!G21</f>
        <v>5.0500000000000003E-2</v>
      </c>
      <c r="G72" s="15">
        <f t="shared" si="6"/>
        <v>5.0500000000000003E-2</v>
      </c>
      <c r="H72" s="10" t="s">
        <v>51</v>
      </c>
      <c r="I72" s="16">
        <f t="shared" si="7"/>
        <v>1010000</v>
      </c>
      <c r="J72" s="16">
        <f t="shared" si="5"/>
        <v>20000000</v>
      </c>
      <c r="K72" s="16">
        <f>SUM('[1]Cap Struct WP1'!AE96*12)</f>
        <v>0</v>
      </c>
      <c r="L72" s="16">
        <v>0</v>
      </c>
      <c r="M72" s="16">
        <f>'[1]Cap Struct WP1'!AE57</f>
        <v>0</v>
      </c>
      <c r="N72" s="16">
        <v>0</v>
      </c>
      <c r="O72" s="16">
        <f t="shared" si="4"/>
        <v>20000000</v>
      </c>
      <c r="P72" s="27"/>
    </row>
    <row r="73" spans="1:16" ht="14.5" x14ac:dyDescent="0.35">
      <c r="A73" s="10">
        <f t="shared" si="0"/>
        <v>16</v>
      </c>
      <c r="B73" s="9" t="str">
        <f>'[1]Cap Struct WP1'!D22</f>
        <v xml:space="preserve">    Series 4.00%    Note</v>
      </c>
      <c r="C73" s="26">
        <f>'[1]Cap Struct WP1'!E22</f>
        <v>41409</v>
      </c>
      <c r="D73" s="26">
        <f>'[1]Cap Struct WP1'!F22</f>
        <v>50328</v>
      </c>
      <c r="E73" s="16">
        <f>'[1]Cap Struct WP1'!AE22</f>
        <v>7859000</v>
      </c>
      <c r="F73" s="15">
        <f>'[1]Cap Struct WP1'!G22</f>
        <v>0.04</v>
      </c>
      <c r="G73" s="15">
        <f t="shared" si="6"/>
        <v>0.04</v>
      </c>
      <c r="H73" s="10" t="s">
        <v>51</v>
      </c>
      <c r="I73" s="16">
        <f t="shared" si="7"/>
        <v>314360</v>
      </c>
      <c r="J73" s="16">
        <f t="shared" si="5"/>
        <v>7859000</v>
      </c>
      <c r="K73" s="16">
        <f>SUM('[1]Cap Struct WP1'!AE97*12)</f>
        <v>0</v>
      </c>
      <c r="L73" s="16">
        <v>0</v>
      </c>
      <c r="M73" s="16">
        <f>'[1]Cap Struct WP1'!AE58</f>
        <v>0</v>
      </c>
      <c r="N73" s="16">
        <v>0</v>
      </c>
      <c r="O73" s="16">
        <f t="shared" si="4"/>
        <v>7859000</v>
      </c>
      <c r="P73" s="27"/>
    </row>
    <row r="74" spans="1:16" ht="14.5" x14ac:dyDescent="0.35">
      <c r="A74" s="10">
        <f t="shared" si="0"/>
        <v>17</v>
      </c>
      <c r="B74" s="9" t="str">
        <f>'[1]Cap Struct WP1'!D23</f>
        <v xml:space="preserve">    Series 4.00%    Note</v>
      </c>
      <c r="C74" s="26">
        <f>'[1]Cap Struct WP1'!E23</f>
        <v>42691</v>
      </c>
      <c r="D74" s="26">
        <f>'[1]Cap Struct WP1'!F23</f>
        <v>53662</v>
      </c>
      <c r="E74" s="16">
        <f>'[1]Cap Struct WP1'!AE23</f>
        <v>5000000</v>
      </c>
      <c r="F74" s="15">
        <f>'[1]Cap Struct WP1'!G23</f>
        <v>0.04</v>
      </c>
      <c r="G74" s="15">
        <f t="shared" si="6"/>
        <v>4.0349999999999997E-2</v>
      </c>
      <c r="H74" s="10" t="s">
        <v>51</v>
      </c>
      <c r="I74" s="16">
        <f t="shared" si="7"/>
        <v>201750</v>
      </c>
      <c r="J74" s="16">
        <f t="shared" si="5"/>
        <v>5000000</v>
      </c>
      <c r="K74" s="16">
        <f>SUM('[1]Cap Struct WP1'!AE98*12)</f>
        <v>1748.04</v>
      </c>
      <c r="L74" s="16">
        <f>'[1]Cap Struct WP1'!AE118</f>
        <v>35848.849999999969</v>
      </c>
      <c r="M74" s="16">
        <f>'[1]Cap Struct WP1'!AE59</f>
        <v>45317.950000000012</v>
      </c>
      <c r="N74" s="16">
        <v>0</v>
      </c>
      <c r="O74" s="16">
        <f t="shared" si="4"/>
        <v>4918833.2</v>
      </c>
      <c r="P74" s="27"/>
    </row>
    <row r="75" spans="1:16" ht="14.5" x14ac:dyDescent="0.35">
      <c r="A75" s="10">
        <f t="shared" si="0"/>
        <v>18</v>
      </c>
      <c r="B75" s="9" t="str">
        <f>'[1]Cap Struct WP1'!D24</f>
        <v xml:space="preserve">    Series 3.75%    Note</v>
      </c>
      <c r="C75" s="26">
        <f>'[1]Cap Struct WP1'!E24</f>
        <v>42991</v>
      </c>
      <c r="D75" s="26">
        <f>'[1]Cap Struct WP1'!F24</f>
        <v>53936</v>
      </c>
      <c r="E75" s="16">
        <f>'[1]Cap Struct WP1'!AE24</f>
        <v>5000000</v>
      </c>
      <c r="F75" s="15">
        <f>'[1]Cap Struct WP1'!G24</f>
        <v>3.7499999999999999E-2</v>
      </c>
      <c r="G75" s="15">
        <f t="shared" si="6"/>
        <v>3.7850000000000002E-2</v>
      </c>
      <c r="H75" s="10" t="s">
        <v>51</v>
      </c>
      <c r="I75" s="16">
        <f t="shared" si="7"/>
        <v>189250</v>
      </c>
      <c r="J75" s="16">
        <f t="shared" si="5"/>
        <v>5000000</v>
      </c>
      <c r="K75" s="16">
        <f>SUM('[1]Cap Struct WP1'!AE99*12)</f>
        <v>1731.2400000000002</v>
      </c>
      <c r="L75" s="16">
        <f>'[1]Cap Struct WP1'!AE119</f>
        <v>13685.089999999987</v>
      </c>
      <c r="M75" s="16">
        <f>'[1]Cap Struct WP1'!AE60</f>
        <v>46181.200000000026</v>
      </c>
      <c r="N75" s="16">
        <v>0</v>
      </c>
      <c r="O75" s="16">
        <f t="shared" si="4"/>
        <v>4940133.71</v>
      </c>
      <c r="P75" s="27"/>
    </row>
    <row r="76" spans="1:16" ht="14.5" x14ac:dyDescent="0.35">
      <c r="A76" s="10">
        <f t="shared" si="0"/>
        <v>19</v>
      </c>
      <c r="B76" s="9" t="str">
        <f>'[1]Cap Struct WP1'!D25</f>
        <v xml:space="preserve">    Series 4.15%    Note</v>
      </c>
      <c r="C76" s="26">
        <f>'[1]Cap Struct WP1'!E25</f>
        <v>43607</v>
      </c>
      <c r="D76" s="26">
        <f>'[1]Cap Struct WP1'!F25</f>
        <v>54575</v>
      </c>
      <c r="E76" s="16">
        <f>'[1]Cap Struct WP1'!AE25</f>
        <v>16000000</v>
      </c>
      <c r="F76" s="15">
        <f>'[1]Cap Struct WP1'!G25</f>
        <v>4.1500000000000002E-2</v>
      </c>
      <c r="G76" s="15">
        <f t="shared" si="6"/>
        <v>4.1849999999999998E-2</v>
      </c>
      <c r="H76" s="10" t="s">
        <v>51</v>
      </c>
      <c r="I76" s="16">
        <f t="shared" si="7"/>
        <v>669600</v>
      </c>
      <c r="J76" s="16">
        <f t="shared" si="5"/>
        <v>16000000</v>
      </c>
      <c r="K76" s="16">
        <f>SUM('[1]Cap Struct WP1'!AE100*12)</f>
        <v>5553</v>
      </c>
      <c r="L76" s="16">
        <f>'[1]Cap Struct WP1'!AE120</f>
        <v>80257.549999999988</v>
      </c>
      <c r="M76" s="16">
        <f>'[1]Cap Struct WP1'!AE61</f>
        <v>157829.65</v>
      </c>
      <c r="N76" s="16">
        <v>0</v>
      </c>
      <c r="O76" s="16">
        <f t="shared" si="4"/>
        <v>15761912.799999999</v>
      </c>
      <c r="P76" s="27"/>
    </row>
    <row r="77" spans="1:16" ht="14.5" x14ac:dyDescent="0.35">
      <c r="A77" s="10">
        <f t="shared" si="0"/>
        <v>20</v>
      </c>
      <c r="B77" s="9"/>
      <c r="C77" s="26"/>
      <c r="D77" s="26"/>
      <c r="E77" s="16"/>
      <c r="F77" s="15"/>
      <c r="G77" s="15"/>
      <c r="H77" s="10"/>
      <c r="I77" s="16"/>
      <c r="J77" s="16"/>
      <c r="K77" s="16"/>
      <c r="L77" s="16"/>
      <c r="M77" s="16"/>
      <c r="N77" s="16"/>
      <c r="O77" s="16"/>
      <c r="P77" s="28"/>
    </row>
    <row r="78" spans="1:16" ht="14.5" x14ac:dyDescent="0.35">
      <c r="A78" s="10">
        <f t="shared" si="0"/>
        <v>21</v>
      </c>
      <c r="B78" s="9"/>
      <c r="C78" s="26"/>
      <c r="D78" s="26"/>
      <c r="E78" s="16"/>
      <c r="F78" s="15"/>
      <c r="G78" s="15"/>
      <c r="H78" s="10"/>
      <c r="I78" s="16"/>
      <c r="J78" s="16"/>
      <c r="K78" s="16"/>
      <c r="L78" s="16"/>
      <c r="M78" s="16"/>
      <c r="N78" s="16"/>
      <c r="O78" s="16"/>
      <c r="P78" s="28"/>
    </row>
    <row r="79" spans="1:16" ht="14.5" x14ac:dyDescent="0.35">
      <c r="A79" s="10">
        <f t="shared" si="0"/>
        <v>22</v>
      </c>
      <c r="B79" s="2"/>
      <c r="C79" s="2"/>
      <c r="D79" s="2"/>
      <c r="E79" s="17"/>
      <c r="F79" s="15"/>
      <c r="G79" s="15"/>
      <c r="H79" s="10"/>
      <c r="I79" s="17"/>
      <c r="J79" s="17"/>
      <c r="K79" s="17"/>
      <c r="L79" s="17"/>
      <c r="M79" s="17"/>
      <c r="N79" s="17"/>
      <c r="O79" s="17"/>
    </row>
    <row r="80" spans="1:16" ht="14.5" x14ac:dyDescent="0.35">
      <c r="A80" s="10">
        <f t="shared" si="0"/>
        <v>23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6" ht="15" thickBot="1" x14ac:dyDescent="0.4">
      <c r="A81" s="10">
        <f t="shared" si="0"/>
        <v>24</v>
      </c>
      <c r="B81" s="6" t="s">
        <v>53</v>
      </c>
      <c r="C81" s="6"/>
      <c r="D81" s="6"/>
      <c r="E81" s="19">
        <f>SUM(E61:E79)</f>
        <v>221749000</v>
      </c>
      <c r="F81" s="2"/>
      <c r="G81" s="2"/>
      <c r="H81" s="2"/>
      <c r="I81" s="19">
        <f t="shared" ref="I81:O81" si="8">SUM(I61:I79)</f>
        <v>9274845</v>
      </c>
      <c r="J81" s="19">
        <f t="shared" si="8"/>
        <v>221749000</v>
      </c>
      <c r="K81" s="19">
        <f t="shared" si="8"/>
        <v>216765.96000000002</v>
      </c>
      <c r="L81" s="19">
        <f t="shared" si="8"/>
        <v>129791.48999999995</v>
      </c>
      <c r="M81" s="19">
        <f t="shared" si="8"/>
        <v>2665617.0099999998</v>
      </c>
      <c r="N81" s="19">
        <f t="shared" si="8"/>
        <v>0</v>
      </c>
      <c r="O81" s="19">
        <f t="shared" si="8"/>
        <v>218953591.50000003</v>
      </c>
      <c r="P81" s="28"/>
    </row>
    <row r="82" spans="1:16" ht="15" thickTop="1" x14ac:dyDescent="0.35">
      <c r="A82" s="10">
        <f t="shared" si="0"/>
        <v>25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6" ht="14.5" x14ac:dyDescent="0.35">
      <c r="A83" s="10">
        <f t="shared" si="0"/>
        <v>26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6" ht="15" thickBot="1" x14ac:dyDescent="0.4">
      <c r="A84" s="10">
        <f t="shared" si="0"/>
        <v>27</v>
      </c>
      <c r="B84" s="2"/>
      <c r="C84" s="29" t="s">
        <v>54</v>
      </c>
      <c r="D84" s="2"/>
      <c r="E84" s="20">
        <f>ROUND(I81/O81,4)</f>
        <v>4.24E-2</v>
      </c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6" ht="15" thickTop="1" x14ac:dyDescent="0.35">
      <c r="A85" s="1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6" ht="14.5" x14ac:dyDescent="0.3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6" ht="14.5" x14ac:dyDescent="0.35">
      <c r="A87" s="5" t="str">
        <f>A4</f>
        <v>KENTUCKY-AMERICAN WATER COMPANY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6" ht="14.5" x14ac:dyDescent="0.35">
      <c r="A88" s="5" t="str">
        <f>$A$5</f>
        <v>Case No. 2021-00434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6" ht="14.5" x14ac:dyDescent="0.35">
      <c r="A89" s="5" t="s">
        <v>55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6" ht="14.5" x14ac:dyDescent="0.35">
      <c r="A90" s="7" t="str">
        <f>$A$7</f>
        <v>AS OF DECEMBER 31, 2020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6" ht="14.5" x14ac:dyDescent="0.3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6" ht="14.5" x14ac:dyDescent="0.35">
      <c r="A92" s="3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6" ht="14.5" x14ac:dyDescent="0.35">
      <c r="A93" s="2"/>
      <c r="B93" s="8"/>
      <c r="C93" s="8"/>
      <c r="D93" s="8"/>
      <c r="E93" s="8"/>
      <c r="F93" s="8"/>
      <c r="G93" s="8"/>
      <c r="H93" s="10" t="s">
        <v>32</v>
      </c>
      <c r="I93" s="10" t="s">
        <v>56</v>
      </c>
      <c r="J93" s="8"/>
      <c r="K93" s="10" t="s">
        <v>31</v>
      </c>
      <c r="L93" s="8"/>
      <c r="M93" s="8"/>
      <c r="N93" s="8"/>
      <c r="O93" s="8"/>
    </row>
    <row r="94" spans="1:16" ht="14.5" x14ac:dyDescent="0.35">
      <c r="A94" s="10" t="s">
        <v>4</v>
      </c>
      <c r="B94" s="2"/>
      <c r="C94" s="6" t="s">
        <v>57</v>
      </c>
      <c r="D94" s="2"/>
      <c r="E94" s="2"/>
      <c r="F94" s="11" t="s">
        <v>11</v>
      </c>
      <c r="G94" s="11" t="s">
        <v>58</v>
      </c>
      <c r="H94" s="11" t="s">
        <v>24</v>
      </c>
      <c r="I94" s="11" t="s">
        <v>59</v>
      </c>
      <c r="J94" s="11" t="s">
        <v>3</v>
      </c>
      <c r="K94" s="11" t="s">
        <v>39</v>
      </c>
      <c r="L94" s="11" t="s">
        <v>14</v>
      </c>
      <c r="M94" s="11" t="s">
        <v>14</v>
      </c>
      <c r="N94" s="11" t="s">
        <v>37</v>
      </c>
      <c r="O94" s="2"/>
    </row>
    <row r="95" spans="1:16" ht="15" thickBot="1" x14ac:dyDescent="0.4">
      <c r="A95" s="12" t="s">
        <v>9</v>
      </c>
      <c r="B95" s="24"/>
      <c r="C95" s="12" t="s">
        <v>60</v>
      </c>
      <c r="D95" s="12"/>
      <c r="E95" s="12" t="s">
        <v>61</v>
      </c>
      <c r="F95" s="12" t="s">
        <v>25</v>
      </c>
      <c r="G95" s="12" t="s">
        <v>62</v>
      </c>
      <c r="H95" s="12" t="s">
        <v>45</v>
      </c>
      <c r="I95" s="12" t="s">
        <v>63</v>
      </c>
      <c r="J95" s="12" t="s">
        <v>64</v>
      </c>
      <c r="K95" s="12" t="s">
        <v>45</v>
      </c>
      <c r="L95" s="12" t="s">
        <v>43</v>
      </c>
      <c r="M95" s="12" t="s">
        <v>44</v>
      </c>
      <c r="N95" s="12" t="s">
        <v>65</v>
      </c>
      <c r="O95" s="8"/>
    </row>
    <row r="96" spans="1:16" ht="14.5" x14ac:dyDescent="0.35">
      <c r="A96" s="10">
        <v>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8"/>
    </row>
    <row r="97" spans="1:15" ht="14.5" x14ac:dyDescent="0.35">
      <c r="A97" s="10">
        <v>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4.5" x14ac:dyDescent="0.35">
      <c r="A98" s="10">
        <v>3</v>
      </c>
      <c r="B98" s="2"/>
      <c r="C98" s="8"/>
      <c r="D98" s="2"/>
      <c r="E98" s="26"/>
      <c r="F98" s="14"/>
      <c r="G98" s="14"/>
      <c r="H98" s="14"/>
      <c r="I98" s="14"/>
      <c r="J98" s="14"/>
      <c r="K98" s="14"/>
      <c r="L98" s="15"/>
      <c r="M98" s="15"/>
      <c r="N98" s="14"/>
      <c r="O98" s="2"/>
    </row>
    <row r="99" spans="1:15" ht="14.5" x14ac:dyDescent="0.35">
      <c r="A99" s="10">
        <v>4</v>
      </c>
      <c r="B99" s="2"/>
      <c r="C99" s="2"/>
      <c r="D99" s="2"/>
      <c r="E99" s="11"/>
      <c r="F99" s="2"/>
      <c r="G99" s="2"/>
      <c r="H99" s="2"/>
      <c r="I99" s="2"/>
      <c r="J99" s="2"/>
      <c r="K99" s="2"/>
      <c r="L99" s="15"/>
      <c r="M99" s="15"/>
      <c r="N99" s="2"/>
      <c r="O99" s="2"/>
    </row>
    <row r="100" spans="1:15" ht="14.5" x14ac:dyDescent="0.35">
      <c r="A100" s="10">
        <v>5</v>
      </c>
      <c r="B100" s="2"/>
      <c r="C100" s="8" t="s">
        <v>66</v>
      </c>
      <c r="D100" s="2"/>
      <c r="E100" s="26">
        <f>'[1]Cap Struct WP1'!E186</f>
        <v>38322</v>
      </c>
      <c r="F100" s="31">
        <f>'[1]Cap Struct WP1'!AE186</f>
        <v>2250000</v>
      </c>
      <c r="G100" s="31">
        <v>0</v>
      </c>
      <c r="H100" s="31">
        <f>'[1]Cap Struct WP1'!AE205</f>
        <v>6148.2900000000063</v>
      </c>
      <c r="I100" s="31">
        <v>0</v>
      </c>
      <c r="J100" s="31">
        <f>F100+G100-H100+I100</f>
        <v>2243851.71</v>
      </c>
      <c r="K100" s="31">
        <f>SUM('[1]Cap Struct WP1'!AE224*12)</f>
        <v>386.28</v>
      </c>
      <c r="L100" s="15">
        <v>8.4699999999999998E-2</v>
      </c>
      <c r="M100" s="15">
        <f>ROUND((L100*F100+K100)/J100,5)</f>
        <v>8.5099999999999995E-2</v>
      </c>
      <c r="N100" s="31">
        <f>ROUND(M100*J100,0)</f>
        <v>190952</v>
      </c>
      <c r="O100" s="2"/>
    </row>
    <row r="101" spans="1:15" ht="14.5" x14ac:dyDescent="0.35">
      <c r="A101" s="10">
        <v>6</v>
      </c>
      <c r="B101" s="2"/>
      <c r="C101" s="2"/>
      <c r="D101" s="2"/>
      <c r="E101" s="2"/>
      <c r="F101" s="2"/>
      <c r="G101" s="2"/>
      <c r="H101" s="22"/>
      <c r="I101" s="2"/>
      <c r="J101" s="2"/>
      <c r="K101" s="2"/>
      <c r="L101" s="2"/>
      <c r="M101" s="2"/>
      <c r="N101" s="2"/>
      <c r="O101" s="2"/>
    </row>
    <row r="102" spans="1:15" ht="14.5" x14ac:dyDescent="0.35">
      <c r="A102" s="10">
        <v>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4.5" x14ac:dyDescent="0.35">
      <c r="A103" s="10">
        <v>8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4.5" x14ac:dyDescent="0.35">
      <c r="A104" s="10">
        <v>9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 thickBot="1" x14ac:dyDescent="0.4">
      <c r="A105" s="10">
        <v>10</v>
      </c>
      <c r="B105" s="2"/>
      <c r="C105" s="9" t="s">
        <v>67</v>
      </c>
      <c r="D105" s="2"/>
      <c r="E105" s="2"/>
      <c r="F105" s="19">
        <f t="shared" ref="F105:K105" si="9">SUM(F98:F103)</f>
        <v>2250000</v>
      </c>
      <c r="G105" s="19">
        <f t="shared" si="9"/>
        <v>0</v>
      </c>
      <c r="H105" s="19">
        <f t="shared" si="9"/>
        <v>6148.2900000000063</v>
      </c>
      <c r="I105" s="19">
        <f t="shared" si="9"/>
        <v>0</v>
      </c>
      <c r="J105" s="19">
        <f t="shared" si="9"/>
        <v>2243851.71</v>
      </c>
      <c r="K105" s="19">
        <f t="shared" si="9"/>
        <v>386.28</v>
      </c>
      <c r="L105" s="2"/>
      <c r="M105" s="2"/>
      <c r="N105" s="19">
        <f>SUM(N98:N103)</f>
        <v>190952</v>
      </c>
      <c r="O105" s="2"/>
    </row>
    <row r="106" spans="1:15" ht="15" thickTop="1" x14ac:dyDescent="0.35">
      <c r="A106" s="10">
        <v>11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4.5" x14ac:dyDescent="0.35">
      <c r="A107" s="10">
        <v>12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 thickBot="1" x14ac:dyDescent="0.4">
      <c r="A108" s="10">
        <v>13</v>
      </c>
      <c r="B108" s="2"/>
      <c r="C108" s="2"/>
      <c r="D108" s="29" t="s">
        <v>54</v>
      </c>
      <c r="E108" s="2"/>
      <c r="F108" s="20">
        <f>ROUND(N105/J105,4)</f>
        <v>8.5099999999999995E-2</v>
      </c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 thickTop="1" x14ac:dyDescent="0.35">
      <c r="A109" s="1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2"/>
      <c r="O109" s="2"/>
    </row>
    <row r="110" spans="1:15" ht="14.5" x14ac:dyDescent="0.35">
      <c r="A110" s="1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3"/>
      <c r="O110" s="2"/>
    </row>
    <row r="111" spans="1:15" ht="14.5" x14ac:dyDescent="0.35">
      <c r="A111" s="1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4.5" x14ac:dyDescent="0.35">
      <c r="A112" s="1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4.5" x14ac:dyDescent="0.35">
      <c r="A113" s="1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4.5" x14ac:dyDescent="0.35">
      <c r="A114" s="1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4.5" x14ac:dyDescent="0.35">
      <c r="A115" s="1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4.5" x14ac:dyDescent="0.35">
      <c r="A116" s="1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4.5" x14ac:dyDescent="0.35">
      <c r="A117" s="1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4.5" x14ac:dyDescent="0.35">
      <c r="A118" s="1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4.5" x14ac:dyDescent="0.35">
      <c r="A119" s="1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4.5" x14ac:dyDescent="0.35">
      <c r="A120" s="1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4.5" x14ac:dyDescent="0.35">
      <c r="A121" s="1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4.5" x14ac:dyDescent="0.35">
      <c r="A122" s="1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4.5" x14ac:dyDescent="0.35">
      <c r="A123" s="1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4.5" x14ac:dyDescent="0.35">
      <c r="A124" s="1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4.5" x14ac:dyDescent="0.35">
      <c r="A125" s="1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4.5" x14ac:dyDescent="0.35">
      <c r="A126" s="1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4.5" x14ac:dyDescent="0.35">
      <c r="A127" s="1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4.5" x14ac:dyDescent="0.35">
      <c r="A128" s="1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4.5" x14ac:dyDescent="0.35">
      <c r="A129" s="1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4.5" x14ac:dyDescent="0.35">
      <c r="A130" s="1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4.5" x14ac:dyDescent="0.35">
      <c r="A131" s="1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4.5" x14ac:dyDescent="0.35">
      <c r="A132" s="1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4.5" x14ac:dyDescent="0.35">
      <c r="A133" s="1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4.5" x14ac:dyDescent="0.35">
      <c r="A134" s="1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4.5" x14ac:dyDescent="0.35">
      <c r="A135" s="1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4.5" x14ac:dyDescent="0.35">
      <c r="A136" s="1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4.5" x14ac:dyDescent="0.35">
      <c r="A137" s="1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4.5" x14ac:dyDescent="0.35">
      <c r="A138" s="1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4.5" x14ac:dyDescent="0.35">
      <c r="A139" s="1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4.5" x14ac:dyDescent="0.35">
      <c r="A140" s="1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4.5" x14ac:dyDescent="0.35">
      <c r="A141" s="1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4.5" x14ac:dyDescent="0.35">
      <c r="A142" s="1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4.5" x14ac:dyDescent="0.35">
      <c r="A143" s="1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4.5" x14ac:dyDescent="0.35">
      <c r="A144" s="1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4.5" x14ac:dyDescent="0.35">
      <c r="A145" s="1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4.5" x14ac:dyDescent="0.35">
      <c r="A146" s="1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4.5" x14ac:dyDescent="0.35">
      <c r="A147" s="1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4.5" x14ac:dyDescent="0.35">
      <c r="A148" s="1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4.5" x14ac:dyDescent="0.35">
      <c r="A149" s="1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4.5" x14ac:dyDescent="0.35">
      <c r="A150" s="1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4.5" x14ac:dyDescent="0.35">
      <c r="A151" s="1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4.5" x14ac:dyDescent="0.35">
      <c r="A152" s="1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4.5" x14ac:dyDescent="0.35">
      <c r="A153" s="1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3">
      <c r="A154" s="34"/>
    </row>
    <row r="155" spans="1:15" x14ac:dyDescent="0.3">
      <c r="A155" s="34"/>
    </row>
    <row r="156" spans="1:15" x14ac:dyDescent="0.3">
      <c r="A156" s="34"/>
    </row>
  </sheetData>
  <printOptions horizontalCentered="1"/>
  <pageMargins left="0" right="0" top="0.65" bottom="0" header="0" footer="0.25"/>
  <pageSetup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6A02-7EAA-48FB-B7BD-351CD58B6F91}">
  <dimension ref="A1:S72"/>
  <sheetViews>
    <sheetView topLeftCell="E58" workbookViewId="0">
      <selection activeCell="N71" sqref="N71"/>
    </sheetView>
  </sheetViews>
  <sheetFormatPr defaultRowHeight="12.5" x14ac:dyDescent="0.25"/>
  <cols>
    <col min="2" max="2" width="11.453125" customWidth="1"/>
    <col min="3" max="3" width="10.7265625" customWidth="1"/>
    <col min="4" max="4" width="16.08984375" customWidth="1"/>
    <col min="5" max="5" width="15.453125" customWidth="1"/>
    <col min="6" max="6" width="17.1796875" customWidth="1"/>
    <col min="7" max="7" width="13.81640625" customWidth="1"/>
    <col min="8" max="8" width="19.81640625" customWidth="1"/>
    <col min="9" max="9" width="18.6328125" bestFit="1" customWidth="1"/>
    <col min="10" max="10" width="20.7265625" bestFit="1" customWidth="1"/>
    <col min="11" max="11" width="12.1796875" bestFit="1" customWidth="1"/>
    <col min="12" max="12" width="16.08984375" bestFit="1" customWidth="1"/>
    <col min="13" max="13" width="12.1796875" bestFit="1" customWidth="1"/>
    <col min="14" max="14" width="10.6328125" bestFit="1" customWidth="1"/>
    <col min="15" max="15" width="14.90625" style="38" customWidth="1"/>
    <col min="16" max="16" width="10" customWidth="1"/>
    <col min="17" max="17" width="12.7265625" style="38" customWidth="1"/>
    <col min="18" max="18" width="17.1796875" customWidth="1"/>
  </cols>
  <sheetData>
    <row r="1" spans="1:19" x14ac:dyDescent="0.25">
      <c r="A1" s="38" t="s">
        <v>69</v>
      </c>
      <c r="B1" s="38" t="s">
        <v>70</v>
      </c>
      <c r="C1" s="38" t="s">
        <v>71</v>
      </c>
      <c r="D1" s="38" t="s">
        <v>72</v>
      </c>
      <c r="E1" s="38" t="s">
        <v>73</v>
      </c>
      <c r="F1" s="38" t="s">
        <v>74</v>
      </c>
      <c r="G1" s="38" t="s">
        <v>75</v>
      </c>
      <c r="H1" s="38" t="s">
        <v>76</v>
      </c>
      <c r="I1" s="38" t="s">
        <v>77</v>
      </c>
      <c r="J1" s="38" t="s">
        <v>78</v>
      </c>
      <c r="K1" s="38" t="s">
        <v>79</v>
      </c>
      <c r="L1" s="38" t="s">
        <v>80</v>
      </c>
      <c r="M1" s="38" t="s">
        <v>81</v>
      </c>
      <c r="N1" s="38" t="s">
        <v>82</v>
      </c>
      <c r="O1" s="38" t="s">
        <v>83</v>
      </c>
      <c r="P1" s="38" t="s">
        <v>84</v>
      </c>
      <c r="Q1" s="38" t="s">
        <v>85</v>
      </c>
      <c r="R1" s="38" t="s">
        <v>86</v>
      </c>
      <c r="S1" s="38"/>
    </row>
    <row r="2" spans="1:19" x14ac:dyDescent="0.25">
      <c r="A2" s="35" t="s">
        <v>106</v>
      </c>
      <c r="B2" s="36">
        <v>44109</v>
      </c>
      <c r="C2" s="36">
        <v>44200</v>
      </c>
      <c r="D2" s="37">
        <v>45000000</v>
      </c>
      <c r="E2" s="37">
        <v>44973837.5</v>
      </c>
      <c r="F2" s="37">
        <v>-45000000</v>
      </c>
      <c r="G2" s="37">
        <v>-45000000</v>
      </c>
      <c r="H2" s="37">
        <v>-45000000</v>
      </c>
      <c r="I2" s="37">
        <v>16387.5</v>
      </c>
      <c r="J2" s="37">
        <v>8912.5</v>
      </c>
      <c r="K2" s="37">
        <v>25300</v>
      </c>
      <c r="L2" s="37">
        <v>862.5</v>
      </c>
      <c r="M2" s="37">
        <v>26162.5</v>
      </c>
      <c r="N2">
        <v>0.23</v>
      </c>
      <c r="O2" s="38" t="s">
        <v>87</v>
      </c>
      <c r="P2">
        <v>0.23</v>
      </c>
      <c r="Q2" s="38" t="s">
        <v>89</v>
      </c>
      <c r="R2" t="s">
        <v>87</v>
      </c>
    </row>
    <row r="3" spans="1:19" x14ac:dyDescent="0.25">
      <c r="A3" s="35" t="s">
        <v>106</v>
      </c>
      <c r="B3" s="36">
        <v>44109</v>
      </c>
      <c r="C3" s="36">
        <v>44217</v>
      </c>
      <c r="D3" s="37">
        <v>5000000</v>
      </c>
      <c r="E3" s="37">
        <v>4996550</v>
      </c>
      <c r="F3" s="37">
        <v>-5000000</v>
      </c>
      <c r="G3" s="37">
        <v>-5000000</v>
      </c>
      <c r="H3" s="37">
        <v>-5000000</v>
      </c>
      <c r="I3" s="37">
        <v>1820.83</v>
      </c>
      <c r="J3" s="37">
        <v>990.28</v>
      </c>
      <c r="K3" s="37">
        <v>2811.11</v>
      </c>
      <c r="L3" s="37">
        <v>638.89</v>
      </c>
      <c r="M3" s="37">
        <v>3450</v>
      </c>
      <c r="N3">
        <v>0.23</v>
      </c>
      <c r="O3" s="38" t="s">
        <v>87</v>
      </c>
      <c r="P3">
        <v>0.23</v>
      </c>
      <c r="Q3" s="38" t="s">
        <v>89</v>
      </c>
      <c r="R3" t="s">
        <v>87</v>
      </c>
    </row>
    <row r="4" spans="1:19" x14ac:dyDescent="0.25">
      <c r="A4" s="35" t="s">
        <v>106</v>
      </c>
      <c r="B4" s="36">
        <v>44110</v>
      </c>
      <c r="C4" s="36">
        <v>44203</v>
      </c>
      <c r="D4" s="37">
        <v>27000000</v>
      </c>
      <c r="E4" s="37">
        <v>26983957.5</v>
      </c>
      <c r="F4" s="37">
        <v>-27000000</v>
      </c>
      <c r="G4" s="37">
        <v>-27000000</v>
      </c>
      <c r="H4" s="37">
        <v>-27000000</v>
      </c>
      <c r="I4" s="37">
        <v>9660</v>
      </c>
      <c r="J4" s="37">
        <v>5347.5</v>
      </c>
      <c r="K4" s="37">
        <v>15007.5</v>
      </c>
      <c r="L4" s="37">
        <v>1035</v>
      </c>
      <c r="M4" s="37">
        <v>16042.5</v>
      </c>
      <c r="N4">
        <v>0.23</v>
      </c>
      <c r="O4" s="38" t="s">
        <v>87</v>
      </c>
      <c r="P4">
        <v>0.23</v>
      </c>
      <c r="Q4" s="38" t="s">
        <v>89</v>
      </c>
      <c r="R4" t="s">
        <v>87</v>
      </c>
    </row>
    <row r="5" spans="1:19" x14ac:dyDescent="0.25">
      <c r="A5" s="35" t="s">
        <v>106</v>
      </c>
      <c r="B5" s="36">
        <v>44110</v>
      </c>
      <c r="C5" s="36">
        <v>44172</v>
      </c>
      <c r="D5" s="37">
        <v>29000000</v>
      </c>
      <c r="E5" s="37">
        <v>28989511.670000002</v>
      </c>
      <c r="F5" s="37">
        <v>-29000000</v>
      </c>
      <c r="G5" s="37">
        <v>0</v>
      </c>
      <c r="H5" s="37">
        <v>-5612903.2300000004</v>
      </c>
      <c r="I5" s="37">
        <v>9473.33</v>
      </c>
      <c r="J5" s="37">
        <v>1015</v>
      </c>
      <c r="K5" s="37">
        <v>10488.33</v>
      </c>
      <c r="L5" s="37">
        <v>0</v>
      </c>
      <c r="M5" s="37">
        <v>10488.33</v>
      </c>
      <c r="N5">
        <v>0.21</v>
      </c>
      <c r="O5" s="38" t="s">
        <v>87</v>
      </c>
      <c r="P5">
        <v>0.21</v>
      </c>
      <c r="Q5" s="38" t="s">
        <v>89</v>
      </c>
      <c r="R5" t="s">
        <v>90</v>
      </c>
    </row>
    <row r="6" spans="1:19" x14ac:dyDescent="0.25">
      <c r="A6" s="35" t="s">
        <v>106</v>
      </c>
      <c r="B6" s="36">
        <v>44111</v>
      </c>
      <c r="C6" s="36">
        <v>44201</v>
      </c>
      <c r="D6" s="37">
        <v>32000000</v>
      </c>
      <c r="E6" s="37">
        <v>31980000</v>
      </c>
      <c r="F6" s="37">
        <v>-32000000</v>
      </c>
      <c r="G6" s="37">
        <v>-32000000</v>
      </c>
      <c r="H6" s="37">
        <v>-32000000</v>
      </c>
      <c r="I6" s="37">
        <v>12222.22</v>
      </c>
      <c r="J6" s="37">
        <v>6888.89</v>
      </c>
      <c r="K6" s="37">
        <v>19111.11</v>
      </c>
      <c r="L6" s="37">
        <v>888.89</v>
      </c>
      <c r="M6" s="37">
        <v>20000</v>
      </c>
      <c r="N6">
        <v>0.25</v>
      </c>
      <c r="O6" s="38" t="s">
        <v>87</v>
      </c>
      <c r="P6">
        <v>0.25</v>
      </c>
      <c r="Q6" s="38" t="s">
        <v>89</v>
      </c>
      <c r="R6" t="s">
        <v>87</v>
      </c>
    </row>
    <row r="7" spans="1:19" x14ac:dyDescent="0.25">
      <c r="A7" s="35" t="s">
        <v>106</v>
      </c>
      <c r="B7" s="36">
        <v>44112</v>
      </c>
      <c r="C7" s="36">
        <v>44166</v>
      </c>
      <c r="D7" s="37">
        <v>20000000</v>
      </c>
      <c r="E7" s="37">
        <v>19993700</v>
      </c>
      <c r="F7" s="37">
        <v>-20000000</v>
      </c>
      <c r="G7" s="37">
        <v>0</v>
      </c>
      <c r="H7" s="37">
        <v>0</v>
      </c>
      <c r="I7" s="37">
        <v>6300</v>
      </c>
      <c r="J7" s="37">
        <v>0</v>
      </c>
      <c r="K7" s="37">
        <v>6300</v>
      </c>
      <c r="L7" s="37">
        <v>0</v>
      </c>
      <c r="M7" s="37">
        <v>6300</v>
      </c>
      <c r="N7">
        <v>0.21</v>
      </c>
      <c r="O7" s="38" t="s">
        <v>87</v>
      </c>
      <c r="P7">
        <v>0.21</v>
      </c>
      <c r="Q7" s="38" t="s">
        <v>89</v>
      </c>
      <c r="R7" t="s">
        <v>91</v>
      </c>
    </row>
    <row r="8" spans="1:19" x14ac:dyDescent="0.25">
      <c r="A8" s="35" t="s">
        <v>106</v>
      </c>
      <c r="B8" s="36">
        <v>44112</v>
      </c>
      <c r="C8" s="36">
        <v>44203</v>
      </c>
      <c r="D8" s="37">
        <v>40000000</v>
      </c>
      <c r="E8" s="37">
        <v>39976744.439999998</v>
      </c>
      <c r="F8" s="37">
        <v>-40000000</v>
      </c>
      <c r="G8" s="37">
        <v>-40000000</v>
      </c>
      <c r="H8" s="37">
        <v>-40000000</v>
      </c>
      <c r="I8" s="37">
        <v>13800</v>
      </c>
      <c r="J8" s="37">
        <v>7922.22</v>
      </c>
      <c r="K8" s="37">
        <v>21722.22</v>
      </c>
      <c r="L8" s="37">
        <v>1533.33</v>
      </c>
      <c r="M8" s="37">
        <v>23255.56</v>
      </c>
      <c r="N8">
        <v>0.23</v>
      </c>
      <c r="O8" s="38" t="s">
        <v>87</v>
      </c>
      <c r="P8">
        <v>0.23</v>
      </c>
      <c r="Q8" s="38" t="s">
        <v>89</v>
      </c>
      <c r="R8" t="s">
        <v>87</v>
      </c>
    </row>
    <row r="9" spans="1:19" x14ac:dyDescent="0.25">
      <c r="A9" s="35" t="s">
        <v>106</v>
      </c>
      <c r="B9" s="36">
        <v>44113</v>
      </c>
      <c r="C9" s="36">
        <v>44204</v>
      </c>
      <c r="D9" s="37">
        <v>25000000</v>
      </c>
      <c r="E9" s="37">
        <v>24984201.390000001</v>
      </c>
      <c r="F9" s="37">
        <v>-25000000</v>
      </c>
      <c r="G9" s="37">
        <v>-25000000</v>
      </c>
      <c r="H9" s="37">
        <v>-25000000</v>
      </c>
      <c r="I9" s="37">
        <v>9201.39</v>
      </c>
      <c r="J9" s="37">
        <v>5381.94</v>
      </c>
      <c r="K9" s="37">
        <v>14583.33</v>
      </c>
      <c r="L9" s="37">
        <v>1215.28</v>
      </c>
      <c r="M9" s="37">
        <v>15798.61</v>
      </c>
      <c r="N9">
        <v>0.25</v>
      </c>
      <c r="O9" s="38" t="s">
        <v>87</v>
      </c>
      <c r="P9">
        <v>0.25</v>
      </c>
      <c r="Q9" s="38" t="s">
        <v>89</v>
      </c>
      <c r="R9" t="s">
        <v>87</v>
      </c>
    </row>
    <row r="10" spans="1:19" x14ac:dyDescent="0.25">
      <c r="A10" s="35" t="s">
        <v>106</v>
      </c>
      <c r="B10" s="36">
        <v>44113</v>
      </c>
      <c r="C10" s="36">
        <v>44175</v>
      </c>
      <c r="D10" s="37">
        <v>30000000</v>
      </c>
      <c r="E10" s="37">
        <v>29989150</v>
      </c>
      <c r="F10" s="37">
        <v>-30000000</v>
      </c>
      <c r="G10" s="37">
        <v>0</v>
      </c>
      <c r="H10" s="37">
        <v>-8709677.4199999999</v>
      </c>
      <c r="I10" s="37">
        <v>9275</v>
      </c>
      <c r="J10" s="37">
        <v>1575</v>
      </c>
      <c r="K10" s="37">
        <v>10850</v>
      </c>
      <c r="L10" s="37">
        <v>0</v>
      </c>
      <c r="M10" s="37">
        <v>10850</v>
      </c>
      <c r="N10">
        <v>0.21</v>
      </c>
      <c r="O10" s="38" t="s">
        <v>87</v>
      </c>
      <c r="P10">
        <v>0.21</v>
      </c>
      <c r="Q10" s="38" t="s">
        <v>89</v>
      </c>
      <c r="R10" t="s">
        <v>92</v>
      </c>
    </row>
    <row r="11" spans="1:19" x14ac:dyDescent="0.25">
      <c r="A11" s="35" t="s">
        <v>106</v>
      </c>
      <c r="B11" s="36">
        <v>44117</v>
      </c>
      <c r="C11" s="36">
        <v>44202</v>
      </c>
      <c r="D11" s="37">
        <v>25000000</v>
      </c>
      <c r="E11" s="37">
        <v>24985833.329999998</v>
      </c>
      <c r="F11" s="37">
        <v>-25000000</v>
      </c>
      <c r="G11" s="37">
        <v>-25000000</v>
      </c>
      <c r="H11" s="37">
        <v>-25000000</v>
      </c>
      <c r="I11" s="37">
        <v>8166.67</v>
      </c>
      <c r="J11" s="37">
        <v>5166.67</v>
      </c>
      <c r="K11" s="37">
        <v>13333.34</v>
      </c>
      <c r="L11" s="37">
        <v>833.33</v>
      </c>
      <c r="M11" s="37">
        <v>14166.67</v>
      </c>
      <c r="N11">
        <v>0.24</v>
      </c>
      <c r="O11" s="38" t="s">
        <v>87</v>
      </c>
      <c r="P11">
        <v>0.24</v>
      </c>
      <c r="Q11" s="38" t="s">
        <v>89</v>
      </c>
      <c r="R11" t="s">
        <v>87</v>
      </c>
    </row>
    <row r="12" spans="1:19" x14ac:dyDescent="0.25">
      <c r="A12" s="35" t="s">
        <v>106</v>
      </c>
      <c r="B12" s="36">
        <v>44117</v>
      </c>
      <c r="C12" s="36">
        <v>44204</v>
      </c>
      <c r="D12" s="37">
        <v>25000000</v>
      </c>
      <c r="E12" s="37">
        <v>24985500</v>
      </c>
      <c r="F12" s="37">
        <v>-25000000</v>
      </c>
      <c r="G12" s="37">
        <v>-25000000</v>
      </c>
      <c r="H12" s="37">
        <v>-25000000</v>
      </c>
      <c r="I12" s="37">
        <v>8166.67</v>
      </c>
      <c r="J12" s="37">
        <v>5166.67</v>
      </c>
      <c r="K12" s="37">
        <v>13333.34</v>
      </c>
      <c r="L12" s="37">
        <v>1166.67</v>
      </c>
      <c r="M12" s="37">
        <v>14500</v>
      </c>
      <c r="N12">
        <v>0.24</v>
      </c>
      <c r="O12" s="38" t="s">
        <v>87</v>
      </c>
      <c r="P12">
        <v>0.24</v>
      </c>
      <c r="Q12" s="38" t="s">
        <v>89</v>
      </c>
      <c r="R12" t="s">
        <v>87</v>
      </c>
    </row>
    <row r="13" spans="1:19" x14ac:dyDescent="0.25">
      <c r="A13" s="35" t="s">
        <v>106</v>
      </c>
      <c r="B13" s="36">
        <v>44119</v>
      </c>
      <c r="C13" s="36">
        <v>44211</v>
      </c>
      <c r="D13" s="37">
        <v>40000000</v>
      </c>
      <c r="E13" s="37">
        <v>39974444.439999998</v>
      </c>
      <c r="F13" s="37">
        <v>-40000000</v>
      </c>
      <c r="G13" s="37">
        <v>-40000000</v>
      </c>
      <c r="H13" s="37">
        <v>-40000000</v>
      </c>
      <c r="I13" s="37">
        <v>13055.56</v>
      </c>
      <c r="J13" s="37">
        <v>8611.11</v>
      </c>
      <c r="K13" s="37">
        <v>21666.67</v>
      </c>
      <c r="L13" s="37">
        <v>3888.89</v>
      </c>
      <c r="M13" s="37">
        <v>25555.56</v>
      </c>
      <c r="N13">
        <v>0.25</v>
      </c>
      <c r="O13" s="38" t="s">
        <v>87</v>
      </c>
      <c r="P13">
        <v>0.25</v>
      </c>
      <c r="Q13" s="38" t="s">
        <v>89</v>
      </c>
      <c r="R13" t="s">
        <v>87</v>
      </c>
    </row>
    <row r="14" spans="1:19" x14ac:dyDescent="0.25">
      <c r="A14" s="35" t="s">
        <v>106</v>
      </c>
      <c r="B14" s="36">
        <v>44120</v>
      </c>
      <c r="C14" s="36">
        <v>44207</v>
      </c>
      <c r="D14" s="37">
        <v>14000000</v>
      </c>
      <c r="E14" s="37">
        <v>13992218.33</v>
      </c>
      <c r="F14" s="37">
        <v>-14000000</v>
      </c>
      <c r="G14" s="37">
        <v>-14000000</v>
      </c>
      <c r="H14" s="37">
        <v>-14000000</v>
      </c>
      <c r="I14" s="37">
        <v>4114.45</v>
      </c>
      <c r="J14" s="37">
        <v>2772.78</v>
      </c>
      <c r="K14" s="37">
        <v>6887.23</v>
      </c>
      <c r="L14" s="37">
        <v>894.44</v>
      </c>
      <c r="M14" s="37">
        <v>7781.67</v>
      </c>
      <c r="N14">
        <v>0.23</v>
      </c>
      <c r="O14" s="38" t="s">
        <v>87</v>
      </c>
      <c r="P14">
        <v>0.23</v>
      </c>
      <c r="Q14" s="38" t="s">
        <v>89</v>
      </c>
      <c r="R14" t="s">
        <v>87</v>
      </c>
    </row>
    <row r="15" spans="1:19" x14ac:dyDescent="0.25">
      <c r="A15" s="35" t="s">
        <v>106</v>
      </c>
      <c r="B15" s="36">
        <v>44123</v>
      </c>
      <c r="C15" s="36">
        <v>44207</v>
      </c>
      <c r="D15" s="37">
        <v>1000000</v>
      </c>
      <c r="E15" s="37">
        <v>999463.33</v>
      </c>
      <c r="F15" s="37">
        <v>-1000000</v>
      </c>
      <c r="G15" s="37">
        <v>-1000000</v>
      </c>
      <c r="H15" s="37">
        <v>-1000000</v>
      </c>
      <c r="I15" s="37">
        <v>274.72000000000003</v>
      </c>
      <c r="J15" s="37">
        <v>198.06</v>
      </c>
      <c r="K15" s="37">
        <v>472.78</v>
      </c>
      <c r="L15" s="37">
        <v>63.89</v>
      </c>
      <c r="M15" s="37">
        <v>536.66999999999996</v>
      </c>
      <c r="N15">
        <v>0.23</v>
      </c>
      <c r="O15" s="38" t="s">
        <v>87</v>
      </c>
      <c r="P15">
        <v>0.23</v>
      </c>
      <c r="Q15" s="38" t="s">
        <v>89</v>
      </c>
      <c r="R15" t="s">
        <v>87</v>
      </c>
    </row>
    <row r="16" spans="1:19" x14ac:dyDescent="0.25">
      <c r="A16" s="35" t="s">
        <v>106</v>
      </c>
      <c r="B16" s="36">
        <v>44127</v>
      </c>
      <c r="C16" s="36">
        <v>44208</v>
      </c>
      <c r="D16" s="37">
        <v>20000000</v>
      </c>
      <c r="E16" s="37">
        <v>19989650</v>
      </c>
      <c r="F16" s="37">
        <v>-20000000</v>
      </c>
      <c r="G16" s="37">
        <v>-20000000</v>
      </c>
      <c r="H16" s="37">
        <v>-20000000</v>
      </c>
      <c r="I16" s="37">
        <v>4983.33</v>
      </c>
      <c r="J16" s="37">
        <v>3961.11</v>
      </c>
      <c r="K16" s="37">
        <v>8944.44</v>
      </c>
      <c r="L16" s="37">
        <v>1405.56</v>
      </c>
      <c r="M16" s="37">
        <v>10350</v>
      </c>
      <c r="N16">
        <v>0.23</v>
      </c>
      <c r="O16" s="38" t="s">
        <v>87</v>
      </c>
      <c r="P16">
        <v>0.23</v>
      </c>
      <c r="Q16" s="38" t="s">
        <v>89</v>
      </c>
      <c r="R16" t="s">
        <v>87</v>
      </c>
    </row>
    <row r="17" spans="1:18" x14ac:dyDescent="0.25">
      <c r="A17" s="35" t="s">
        <v>106</v>
      </c>
      <c r="B17" s="36">
        <v>44127</v>
      </c>
      <c r="C17" s="36">
        <v>44209</v>
      </c>
      <c r="D17" s="37">
        <v>20000000</v>
      </c>
      <c r="E17" s="37">
        <v>19989522.219999999</v>
      </c>
      <c r="F17" s="37">
        <v>-20000000</v>
      </c>
      <c r="G17" s="37">
        <v>-20000000</v>
      </c>
      <c r="H17" s="37">
        <v>-20000000</v>
      </c>
      <c r="I17" s="37">
        <v>4983.33</v>
      </c>
      <c r="J17" s="37">
        <v>3961.11</v>
      </c>
      <c r="K17" s="37">
        <v>8944.44</v>
      </c>
      <c r="L17" s="37">
        <v>1533.33</v>
      </c>
      <c r="M17" s="37">
        <v>10477.780000000001</v>
      </c>
      <c r="N17">
        <v>0.23</v>
      </c>
      <c r="O17" s="38" t="s">
        <v>87</v>
      </c>
      <c r="P17">
        <v>0.23</v>
      </c>
      <c r="Q17" s="38" t="s">
        <v>89</v>
      </c>
      <c r="R17" t="s">
        <v>87</v>
      </c>
    </row>
    <row r="18" spans="1:18" x14ac:dyDescent="0.25">
      <c r="A18" s="35" t="s">
        <v>106</v>
      </c>
      <c r="B18" s="36">
        <v>44148</v>
      </c>
      <c r="C18" s="36">
        <v>44229</v>
      </c>
      <c r="D18" s="37">
        <v>16000000</v>
      </c>
      <c r="E18" s="37">
        <v>15990640</v>
      </c>
      <c r="F18" s="37">
        <v>-16000000</v>
      </c>
      <c r="G18" s="37">
        <v>-16000000</v>
      </c>
      <c r="H18" s="37">
        <v>-16000000</v>
      </c>
      <c r="I18" s="37">
        <v>2080</v>
      </c>
      <c r="J18" s="37">
        <v>3582.22</v>
      </c>
      <c r="K18" s="37">
        <v>5662.22</v>
      </c>
      <c r="L18" s="37">
        <v>3697.78</v>
      </c>
      <c r="M18" s="37">
        <v>9360</v>
      </c>
      <c r="N18">
        <v>0.26</v>
      </c>
      <c r="O18" s="38" t="s">
        <v>87</v>
      </c>
      <c r="P18">
        <v>0.26</v>
      </c>
      <c r="Q18" s="38" t="s">
        <v>89</v>
      </c>
      <c r="R18" t="s">
        <v>87</v>
      </c>
    </row>
    <row r="19" spans="1:18" x14ac:dyDescent="0.25">
      <c r="A19" s="35" t="s">
        <v>106</v>
      </c>
      <c r="B19" s="36">
        <v>44148</v>
      </c>
      <c r="C19" s="36">
        <v>44230</v>
      </c>
      <c r="D19" s="37">
        <v>5000000</v>
      </c>
      <c r="E19" s="37">
        <v>4997038.8899999997</v>
      </c>
      <c r="F19" s="37">
        <v>-5000000</v>
      </c>
      <c r="G19" s="37">
        <v>-5000000</v>
      </c>
      <c r="H19" s="37">
        <v>-5000000</v>
      </c>
      <c r="I19" s="37">
        <v>650</v>
      </c>
      <c r="J19" s="37">
        <v>1119.44</v>
      </c>
      <c r="K19" s="37">
        <v>1769.44</v>
      </c>
      <c r="L19" s="37">
        <v>1191.67</v>
      </c>
      <c r="M19" s="37">
        <v>2961.11</v>
      </c>
      <c r="N19">
        <v>0.26</v>
      </c>
      <c r="O19" s="38" t="s">
        <v>87</v>
      </c>
      <c r="P19">
        <v>0.26</v>
      </c>
      <c r="Q19" s="38" t="s">
        <v>89</v>
      </c>
      <c r="R19" t="s">
        <v>87</v>
      </c>
    </row>
    <row r="20" spans="1:18" x14ac:dyDescent="0.25">
      <c r="A20" s="35" t="s">
        <v>106</v>
      </c>
      <c r="B20" s="36">
        <v>44151</v>
      </c>
      <c r="C20" s="36">
        <v>44172</v>
      </c>
      <c r="D20" s="37">
        <v>20000000</v>
      </c>
      <c r="E20" s="37">
        <v>19997783.329999998</v>
      </c>
      <c r="F20" s="37">
        <v>-20000000</v>
      </c>
      <c r="G20" s="37">
        <v>0</v>
      </c>
      <c r="H20" s="37">
        <v>-3870967.74</v>
      </c>
      <c r="I20" s="37">
        <v>1583.34</v>
      </c>
      <c r="J20" s="37">
        <v>633.33000000000004</v>
      </c>
      <c r="K20" s="37">
        <v>2216.67</v>
      </c>
      <c r="L20" s="37">
        <v>0</v>
      </c>
      <c r="M20" s="37">
        <v>2216.67</v>
      </c>
      <c r="N20">
        <v>0.19</v>
      </c>
      <c r="O20" s="38" t="s">
        <v>87</v>
      </c>
      <c r="P20">
        <v>0.19</v>
      </c>
      <c r="Q20" s="38" t="s">
        <v>89</v>
      </c>
      <c r="R20" t="s">
        <v>90</v>
      </c>
    </row>
    <row r="21" spans="1:18" x14ac:dyDescent="0.25">
      <c r="A21" s="35" t="s">
        <v>106</v>
      </c>
      <c r="B21" s="36">
        <v>44151</v>
      </c>
      <c r="C21" s="36">
        <v>44231</v>
      </c>
      <c r="D21" s="37">
        <v>34000000</v>
      </c>
      <c r="E21" s="37">
        <v>33980355.560000002</v>
      </c>
      <c r="F21" s="37">
        <v>-34000000</v>
      </c>
      <c r="G21" s="37">
        <v>-34000000</v>
      </c>
      <c r="H21" s="37">
        <v>-34000000</v>
      </c>
      <c r="I21" s="37">
        <v>3683.33</v>
      </c>
      <c r="J21" s="37">
        <v>7612.22</v>
      </c>
      <c r="K21" s="37">
        <v>11295.55</v>
      </c>
      <c r="L21" s="37">
        <v>8348.89</v>
      </c>
      <c r="M21" s="37">
        <v>19644.439999999999</v>
      </c>
      <c r="N21">
        <v>0.26</v>
      </c>
      <c r="O21" s="38" t="s">
        <v>87</v>
      </c>
      <c r="P21">
        <v>0.26</v>
      </c>
      <c r="Q21" s="38" t="s">
        <v>89</v>
      </c>
      <c r="R21" t="s">
        <v>87</v>
      </c>
    </row>
    <row r="22" spans="1:18" x14ac:dyDescent="0.25">
      <c r="A22" s="35" t="s">
        <v>106</v>
      </c>
      <c r="B22" s="36">
        <v>44152</v>
      </c>
      <c r="C22" s="36">
        <v>44215</v>
      </c>
      <c r="D22" s="37">
        <v>20000000</v>
      </c>
      <c r="E22" s="37">
        <v>19991950</v>
      </c>
      <c r="F22" s="37">
        <v>-20000000</v>
      </c>
      <c r="G22" s="37">
        <v>-20000000</v>
      </c>
      <c r="H22" s="37">
        <v>-20000000</v>
      </c>
      <c r="I22" s="37">
        <v>1788.89</v>
      </c>
      <c r="J22" s="37">
        <v>3961.11</v>
      </c>
      <c r="K22" s="37">
        <v>5750</v>
      </c>
      <c r="L22" s="37">
        <v>2300</v>
      </c>
      <c r="M22" s="37">
        <v>8050</v>
      </c>
      <c r="N22">
        <v>0.23</v>
      </c>
      <c r="O22" s="38" t="s">
        <v>87</v>
      </c>
      <c r="P22">
        <v>0.23</v>
      </c>
      <c r="Q22" s="38" t="s">
        <v>89</v>
      </c>
      <c r="R22" t="s">
        <v>87</v>
      </c>
    </row>
    <row r="23" spans="1:18" x14ac:dyDescent="0.25">
      <c r="A23" s="35" t="s">
        <v>106</v>
      </c>
      <c r="B23" s="36">
        <v>44152</v>
      </c>
      <c r="C23" s="36">
        <v>44243</v>
      </c>
      <c r="D23" s="37">
        <v>16000000</v>
      </c>
      <c r="E23" s="37">
        <v>15989484.439999999</v>
      </c>
      <c r="F23" s="37">
        <v>-16000000</v>
      </c>
      <c r="G23" s="37">
        <v>-16000000</v>
      </c>
      <c r="H23" s="37">
        <v>-16000000</v>
      </c>
      <c r="I23" s="37">
        <v>1617.78</v>
      </c>
      <c r="J23" s="37">
        <v>3582.22</v>
      </c>
      <c r="K23" s="37">
        <v>5200</v>
      </c>
      <c r="L23" s="37">
        <v>5315.56</v>
      </c>
      <c r="M23" s="37">
        <v>10515.56</v>
      </c>
      <c r="N23">
        <v>0.26</v>
      </c>
      <c r="O23" s="38" t="s">
        <v>87</v>
      </c>
      <c r="P23">
        <v>0.26</v>
      </c>
      <c r="Q23" s="38" t="s">
        <v>89</v>
      </c>
      <c r="R23" t="s">
        <v>87</v>
      </c>
    </row>
    <row r="24" spans="1:18" x14ac:dyDescent="0.25">
      <c r="A24" s="35" t="s">
        <v>106</v>
      </c>
      <c r="B24" s="36">
        <v>44153</v>
      </c>
      <c r="C24" s="36">
        <v>44183</v>
      </c>
      <c r="D24" s="37">
        <v>17000000</v>
      </c>
      <c r="E24" s="37">
        <v>16997733.329999998</v>
      </c>
      <c r="F24" s="37">
        <v>-17000000</v>
      </c>
      <c r="G24" s="37">
        <v>0</v>
      </c>
      <c r="H24" s="37">
        <v>-9322580.6500000004</v>
      </c>
      <c r="I24" s="37">
        <v>982.22</v>
      </c>
      <c r="J24" s="37">
        <v>1284.45</v>
      </c>
      <c r="K24" s="37">
        <v>2266.67</v>
      </c>
      <c r="L24" s="37">
        <v>0</v>
      </c>
      <c r="M24" s="37">
        <v>2266.67</v>
      </c>
      <c r="N24">
        <v>0.16</v>
      </c>
      <c r="O24" s="38" t="s">
        <v>87</v>
      </c>
      <c r="P24">
        <v>0.16</v>
      </c>
      <c r="Q24" s="38" t="s">
        <v>89</v>
      </c>
      <c r="R24" t="s">
        <v>93</v>
      </c>
    </row>
    <row r="25" spans="1:18" x14ac:dyDescent="0.25">
      <c r="A25" s="35" t="s">
        <v>106</v>
      </c>
      <c r="B25" s="36">
        <v>44153</v>
      </c>
      <c r="C25" s="36">
        <v>44215</v>
      </c>
      <c r="D25" s="37">
        <v>26000000</v>
      </c>
      <c r="E25" s="37">
        <v>25988805.559999999</v>
      </c>
      <c r="F25" s="37">
        <v>-26000000</v>
      </c>
      <c r="G25" s="37">
        <v>-26000000</v>
      </c>
      <c r="H25" s="37">
        <v>-26000000</v>
      </c>
      <c r="I25" s="37">
        <v>2347.2199999999998</v>
      </c>
      <c r="J25" s="37">
        <v>5597.22</v>
      </c>
      <c r="K25" s="37">
        <v>7944.44</v>
      </c>
      <c r="L25" s="37">
        <v>3250</v>
      </c>
      <c r="M25" s="37">
        <v>11194.44</v>
      </c>
      <c r="N25">
        <v>0.25</v>
      </c>
      <c r="O25" s="38" t="s">
        <v>87</v>
      </c>
      <c r="P25">
        <v>0.25</v>
      </c>
      <c r="Q25" s="38" t="s">
        <v>89</v>
      </c>
      <c r="R25" t="s">
        <v>87</v>
      </c>
    </row>
    <row r="26" spans="1:18" x14ac:dyDescent="0.25">
      <c r="A26" s="35" t="s">
        <v>106</v>
      </c>
      <c r="B26" s="36">
        <v>44154</v>
      </c>
      <c r="C26" s="36">
        <v>44168</v>
      </c>
      <c r="D26" s="37">
        <v>27000000</v>
      </c>
      <c r="E26" s="37">
        <v>26998215</v>
      </c>
      <c r="F26" s="37">
        <v>-27000000</v>
      </c>
      <c r="G26" s="37">
        <v>0</v>
      </c>
      <c r="H26" s="37">
        <v>-1741935.48</v>
      </c>
      <c r="I26" s="37">
        <v>1530</v>
      </c>
      <c r="J26" s="37">
        <v>255</v>
      </c>
      <c r="K26" s="37">
        <v>1785</v>
      </c>
      <c r="L26" s="37">
        <v>0</v>
      </c>
      <c r="M26" s="37">
        <v>1785</v>
      </c>
      <c r="N26">
        <v>0.17</v>
      </c>
      <c r="O26" s="38" t="s">
        <v>87</v>
      </c>
      <c r="P26">
        <v>0.17</v>
      </c>
      <c r="Q26" s="38" t="s">
        <v>89</v>
      </c>
      <c r="R26" t="s">
        <v>94</v>
      </c>
    </row>
    <row r="27" spans="1:18" x14ac:dyDescent="0.25">
      <c r="A27" s="35" t="s">
        <v>106</v>
      </c>
      <c r="B27" s="36">
        <v>44155</v>
      </c>
      <c r="C27" s="36">
        <v>44216</v>
      </c>
      <c r="D27" s="37">
        <v>20000000</v>
      </c>
      <c r="E27" s="37">
        <v>19991866.670000002</v>
      </c>
      <c r="F27" s="37">
        <v>-20000000</v>
      </c>
      <c r="G27" s="37">
        <v>-20000000</v>
      </c>
      <c r="H27" s="37">
        <v>-20000000</v>
      </c>
      <c r="I27" s="37">
        <v>1466.67</v>
      </c>
      <c r="J27" s="37">
        <v>4133.33</v>
      </c>
      <c r="K27" s="37">
        <v>5600</v>
      </c>
      <c r="L27" s="37">
        <v>2533.33</v>
      </c>
      <c r="M27" s="37">
        <v>8133.33</v>
      </c>
      <c r="N27">
        <v>0.24</v>
      </c>
      <c r="O27" s="38" t="s">
        <v>87</v>
      </c>
      <c r="P27">
        <v>0.24</v>
      </c>
      <c r="Q27" s="38" t="s">
        <v>89</v>
      </c>
      <c r="R27" t="s">
        <v>87</v>
      </c>
    </row>
    <row r="28" spans="1:18" x14ac:dyDescent="0.25">
      <c r="A28" s="35" t="s">
        <v>106</v>
      </c>
      <c r="B28" s="36">
        <v>44155</v>
      </c>
      <c r="C28" s="36">
        <v>44169</v>
      </c>
      <c r="D28" s="37">
        <v>19000000</v>
      </c>
      <c r="E28" s="37">
        <v>18998743.890000001</v>
      </c>
      <c r="F28" s="37">
        <v>-19000000</v>
      </c>
      <c r="G28" s="37">
        <v>0</v>
      </c>
      <c r="H28" s="37">
        <v>-1838709.68</v>
      </c>
      <c r="I28" s="37">
        <v>986.94</v>
      </c>
      <c r="J28" s="37">
        <v>269.17</v>
      </c>
      <c r="K28" s="37">
        <v>1256.1099999999999</v>
      </c>
      <c r="L28" s="37">
        <v>0</v>
      </c>
      <c r="M28" s="37">
        <v>1256.1099999999999</v>
      </c>
      <c r="N28">
        <v>0.17</v>
      </c>
      <c r="O28" s="38" t="s">
        <v>87</v>
      </c>
      <c r="P28">
        <v>0.17</v>
      </c>
      <c r="Q28" s="38" t="s">
        <v>89</v>
      </c>
      <c r="R28" t="s">
        <v>95</v>
      </c>
    </row>
    <row r="29" spans="1:18" x14ac:dyDescent="0.25">
      <c r="A29" s="35" t="s">
        <v>106</v>
      </c>
      <c r="B29" s="36">
        <v>44155</v>
      </c>
      <c r="C29" s="36">
        <v>44245</v>
      </c>
      <c r="D29" s="37">
        <v>20000000</v>
      </c>
      <c r="E29" s="37">
        <v>19987500</v>
      </c>
      <c r="F29" s="37">
        <v>-20000000</v>
      </c>
      <c r="G29" s="37">
        <v>-20000000</v>
      </c>
      <c r="H29" s="37">
        <v>-20000000</v>
      </c>
      <c r="I29" s="37">
        <v>1527.78</v>
      </c>
      <c r="J29" s="37">
        <v>4305.5600000000004</v>
      </c>
      <c r="K29" s="37">
        <v>5833.34</v>
      </c>
      <c r="L29" s="37">
        <v>6666.67</v>
      </c>
      <c r="M29" s="37">
        <v>12500</v>
      </c>
      <c r="N29">
        <v>0.25</v>
      </c>
      <c r="O29" s="38" t="s">
        <v>87</v>
      </c>
      <c r="P29">
        <v>0.25</v>
      </c>
      <c r="Q29" s="38" t="s">
        <v>89</v>
      </c>
      <c r="R29" t="s">
        <v>87</v>
      </c>
    </row>
    <row r="30" spans="1:18" x14ac:dyDescent="0.25">
      <c r="A30" s="35" t="s">
        <v>106</v>
      </c>
      <c r="B30" s="36">
        <v>44165</v>
      </c>
      <c r="C30" s="36">
        <v>44252</v>
      </c>
      <c r="D30" s="37">
        <v>12000000</v>
      </c>
      <c r="E30" s="37">
        <v>11992170</v>
      </c>
      <c r="F30" s="37">
        <v>-12000000</v>
      </c>
      <c r="G30" s="37">
        <v>-12000000</v>
      </c>
      <c r="H30" s="37">
        <v>-12000000</v>
      </c>
      <c r="I30" s="37">
        <v>90</v>
      </c>
      <c r="J30" s="37">
        <v>2790</v>
      </c>
      <c r="K30" s="37">
        <v>2880</v>
      </c>
      <c r="L30" s="37">
        <v>4950</v>
      </c>
      <c r="M30" s="37">
        <v>7830</v>
      </c>
      <c r="N30">
        <v>0.27</v>
      </c>
      <c r="O30" s="38" t="s">
        <v>87</v>
      </c>
      <c r="P30">
        <v>0.27</v>
      </c>
      <c r="Q30" s="38" t="s">
        <v>89</v>
      </c>
      <c r="R30" t="s">
        <v>87</v>
      </c>
    </row>
    <row r="31" spans="1:18" x14ac:dyDescent="0.25">
      <c r="A31" s="35" t="s">
        <v>106</v>
      </c>
      <c r="B31" s="36">
        <v>44165</v>
      </c>
      <c r="C31" s="36">
        <v>44252</v>
      </c>
      <c r="D31" s="37">
        <v>50000000</v>
      </c>
      <c r="E31" s="37">
        <v>49967375</v>
      </c>
      <c r="F31" s="37">
        <v>-50000000</v>
      </c>
      <c r="G31" s="37">
        <v>-50000000</v>
      </c>
      <c r="H31" s="37">
        <v>-50000000</v>
      </c>
      <c r="I31" s="37">
        <v>375</v>
      </c>
      <c r="J31" s="37">
        <v>11625</v>
      </c>
      <c r="K31" s="37">
        <v>12000</v>
      </c>
      <c r="L31" s="37">
        <v>20625</v>
      </c>
      <c r="M31" s="37">
        <v>32625</v>
      </c>
      <c r="N31">
        <v>0.27</v>
      </c>
      <c r="O31" s="38" t="s">
        <v>87</v>
      </c>
      <c r="P31">
        <v>0.27</v>
      </c>
      <c r="Q31" s="38" t="s">
        <v>89</v>
      </c>
      <c r="R31" t="s">
        <v>87</v>
      </c>
    </row>
    <row r="32" spans="1:18" x14ac:dyDescent="0.25">
      <c r="A32" s="35" t="s">
        <v>106</v>
      </c>
      <c r="B32" s="36">
        <v>44165</v>
      </c>
      <c r="C32" s="36">
        <v>44221</v>
      </c>
      <c r="D32" s="37">
        <v>25000000</v>
      </c>
      <c r="E32" s="37">
        <v>24991055.559999999</v>
      </c>
      <c r="F32" s="37">
        <v>-25000000</v>
      </c>
      <c r="G32" s="37">
        <v>-25000000</v>
      </c>
      <c r="H32" s="37">
        <v>-25000000</v>
      </c>
      <c r="I32" s="37">
        <v>159.72</v>
      </c>
      <c r="J32" s="37">
        <v>4951.3900000000003</v>
      </c>
      <c r="K32" s="37">
        <v>5111.1099999999997</v>
      </c>
      <c r="L32" s="37">
        <v>3833.33</v>
      </c>
      <c r="M32" s="37">
        <v>8944.44</v>
      </c>
      <c r="N32">
        <v>0.23</v>
      </c>
      <c r="O32" s="38" t="s">
        <v>87</v>
      </c>
      <c r="P32">
        <v>0.23</v>
      </c>
      <c r="Q32" s="38" t="s">
        <v>89</v>
      </c>
      <c r="R32" t="s">
        <v>87</v>
      </c>
    </row>
    <row r="33" spans="1:18" x14ac:dyDescent="0.25">
      <c r="A33" s="35" t="s">
        <v>106</v>
      </c>
      <c r="B33" s="36">
        <v>44166</v>
      </c>
      <c r="C33" s="36">
        <v>44173</v>
      </c>
      <c r="D33" s="37">
        <v>20000000</v>
      </c>
      <c r="E33" s="37">
        <v>19999338.890000001</v>
      </c>
      <c r="F33" s="37">
        <v>-20000000</v>
      </c>
      <c r="G33" s="37">
        <v>0</v>
      </c>
      <c r="H33" s="37">
        <v>-4516129.03</v>
      </c>
      <c r="I33" s="37">
        <v>0</v>
      </c>
      <c r="J33" s="37">
        <v>661.11</v>
      </c>
      <c r="K33" s="37">
        <v>661.11</v>
      </c>
      <c r="L33" s="37">
        <v>0</v>
      </c>
      <c r="M33" s="37">
        <v>661.11</v>
      </c>
      <c r="N33">
        <v>0.17</v>
      </c>
      <c r="O33" s="38" t="s">
        <v>87</v>
      </c>
      <c r="P33">
        <v>0.17</v>
      </c>
      <c r="Q33" s="38" t="s">
        <v>89</v>
      </c>
      <c r="R33" t="s">
        <v>96</v>
      </c>
    </row>
    <row r="34" spans="1:18" x14ac:dyDescent="0.25">
      <c r="A34" s="35" t="s">
        <v>106</v>
      </c>
      <c r="B34" s="36">
        <v>44166</v>
      </c>
      <c r="C34" s="36">
        <v>44229</v>
      </c>
      <c r="D34" s="37">
        <v>20000000</v>
      </c>
      <c r="E34" s="37">
        <v>19991600</v>
      </c>
      <c r="F34" s="37">
        <v>0</v>
      </c>
      <c r="G34" s="37">
        <v>-20000000</v>
      </c>
      <c r="H34" s="37">
        <v>-20000000</v>
      </c>
      <c r="I34" s="37">
        <v>0</v>
      </c>
      <c r="J34" s="37">
        <v>4133.33</v>
      </c>
      <c r="K34" s="37">
        <v>4133.33</v>
      </c>
      <c r="L34" s="37">
        <v>4266.67</v>
      </c>
      <c r="M34" s="37">
        <v>8400</v>
      </c>
      <c r="N34">
        <v>0.24</v>
      </c>
      <c r="O34" s="38" t="s">
        <v>87</v>
      </c>
      <c r="P34">
        <v>0.24</v>
      </c>
      <c r="Q34" s="38" t="s">
        <v>89</v>
      </c>
      <c r="R34" t="s">
        <v>87</v>
      </c>
    </row>
    <row r="35" spans="1:18" x14ac:dyDescent="0.25">
      <c r="A35" s="35" t="s">
        <v>106</v>
      </c>
      <c r="B35" s="36">
        <v>44166</v>
      </c>
      <c r="C35" s="36">
        <v>44218</v>
      </c>
      <c r="D35" s="37">
        <v>23000000</v>
      </c>
      <c r="E35" s="37">
        <v>22992358.890000001</v>
      </c>
      <c r="F35" s="37">
        <v>0</v>
      </c>
      <c r="G35" s="37">
        <v>-23000000</v>
      </c>
      <c r="H35" s="37">
        <v>-23000000</v>
      </c>
      <c r="I35" s="37">
        <v>0</v>
      </c>
      <c r="J35" s="37">
        <v>4555.28</v>
      </c>
      <c r="K35" s="37">
        <v>4555.28</v>
      </c>
      <c r="L35" s="37">
        <v>3085.83</v>
      </c>
      <c r="M35" s="37">
        <v>7641.11</v>
      </c>
      <c r="N35">
        <v>0.23</v>
      </c>
      <c r="O35" s="38" t="s">
        <v>87</v>
      </c>
      <c r="P35">
        <v>0.23</v>
      </c>
      <c r="Q35" s="38" t="s">
        <v>89</v>
      </c>
      <c r="R35" t="s">
        <v>87</v>
      </c>
    </row>
    <row r="36" spans="1:18" x14ac:dyDescent="0.25">
      <c r="A36" s="35" t="s">
        <v>106</v>
      </c>
      <c r="B36" s="36">
        <v>44168</v>
      </c>
      <c r="C36" s="36">
        <v>44182</v>
      </c>
      <c r="D36" s="37">
        <v>24000000</v>
      </c>
      <c r="E36" s="37">
        <v>23998413.329999998</v>
      </c>
      <c r="F36" s="37">
        <v>0</v>
      </c>
      <c r="G36" s="37">
        <v>0</v>
      </c>
      <c r="H36" s="37">
        <v>-10838709.68</v>
      </c>
      <c r="I36" s="37">
        <v>0</v>
      </c>
      <c r="J36" s="37">
        <v>1586.67</v>
      </c>
      <c r="K36" s="37">
        <v>1586.67</v>
      </c>
      <c r="L36" s="37">
        <v>0</v>
      </c>
      <c r="M36" s="37">
        <v>1586.67</v>
      </c>
      <c r="N36">
        <v>0.17</v>
      </c>
      <c r="O36" s="38" t="s">
        <v>87</v>
      </c>
      <c r="P36">
        <v>0.17</v>
      </c>
      <c r="Q36" s="38" t="s">
        <v>89</v>
      </c>
      <c r="R36" t="s">
        <v>97</v>
      </c>
    </row>
    <row r="37" spans="1:18" x14ac:dyDescent="0.25">
      <c r="A37" s="35" t="s">
        <v>106</v>
      </c>
      <c r="B37" s="36">
        <v>44169</v>
      </c>
      <c r="C37" s="36">
        <v>44172</v>
      </c>
      <c r="D37" s="37">
        <v>24000000</v>
      </c>
      <c r="E37" s="37">
        <v>23999680</v>
      </c>
      <c r="F37" s="37">
        <v>0</v>
      </c>
      <c r="G37" s="37">
        <v>0</v>
      </c>
      <c r="H37" s="37">
        <v>-2322580.65</v>
      </c>
      <c r="I37" s="37">
        <v>0</v>
      </c>
      <c r="J37" s="37">
        <v>320</v>
      </c>
      <c r="K37" s="37">
        <v>320</v>
      </c>
      <c r="L37" s="37">
        <v>0</v>
      </c>
      <c r="M37" s="37">
        <v>320</v>
      </c>
      <c r="N37">
        <v>0.16</v>
      </c>
      <c r="O37" s="38" t="s">
        <v>87</v>
      </c>
      <c r="P37">
        <v>0.16</v>
      </c>
      <c r="Q37" s="38" t="s">
        <v>89</v>
      </c>
      <c r="R37" t="s">
        <v>95</v>
      </c>
    </row>
    <row r="38" spans="1:18" x14ac:dyDescent="0.25">
      <c r="A38" s="35" t="s">
        <v>106</v>
      </c>
      <c r="B38" s="36">
        <v>44172</v>
      </c>
      <c r="C38" s="36">
        <v>44236</v>
      </c>
      <c r="D38" s="37">
        <v>20000000</v>
      </c>
      <c r="E38" s="37">
        <v>19991111.109999999</v>
      </c>
      <c r="F38" s="37">
        <v>0</v>
      </c>
      <c r="G38" s="37">
        <v>-20000000</v>
      </c>
      <c r="H38" s="37">
        <v>-16129032.26</v>
      </c>
      <c r="I38" s="37">
        <v>0</v>
      </c>
      <c r="J38" s="37">
        <v>3472.22</v>
      </c>
      <c r="K38" s="37">
        <v>3472.22</v>
      </c>
      <c r="L38" s="37">
        <v>5416.67</v>
      </c>
      <c r="M38" s="37">
        <v>8888.89</v>
      </c>
      <c r="N38">
        <v>0.25</v>
      </c>
      <c r="O38" s="38" t="s">
        <v>87</v>
      </c>
      <c r="P38">
        <v>0.25</v>
      </c>
      <c r="Q38" s="38" t="s">
        <v>89</v>
      </c>
      <c r="R38" t="s">
        <v>98</v>
      </c>
    </row>
    <row r="39" spans="1:18" x14ac:dyDescent="0.25">
      <c r="A39" s="35" t="s">
        <v>106</v>
      </c>
      <c r="B39" s="36">
        <v>44172</v>
      </c>
      <c r="C39" s="36">
        <v>44179</v>
      </c>
      <c r="D39" s="37">
        <v>25000000</v>
      </c>
      <c r="E39" s="37">
        <v>24999173.609999999</v>
      </c>
      <c r="F39" s="37">
        <v>0</v>
      </c>
      <c r="G39" s="37">
        <v>0</v>
      </c>
      <c r="H39" s="37">
        <v>-5645161.29</v>
      </c>
      <c r="I39" s="37">
        <v>0</v>
      </c>
      <c r="J39" s="37">
        <v>826.39</v>
      </c>
      <c r="K39" s="37">
        <v>826.39</v>
      </c>
      <c r="L39" s="37">
        <v>0</v>
      </c>
      <c r="M39" s="37">
        <v>826.39</v>
      </c>
      <c r="N39">
        <v>0.17</v>
      </c>
      <c r="O39" s="38" t="s">
        <v>87</v>
      </c>
      <c r="P39">
        <v>0.17</v>
      </c>
      <c r="Q39" s="38" t="s">
        <v>89</v>
      </c>
      <c r="R39" t="s">
        <v>96</v>
      </c>
    </row>
    <row r="40" spans="1:18" x14ac:dyDescent="0.25">
      <c r="A40" s="35" t="s">
        <v>106</v>
      </c>
      <c r="B40" s="36">
        <v>44172</v>
      </c>
      <c r="C40" s="36">
        <v>44264</v>
      </c>
      <c r="D40" s="37">
        <v>40000000</v>
      </c>
      <c r="E40" s="37">
        <v>39973422.219999999</v>
      </c>
      <c r="F40" s="37">
        <v>0</v>
      </c>
      <c r="G40" s="37">
        <v>-40000000</v>
      </c>
      <c r="H40" s="37">
        <v>-32258064.52</v>
      </c>
      <c r="I40" s="37">
        <v>0</v>
      </c>
      <c r="J40" s="37">
        <v>7222.22</v>
      </c>
      <c r="K40" s="37">
        <v>7222.22</v>
      </c>
      <c r="L40" s="37">
        <v>19355.560000000001</v>
      </c>
      <c r="M40" s="37">
        <v>26577.78</v>
      </c>
      <c r="N40">
        <v>0.26</v>
      </c>
      <c r="O40" s="38" t="s">
        <v>87</v>
      </c>
      <c r="P40">
        <v>0.26</v>
      </c>
      <c r="Q40" s="38" t="s">
        <v>89</v>
      </c>
      <c r="R40" t="s">
        <v>98</v>
      </c>
    </row>
    <row r="41" spans="1:18" x14ac:dyDescent="0.25">
      <c r="A41" s="35" t="s">
        <v>106</v>
      </c>
      <c r="B41" s="36">
        <v>44175</v>
      </c>
      <c r="C41" s="36">
        <v>44176</v>
      </c>
      <c r="D41" s="37">
        <v>15000000</v>
      </c>
      <c r="E41" s="37">
        <v>14999937.5</v>
      </c>
      <c r="F41" s="37">
        <v>0</v>
      </c>
      <c r="G41" s="37">
        <v>0</v>
      </c>
      <c r="H41" s="37">
        <v>-483870.97</v>
      </c>
      <c r="I41" s="37">
        <v>0</v>
      </c>
      <c r="J41" s="37">
        <v>62.5</v>
      </c>
      <c r="K41" s="37">
        <v>62.5</v>
      </c>
      <c r="L41" s="37">
        <v>0</v>
      </c>
      <c r="M41" s="37">
        <v>62.5</v>
      </c>
      <c r="N41">
        <v>0.15</v>
      </c>
      <c r="O41" s="38" t="s">
        <v>87</v>
      </c>
      <c r="P41">
        <v>0.15</v>
      </c>
      <c r="Q41" s="38" t="s">
        <v>89</v>
      </c>
      <c r="R41" t="s">
        <v>99</v>
      </c>
    </row>
    <row r="42" spans="1:18" x14ac:dyDescent="0.25">
      <c r="A42" s="35" t="s">
        <v>106</v>
      </c>
      <c r="B42" s="36">
        <v>44176</v>
      </c>
      <c r="C42" s="36">
        <v>44179</v>
      </c>
      <c r="D42" s="37">
        <v>10000000</v>
      </c>
      <c r="E42" s="37">
        <v>9999875</v>
      </c>
      <c r="F42" s="37">
        <v>0</v>
      </c>
      <c r="G42" s="37">
        <v>0</v>
      </c>
      <c r="H42" s="37">
        <v>-967741.94</v>
      </c>
      <c r="I42" s="37">
        <v>0</v>
      </c>
      <c r="J42" s="37">
        <v>125</v>
      </c>
      <c r="K42" s="37">
        <v>125</v>
      </c>
      <c r="L42" s="37">
        <v>0</v>
      </c>
      <c r="M42" s="37">
        <v>125</v>
      </c>
      <c r="N42">
        <v>0.15</v>
      </c>
      <c r="O42" s="38" t="s">
        <v>87</v>
      </c>
      <c r="P42">
        <v>0.15</v>
      </c>
      <c r="Q42" s="38" t="s">
        <v>89</v>
      </c>
      <c r="R42" t="s">
        <v>95</v>
      </c>
    </row>
    <row r="43" spans="1:18" x14ac:dyDescent="0.25">
      <c r="A43" s="35" t="s">
        <v>106</v>
      </c>
      <c r="B43" s="36">
        <v>44179</v>
      </c>
      <c r="C43" s="36">
        <v>44180</v>
      </c>
      <c r="D43" s="37">
        <v>20000000</v>
      </c>
      <c r="E43" s="37">
        <v>19999911.109999999</v>
      </c>
      <c r="F43" s="37">
        <v>0</v>
      </c>
      <c r="G43" s="37">
        <v>0</v>
      </c>
      <c r="H43" s="37">
        <v>-645161.29</v>
      </c>
      <c r="I43" s="37">
        <v>0</v>
      </c>
      <c r="J43" s="37">
        <v>88.89</v>
      </c>
      <c r="K43" s="37">
        <v>88.89</v>
      </c>
      <c r="L43" s="37">
        <v>0</v>
      </c>
      <c r="M43" s="37">
        <v>88.89</v>
      </c>
      <c r="N43">
        <v>0.16</v>
      </c>
      <c r="O43" s="38" t="s">
        <v>87</v>
      </c>
      <c r="P43">
        <v>0.16</v>
      </c>
      <c r="Q43" s="38" t="s">
        <v>89</v>
      </c>
      <c r="R43" t="s">
        <v>99</v>
      </c>
    </row>
    <row r="44" spans="1:18" x14ac:dyDescent="0.25">
      <c r="A44" s="35" t="s">
        <v>106</v>
      </c>
      <c r="B44" s="36">
        <v>44179</v>
      </c>
      <c r="C44" s="36">
        <v>44180</v>
      </c>
      <c r="D44" s="37">
        <v>5000000</v>
      </c>
      <c r="E44" s="37">
        <v>4999979.17</v>
      </c>
      <c r="F44" s="37">
        <v>0</v>
      </c>
      <c r="G44" s="37">
        <v>0</v>
      </c>
      <c r="H44" s="37">
        <v>-161290.32</v>
      </c>
      <c r="I44" s="37">
        <v>0</v>
      </c>
      <c r="J44" s="37">
        <v>20.83</v>
      </c>
      <c r="K44" s="37">
        <v>20.83</v>
      </c>
      <c r="L44" s="37">
        <v>0</v>
      </c>
      <c r="M44" s="37">
        <v>20.83</v>
      </c>
      <c r="N44">
        <v>0.15</v>
      </c>
      <c r="O44" s="38" t="s">
        <v>87</v>
      </c>
      <c r="P44">
        <v>0.15</v>
      </c>
      <c r="Q44" s="38" t="s">
        <v>89</v>
      </c>
      <c r="R44" t="s">
        <v>99</v>
      </c>
    </row>
    <row r="45" spans="1:18" x14ac:dyDescent="0.25">
      <c r="A45" s="35" t="s">
        <v>106</v>
      </c>
      <c r="B45" s="36">
        <v>44179</v>
      </c>
      <c r="C45" s="36">
        <v>44244</v>
      </c>
      <c r="D45" s="37">
        <v>20000000</v>
      </c>
      <c r="E45" s="37">
        <v>19990972.219999999</v>
      </c>
      <c r="F45" s="37">
        <v>0</v>
      </c>
      <c r="G45" s="37">
        <v>-20000000</v>
      </c>
      <c r="H45" s="37">
        <v>-11612903.23</v>
      </c>
      <c r="I45" s="37">
        <v>0</v>
      </c>
      <c r="J45" s="37">
        <v>2500</v>
      </c>
      <c r="K45" s="37">
        <v>2500</v>
      </c>
      <c r="L45" s="37">
        <v>6527.78</v>
      </c>
      <c r="M45" s="37">
        <v>9027.7800000000007</v>
      </c>
      <c r="N45">
        <v>0.25</v>
      </c>
      <c r="O45" s="38" t="s">
        <v>87</v>
      </c>
      <c r="P45">
        <v>0.25</v>
      </c>
      <c r="Q45" s="38" t="s">
        <v>89</v>
      </c>
      <c r="R45" t="s">
        <v>100</v>
      </c>
    </row>
    <row r="46" spans="1:18" x14ac:dyDescent="0.25">
      <c r="A46" s="35" t="s">
        <v>106</v>
      </c>
      <c r="B46" s="36">
        <v>44180</v>
      </c>
      <c r="C46" s="36">
        <v>44181</v>
      </c>
      <c r="D46" s="37">
        <v>15000000</v>
      </c>
      <c r="E46" s="37">
        <v>14999937.5</v>
      </c>
      <c r="F46" s="37">
        <v>0</v>
      </c>
      <c r="G46" s="37">
        <v>0</v>
      </c>
      <c r="H46" s="37">
        <v>-483870.97</v>
      </c>
      <c r="I46" s="37">
        <v>0</v>
      </c>
      <c r="J46" s="37">
        <v>62.5</v>
      </c>
      <c r="K46" s="37">
        <v>62.5</v>
      </c>
      <c r="L46" s="37">
        <v>0</v>
      </c>
      <c r="M46" s="37">
        <v>62.5</v>
      </c>
      <c r="N46">
        <v>0.15</v>
      </c>
      <c r="O46" s="38" t="s">
        <v>87</v>
      </c>
      <c r="P46">
        <v>0.15</v>
      </c>
      <c r="Q46" s="38" t="s">
        <v>89</v>
      </c>
      <c r="R46" t="s">
        <v>99</v>
      </c>
    </row>
    <row r="47" spans="1:18" x14ac:dyDescent="0.25">
      <c r="A47" s="35" t="s">
        <v>106</v>
      </c>
      <c r="B47" s="36">
        <v>44180</v>
      </c>
      <c r="C47" s="36">
        <v>44244</v>
      </c>
      <c r="D47" s="37">
        <v>10000000</v>
      </c>
      <c r="E47" s="37">
        <v>9995377.7799999993</v>
      </c>
      <c r="F47" s="37">
        <v>0</v>
      </c>
      <c r="G47" s="37">
        <v>-10000000</v>
      </c>
      <c r="H47" s="37">
        <v>-5483870.9699999997</v>
      </c>
      <c r="I47" s="37">
        <v>0</v>
      </c>
      <c r="J47" s="37">
        <v>1227.78</v>
      </c>
      <c r="K47" s="37">
        <v>1227.78</v>
      </c>
      <c r="L47" s="37">
        <v>3394.44</v>
      </c>
      <c r="M47" s="37">
        <v>4622.22</v>
      </c>
      <c r="N47">
        <v>0.26</v>
      </c>
      <c r="O47" s="38" t="s">
        <v>87</v>
      </c>
      <c r="P47">
        <v>0.26</v>
      </c>
      <c r="Q47" s="38" t="s">
        <v>89</v>
      </c>
      <c r="R47" t="s">
        <v>93</v>
      </c>
    </row>
    <row r="48" spans="1:18" x14ac:dyDescent="0.25">
      <c r="A48" s="35" t="s">
        <v>106</v>
      </c>
      <c r="B48" s="36">
        <v>44181</v>
      </c>
      <c r="C48" s="36">
        <v>44194</v>
      </c>
      <c r="D48" s="37">
        <v>8000000</v>
      </c>
      <c r="E48" s="37">
        <v>7999393.3300000001</v>
      </c>
      <c r="F48" s="37">
        <v>0</v>
      </c>
      <c r="G48" s="37">
        <v>0</v>
      </c>
      <c r="H48" s="37">
        <v>-3354838.71</v>
      </c>
      <c r="I48" s="37">
        <v>0</v>
      </c>
      <c r="J48" s="37">
        <v>606.66999999999996</v>
      </c>
      <c r="K48" s="37">
        <v>606.66999999999996</v>
      </c>
      <c r="L48" s="37">
        <v>0</v>
      </c>
      <c r="M48" s="37">
        <v>606.66999999999996</v>
      </c>
      <c r="N48">
        <v>0.21</v>
      </c>
      <c r="O48" s="38" t="s">
        <v>87</v>
      </c>
      <c r="P48">
        <v>0.21</v>
      </c>
      <c r="Q48" s="38" t="s">
        <v>89</v>
      </c>
      <c r="R48" t="s">
        <v>101</v>
      </c>
    </row>
    <row r="49" spans="1:18" x14ac:dyDescent="0.25">
      <c r="A49" s="35" t="s">
        <v>106</v>
      </c>
      <c r="B49" s="36">
        <v>44181</v>
      </c>
      <c r="C49" s="36">
        <v>44221</v>
      </c>
      <c r="D49" s="37">
        <v>10000000</v>
      </c>
      <c r="E49" s="37">
        <v>9997333.3300000001</v>
      </c>
      <c r="F49" s="37">
        <v>0</v>
      </c>
      <c r="G49" s="37">
        <v>-10000000</v>
      </c>
      <c r="H49" s="37">
        <v>-5161290.32</v>
      </c>
      <c r="I49" s="37">
        <v>0</v>
      </c>
      <c r="J49" s="37">
        <v>1066.67</v>
      </c>
      <c r="K49" s="37">
        <v>1066.67</v>
      </c>
      <c r="L49" s="37">
        <v>1600</v>
      </c>
      <c r="M49" s="37">
        <v>2666.67</v>
      </c>
      <c r="N49">
        <v>0.24</v>
      </c>
      <c r="O49" s="38" t="s">
        <v>87</v>
      </c>
      <c r="P49">
        <v>0.24</v>
      </c>
      <c r="Q49" s="38" t="s">
        <v>89</v>
      </c>
      <c r="R49" t="s">
        <v>102</v>
      </c>
    </row>
    <row r="50" spans="1:18" x14ac:dyDescent="0.25">
      <c r="A50" s="35" t="s">
        <v>106</v>
      </c>
      <c r="B50" s="36">
        <v>44182</v>
      </c>
      <c r="C50" s="36">
        <v>44183</v>
      </c>
      <c r="D50" s="37">
        <v>24000000</v>
      </c>
      <c r="E50" s="37">
        <v>23999900</v>
      </c>
      <c r="F50" s="37">
        <v>0</v>
      </c>
      <c r="G50" s="37">
        <v>0</v>
      </c>
      <c r="H50" s="37">
        <v>-774193.55</v>
      </c>
      <c r="I50" s="37">
        <v>0</v>
      </c>
      <c r="J50" s="37">
        <v>100</v>
      </c>
      <c r="K50" s="37">
        <v>100</v>
      </c>
      <c r="L50" s="37">
        <v>0</v>
      </c>
      <c r="M50" s="37">
        <v>100</v>
      </c>
      <c r="N50">
        <v>0.15</v>
      </c>
      <c r="O50" s="38" t="s">
        <v>87</v>
      </c>
      <c r="P50">
        <v>0.15</v>
      </c>
      <c r="Q50" s="38" t="s">
        <v>89</v>
      </c>
      <c r="R50" t="s">
        <v>99</v>
      </c>
    </row>
    <row r="51" spans="1:18" x14ac:dyDescent="0.25">
      <c r="A51" s="35" t="s">
        <v>106</v>
      </c>
      <c r="B51" s="36">
        <v>44183</v>
      </c>
      <c r="C51" s="36">
        <v>44186</v>
      </c>
      <c r="D51" s="37">
        <v>24000000</v>
      </c>
      <c r="E51" s="37">
        <v>23999700</v>
      </c>
      <c r="F51" s="37">
        <v>0</v>
      </c>
      <c r="G51" s="37">
        <v>0</v>
      </c>
      <c r="H51" s="37">
        <v>-2322580.65</v>
      </c>
      <c r="I51" s="37">
        <v>0</v>
      </c>
      <c r="J51" s="37">
        <v>300</v>
      </c>
      <c r="K51" s="37">
        <v>300</v>
      </c>
      <c r="L51" s="37">
        <v>0</v>
      </c>
      <c r="M51" s="37">
        <v>300</v>
      </c>
      <c r="N51">
        <v>0.15</v>
      </c>
      <c r="O51" s="38" t="s">
        <v>87</v>
      </c>
      <c r="P51">
        <v>0.15</v>
      </c>
      <c r="Q51" s="38" t="s">
        <v>89</v>
      </c>
      <c r="R51" t="s">
        <v>95</v>
      </c>
    </row>
    <row r="52" spans="1:18" x14ac:dyDescent="0.25">
      <c r="A52" s="35" t="s">
        <v>106</v>
      </c>
      <c r="B52" s="36">
        <v>44183</v>
      </c>
      <c r="C52" s="36">
        <v>44186</v>
      </c>
      <c r="D52" s="37">
        <v>19000000</v>
      </c>
      <c r="E52" s="37">
        <v>18999762.5</v>
      </c>
      <c r="F52" s="37">
        <v>0</v>
      </c>
      <c r="G52" s="37">
        <v>0</v>
      </c>
      <c r="H52" s="37">
        <v>-1838709.68</v>
      </c>
      <c r="I52" s="37">
        <v>0</v>
      </c>
      <c r="J52" s="37">
        <v>237.5</v>
      </c>
      <c r="K52" s="37">
        <v>237.5</v>
      </c>
      <c r="L52" s="37">
        <v>0</v>
      </c>
      <c r="M52" s="37">
        <v>237.5</v>
      </c>
      <c r="N52">
        <v>0.15</v>
      </c>
      <c r="O52" s="38" t="s">
        <v>87</v>
      </c>
      <c r="P52">
        <v>0.15</v>
      </c>
      <c r="Q52" s="38" t="s">
        <v>89</v>
      </c>
      <c r="R52" t="s">
        <v>95</v>
      </c>
    </row>
    <row r="53" spans="1:18" x14ac:dyDescent="0.25">
      <c r="A53" s="35" t="s">
        <v>106</v>
      </c>
      <c r="B53" s="36">
        <v>44183</v>
      </c>
      <c r="C53" s="36">
        <v>44193</v>
      </c>
      <c r="D53" s="37">
        <v>15000000</v>
      </c>
      <c r="E53" s="37">
        <v>14999250</v>
      </c>
      <c r="F53" s="37">
        <v>0</v>
      </c>
      <c r="G53" s="37">
        <v>0</v>
      </c>
      <c r="H53" s="37">
        <v>-4838709.68</v>
      </c>
      <c r="I53" s="37">
        <v>0</v>
      </c>
      <c r="J53" s="37">
        <v>750</v>
      </c>
      <c r="K53" s="37">
        <v>750</v>
      </c>
      <c r="L53" s="37">
        <v>0</v>
      </c>
      <c r="M53" s="37">
        <v>750</v>
      </c>
      <c r="N53">
        <v>0.18</v>
      </c>
      <c r="O53" s="38" t="s">
        <v>87</v>
      </c>
      <c r="P53">
        <v>0.18</v>
      </c>
      <c r="Q53" s="38" t="s">
        <v>89</v>
      </c>
      <c r="R53" t="s">
        <v>103</v>
      </c>
    </row>
    <row r="54" spans="1:18" x14ac:dyDescent="0.25">
      <c r="A54" s="35" t="s">
        <v>106</v>
      </c>
      <c r="B54" s="36">
        <v>44186</v>
      </c>
      <c r="C54" s="36">
        <v>44187</v>
      </c>
      <c r="D54" s="37">
        <v>25000000</v>
      </c>
      <c r="E54" s="37">
        <v>24999895.829999998</v>
      </c>
      <c r="F54" s="37">
        <v>0</v>
      </c>
      <c r="G54" s="37">
        <v>0</v>
      </c>
      <c r="H54" s="37">
        <v>-806451.61</v>
      </c>
      <c r="I54" s="37">
        <v>0</v>
      </c>
      <c r="J54" s="37">
        <v>104.17</v>
      </c>
      <c r="K54" s="37">
        <v>104.17</v>
      </c>
      <c r="L54" s="37">
        <v>0</v>
      </c>
      <c r="M54" s="37">
        <v>104.17</v>
      </c>
      <c r="N54">
        <v>0.15</v>
      </c>
      <c r="O54" s="38" t="s">
        <v>87</v>
      </c>
      <c r="P54">
        <v>0.15</v>
      </c>
      <c r="Q54" s="38" t="s">
        <v>89</v>
      </c>
      <c r="R54" t="s">
        <v>99</v>
      </c>
    </row>
    <row r="55" spans="1:18" x14ac:dyDescent="0.25">
      <c r="A55" s="35" t="s">
        <v>106</v>
      </c>
      <c r="B55" s="36">
        <v>44186</v>
      </c>
      <c r="C55" s="36">
        <v>44188</v>
      </c>
      <c r="D55" s="37">
        <v>17000000</v>
      </c>
      <c r="E55" s="37">
        <v>16999830</v>
      </c>
      <c r="F55" s="37">
        <v>0</v>
      </c>
      <c r="G55" s="37">
        <v>0</v>
      </c>
      <c r="H55" s="37">
        <v>-1096774.19</v>
      </c>
      <c r="I55" s="37">
        <v>0</v>
      </c>
      <c r="J55" s="37">
        <v>170</v>
      </c>
      <c r="K55" s="37">
        <v>170</v>
      </c>
      <c r="L55" s="37">
        <v>0</v>
      </c>
      <c r="M55" s="37">
        <v>170</v>
      </c>
      <c r="N55">
        <v>0.18</v>
      </c>
      <c r="O55" s="38" t="s">
        <v>87</v>
      </c>
      <c r="P55">
        <v>0.18</v>
      </c>
      <c r="Q55" s="38" t="s">
        <v>89</v>
      </c>
      <c r="R55" t="s">
        <v>94</v>
      </c>
    </row>
    <row r="56" spans="1:18" x14ac:dyDescent="0.25">
      <c r="A56" s="35" t="s">
        <v>106</v>
      </c>
      <c r="B56" s="36">
        <v>44186</v>
      </c>
      <c r="C56" s="36">
        <v>44187</v>
      </c>
      <c r="D56" s="37">
        <v>10000000</v>
      </c>
      <c r="E56" s="37">
        <v>9999955.5600000005</v>
      </c>
      <c r="F56" s="37">
        <v>0</v>
      </c>
      <c r="G56" s="37">
        <v>0</v>
      </c>
      <c r="H56" s="37">
        <v>-322580.65000000002</v>
      </c>
      <c r="I56" s="37">
        <v>0</v>
      </c>
      <c r="J56" s="37">
        <v>44.44</v>
      </c>
      <c r="K56" s="37">
        <v>44.44</v>
      </c>
      <c r="L56" s="37">
        <v>0</v>
      </c>
      <c r="M56" s="37">
        <v>44.44</v>
      </c>
      <c r="N56">
        <v>0.16</v>
      </c>
      <c r="O56" s="38" t="s">
        <v>87</v>
      </c>
      <c r="P56">
        <v>0.16</v>
      </c>
      <c r="Q56" s="38" t="s">
        <v>89</v>
      </c>
      <c r="R56" t="s">
        <v>99</v>
      </c>
    </row>
    <row r="57" spans="1:18" x14ac:dyDescent="0.25">
      <c r="A57" s="35" t="s">
        <v>106</v>
      </c>
      <c r="B57" s="36">
        <v>44187</v>
      </c>
      <c r="C57" s="36">
        <v>44188</v>
      </c>
      <c r="D57" s="37">
        <v>30000000</v>
      </c>
      <c r="E57" s="37">
        <v>29999866.670000002</v>
      </c>
      <c r="F57" s="37">
        <v>0</v>
      </c>
      <c r="G57" s="37">
        <v>0</v>
      </c>
      <c r="H57" s="37">
        <v>-967741.94</v>
      </c>
      <c r="I57" s="37">
        <v>0</v>
      </c>
      <c r="J57" s="37">
        <v>133.33000000000001</v>
      </c>
      <c r="K57" s="37">
        <v>133.33000000000001</v>
      </c>
      <c r="L57" s="37">
        <v>0</v>
      </c>
      <c r="M57" s="37">
        <v>133.33000000000001</v>
      </c>
      <c r="N57">
        <v>0.16</v>
      </c>
      <c r="O57" s="38" t="s">
        <v>87</v>
      </c>
      <c r="P57">
        <v>0.16</v>
      </c>
      <c r="Q57" s="38" t="s">
        <v>89</v>
      </c>
      <c r="R57" t="s">
        <v>99</v>
      </c>
    </row>
    <row r="58" spans="1:18" x14ac:dyDescent="0.25">
      <c r="A58" s="35" t="s">
        <v>106</v>
      </c>
      <c r="B58" s="36">
        <v>44188</v>
      </c>
      <c r="C58" s="36">
        <v>44193</v>
      </c>
      <c r="D58" s="37">
        <v>20000000</v>
      </c>
      <c r="E58" s="37">
        <v>19999555.559999999</v>
      </c>
      <c r="F58" s="37">
        <v>0</v>
      </c>
      <c r="G58" s="37">
        <v>0</v>
      </c>
      <c r="H58" s="37">
        <v>-3225806.45</v>
      </c>
      <c r="I58" s="37">
        <v>0</v>
      </c>
      <c r="J58" s="37">
        <v>444.44</v>
      </c>
      <c r="K58" s="37">
        <v>444.44</v>
      </c>
      <c r="L58" s="37">
        <v>0</v>
      </c>
      <c r="M58" s="37">
        <v>444.44</v>
      </c>
      <c r="N58">
        <v>0.16</v>
      </c>
      <c r="O58" s="38" t="s">
        <v>87</v>
      </c>
      <c r="P58">
        <v>0.16</v>
      </c>
      <c r="Q58" s="38" t="s">
        <v>89</v>
      </c>
      <c r="R58" t="s">
        <v>104</v>
      </c>
    </row>
    <row r="59" spans="1:18" x14ac:dyDescent="0.25">
      <c r="A59" s="35" t="s">
        <v>106</v>
      </c>
      <c r="B59" s="36">
        <v>44188</v>
      </c>
      <c r="C59" s="36">
        <v>44194</v>
      </c>
      <c r="D59" s="37">
        <v>30000000</v>
      </c>
      <c r="E59" s="37">
        <v>29999150</v>
      </c>
      <c r="F59" s="37">
        <v>0</v>
      </c>
      <c r="G59" s="37">
        <v>0</v>
      </c>
      <c r="H59" s="37">
        <v>-5806451.6100000003</v>
      </c>
      <c r="I59" s="37">
        <v>0</v>
      </c>
      <c r="J59" s="37">
        <v>850</v>
      </c>
      <c r="K59" s="37">
        <v>850</v>
      </c>
      <c r="L59" s="37">
        <v>0</v>
      </c>
      <c r="M59" s="37">
        <v>850</v>
      </c>
      <c r="N59">
        <v>0.17</v>
      </c>
      <c r="O59" s="38" t="s">
        <v>87</v>
      </c>
      <c r="P59">
        <v>0.17</v>
      </c>
      <c r="Q59" s="38" t="s">
        <v>89</v>
      </c>
      <c r="R59" t="s">
        <v>90</v>
      </c>
    </row>
    <row r="60" spans="1:18" x14ac:dyDescent="0.25">
      <c r="A60" s="35" t="s">
        <v>106</v>
      </c>
      <c r="B60" s="36">
        <v>44193</v>
      </c>
      <c r="C60" s="36">
        <v>44194</v>
      </c>
      <c r="D60" s="37">
        <v>12000000</v>
      </c>
      <c r="E60" s="37">
        <v>11999950</v>
      </c>
      <c r="F60" s="37">
        <v>0</v>
      </c>
      <c r="G60" s="37">
        <v>0</v>
      </c>
      <c r="H60" s="37">
        <v>-387096.77</v>
      </c>
      <c r="I60" s="37">
        <v>0</v>
      </c>
      <c r="J60" s="37">
        <v>50</v>
      </c>
      <c r="K60" s="37">
        <v>50</v>
      </c>
      <c r="L60" s="37">
        <v>0</v>
      </c>
      <c r="M60" s="37">
        <v>50</v>
      </c>
      <c r="N60">
        <v>0.15</v>
      </c>
      <c r="O60" s="38" t="s">
        <v>87</v>
      </c>
      <c r="P60">
        <v>0.15</v>
      </c>
      <c r="Q60" s="38" t="s">
        <v>89</v>
      </c>
      <c r="R60" t="s">
        <v>99</v>
      </c>
    </row>
    <row r="61" spans="1:18" x14ac:dyDescent="0.25">
      <c r="A61" s="35" t="s">
        <v>106</v>
      </c>
      <c r="B61" s="36">
        <v>44193</v>
      </c>
      <c r="C61" s="36">
        <v>44224</v>
      </c>
      <c r="D61" s="37">
        <v>20000000</v>
      </c>
      <c r="E61" s="37">
        <v>19996555.559999999</v>
      </c>
      <c r="F61" s="37">
        <v>0</v>
      </c>
      <c r="G61" s="37">
        <v>-20000000</v>
      </c>
      <c r="H61" s="37">
        <v>-2580645.16</v>
      </c>
      <c r="I61" s="37">
        <v>0</v>
      </c>
      <c r="J61" s="37">
        <v>444.44</v>
      </c>
      <c r="K61" s="37">
        <v>444.44</v>
      </c>
      <c r="L61" s="37">
        <v>3000</v>
      </c>
      <c r="M61" s="37">
        <v>3444.44</v>
      </c>
      <c r="N61">
        <v>0.2</v>
      </c>
      <c r="O61" s="38" t="s">
        <v>87</v>
      </c>
      <c r="P61">
        <v>0.2</v>
      </c>
      <c r="Q61" s="38" t="s">
        <v>89</v>
      </c>
      <c r="R61" t="s">
        <v>105</v>
      </c>
    </row>
    <row r="62" spans="1:18" x14ac:dyDescent="0.25">
      <c r="A62" s="35" t="s">
        <v>106</v>
      </c>
      <c r="B62" s="36">
        <v>44194</v>
      </c>
      <c r="C62" s="36">
        <v>44195</v>
      </c>
      <c r="D62" s="37">
        <v>5000000</v>
      </c>
      <c r="E62" s="37">
        <v>4999979.17</v>
      </c>
      <c r="F62" s="37">
        <v>0</v>
      </c>
      <c r="G62" s="37">
        <v>0</v>
      </c>
      <c r="H62" s="37">
        <v>-161290.32</v>
      </c>
      <c r="I62" s="37">
        <v>0</v>
      </c>
      <c r="J62" s="37">
        <v>20.83</v>
      </c>
      <c r="K62" s="37">
        <v>20.83</v>
      </c>
      <c r="L62" s="37">
        <v>0</v>
      </c>
      <c r="M62" s="37">
        <v>20.83</v>
      </c>
      <c r="N62">
        <v>0.15</v>
      </c>
      <c r="O62" s="38" t="s">
        <v>87</v>
      </c>
      <c r="P62">
        <v>0.15</v>
      </c>
      <c r="Q62" s="38" t="s">
        <v>89</v>
      </c>
      <c r="R62" t="s">
        <v>99</v>
      </c>
    </row>
    <row r="63" spans="1:18" x14ac:dyDescent="0.25">
      <c r="A63" s="35" t="s">
        <v>106</v>
      </c>
      <c r="B63" s="36">
        <v>44194</v>
      </c>
      <c r="C63" s="36">
        <v>44221</v>
      </c>
      <c r="D63" s="37">
        <v>7000000</v>
      </c>
      <c r="E63" s="37">
        <v>6998687.5</v>
      </c>
      <c r="F63" s="37">
        <v>0</v>
      </c>
      <c r="G63" s="37">
        <v>-7000000</v>
      </c>
      <c r="H63" s="37">
        <v>-677419.35</v>
      </c>
      <c r="I63" s="37">
        <v>0</v>
      </c>
      <c r="J63" s="37">
        <v>145.83000000000001</v>
      </c>
      <c r="K63" s="37">
        <v>145.83000000000001</v>
      </c>
      <c r="L63" s="37">
        <v>1166.67</v>
      </c>
      <c r="M63" s="37">
        <v>1312.5</v>
      </c>
      <c r="N63">
        <v>0.25</v>
      </c>
      <c r="O63" s="38" t="s">
        <v>87</v>
      </c>
      <c r="P63">
        <v>0.25</v>
      </c>
      <c r="Q63" s="38" t="s">
        <v>89</v>
      </c>
      <c r="R63" t="s">
        <v>95</v>
      </c>
    </row>
    <row r="64" spans="1:18" x14ac:dyDescent="0.25">
      <c r="A64" s="35" t="s">
        <v>106</v>
      </c>
      <c r="B64" s="36">
        <v>44194</v>
      </c>
      <c r="C64" s="36">
        <v>44232</v>
      </c>
      <c r="D64" s="37">
        <v>8000000</v>
      </c>
      <c r="E64" s="37">
        <v>7997804.4400000004</v>
      </c>
      <c r="F64" s="37">
        <v>0</v>
      </c>
      <c r="G64" s="37">
        <v>-8000000</v>
      </c>
      <c r="H64" s="37">
        <v>-774193.55</v>
      </c>
      <c r="I64" s="37">
        <v>0</v>
      </c>
      <c r="J64" s="37">
        <v>173.33</v>
      </c>
      <c r="K64" s="37">
        <v>173.33</v>
      </c>
      <c r="L64" s="37">
        <v>2022.23</v>
      </c>
      <c r="M64" s="37">
        <v>2195.56</v>
      </c>
      <c r="N64">
        <v>0.26</v>
      </c>
      <c r="O64" s="38" t="s">
        <v>87</v>
      </c>
      <c r="P64">
        <v>0.26</v>
      </c>
      <c r="Q64" s="38" t="s">
        <v>89</v>
      </c>
      <c r="R64" t="s">
        <v>95</v>
      </c>
    </row>
    <row r="65" spans="1:18" x14ac:dyDescent="0.25">
      <c r="A65" s="35" t="s">
        <v>106</v>
      </c>
      <c r="B65" s="36">
        <v>44194</v>
      </c>
      <c r="C65" s="36">
        <v>44195</v>
      </c>
      <c r="D65" s="37">
        <v>28000000</v>
      </c>
      <c r="E65" s="37">
        <v>27999875.559999999</v>
      </c>
      <c r="F65" s="37">
        <v>0</v>
      </c>
      <c r="G65" s="37">
        <v>0</v>
      </c>
      <c r="H65" s="37">
        <v>-903225.81</v>
      </c>
      <c r="I65" s="37">
        <v>0</v>
      </c>
      <c r="J65" s="37">
        <v>124.44</v>
      </c>
      <c r="K65" s="37">
        <v>124.44</v>
      </c>
      <c r="L65" s="37">
        <v>0</v>
      </c>
      <c r="M65" s="37">
        <v>124.44</v>
      </c>
      <c r="N65">
        <v>0.16</v>
      </c>
      <c r="O65" s="38" t="s">
        <v>87</v>
      </c>
      <c r="P65">
        <v>0.16</v>
      </c>
      <c r="Q65" s="38" t="s">
        <v>89</v>
      </c>
      <c r="R65" t="s">
        <v>99</v>
      </c>
    </row>
    <row r="66" spans="1:18" x14ac:dyDescent="0.25">
      <c r="A66" s="35" t="s">
        <v>106</v>
      </c>
      <c r="B66" s="36">
        <v>44195</v>
      </c>
      <c r="C66" s="36">
        <v>44196</v>
      </c>
      <c r="D66" s="37">
        <v>20000000</v>
      </c>
      <c r="E66" s="37">
        <v>19999911.109999999</v>
      </c>
      <c r="F66" s="37">
        <v>0</v>
      </c>
      <c r="G66" s="37">
        <v>0</v>
      </c>
      <c r="H66" s="37">
        <v>-645161.29</v>
      </c>
      <c r="I66" s="37">
        <v>0</v>
      </c>
      <c r="J66" s="37">
        <v>88.89</v>
      </c>
      <c r="K66" s="37">
        <v>88.89</v>
      </c>
      <c r="L66" s="37">
        <v>0</v>
      </c>
      <c r="M66" s="37">
        <v>88.89</v>
      </c>
      <c r="N66">
        <v>0.16</v>
      </c>
      <c r="O66" s="38" t="s">
        <v>87</v>
      </c>
      <c r="P66">
        <v>0.16</v>
      </c>
      <c r="Q66" s="38" t="s">
        <v>89</v>
      </c>
      <c r="R66" t="s">
        <v>99</v>
      </c>
    </row>
    <row r="67" spans="1:18" x14ac:dyDescent="0.25">
      <c r="A67" s="35" t="s">
        <v>106</v>
      </c>
      <c r="B67" s="36">
        <v>44195</v>
      </c>
      <c r="C67" s="36">
        <v>44228</v>
      </c>
      <c r="D67" s="37">
        <v>10000000</v>
      </c>
      <c r="E67" s="37">
        <v>9998166.6699999999</v>
      </c>
      <c r="F67" s="37">
        <v>0</v>
      </c>
      <c r="G67" s="37">
        <v>-10000000</v>
      </c>
      <c r="H67" s="37">
        <v>-645161.29</v>
      </c>
      <c r="I67" s="37">
        <v>0</v>
      </c>
      <c r="J67" s="37">
        <v>111.11</v>
      </c>
      <c r="K67" s="37">
        <v>111.11</v>
      </c>
      <c r="L67" s="37">
        <v>1722.22</v>
      </c>
      <c r="M67" s="37">
        <v>1833.33</v>
      </c>
      <c r="N67">
        <v>0.2</v>
      </c>
      <c r="O67" s="38" t="s">
        <v>87</v>
      </c>
      <c r="P67">
        <v>0.2</v>
      </c>
      <c r="Q67" s="38" t="s">
        <v>89</v>
      </c>
      <c r="R67" t="s">
        <v>94</v>
      </c>
    </row>
    <row r="68" spans="1:18" x14ac:dyDescent="0.25">
      <c r="A68" s="35" t="s">
        <v>106</v>
      </c>
      <c r="B68" s="36">
        <v>44196</v>
      </c>
      <c r="C68" s="36">
        <v>44228</v>
      </c>
      <c r="D68" s="37">
        <v>20000000</v>
      </c>
      <c r="E68" s="37">
        <v>19996622.219999999</v>
      </c>
      <c r="F68" s="37">
        <v>0</v>
      </c>
      <c r="G68" s="37">
        <v>-20000000</v>
      </c>
      <c r="H68" s="37">
        <v>-645161.29</v>
      </c>
      <c r="I68" s="37">
        <v>0</v>
      </c>
      <c r="J68" s="37">
        <v>105.56</v>
      </c>
      <c r="K68" s="37">
        <v>105.56</v>
      </c>
      <c r="L68" s="37">
        <v>3272.22</v>
      </c>
      <c r="M68" s="37">
        <v>3377.78</v>
      </c>
      <c r="N68">
        <v>0.19</v>
      </c>
      <c r="O68" s="38" t="s">
        <v>87</v>
      </c>
      <c r="P68">
        <v>0.19</v>
      </c>
      <c r="Q68" s="38" t="s">
        <v>89</v>
      </c>
      <c r="R68" t="s">
        <v>99</v>
      </c>
    </row>
    <row r="69" spans="1:18" x14ac:dyDescent="0.25">
      <c r="A69" s="35" t="s">
        <v>106</v>
      </c>
      <c r="B69" s="36">
        <v>44196</v>
      </c>
      <c r="C69" s="36">
        <v>44229</v>
      </c>
      <c r="D69" s="37">
        <v>15000000</v>
      </c>
      <c r="E69" s="37">
        <v>14997250</v>
      </c>
      <c r="F69" s="37">
        <v>0</v>
      </c>
      <c r="G69" s="37">
        <v>-15000000</v>
      </c>
      <c r="H69" s="37">
        <v>-483870.97</v>
      </c>
      <c r="I69" s="37">
        <v>0</v>
      </c>
      <c r="J69" s="37">
        <v>83.33</v>
      </c>
      <c r="K69" s="37">
        <v>83.33</v>
      </c>
      <c r="L69" s="37">
        <v>2666.67</v>
      </c>
      <c r="M69" s="37">
        <v>2750</v>
      </c>
      <c r="N69">
        <v>0.2</v>
      </c>
      <c r="O69" s="38" t="s">
        <v>87</v>
      </c>
      <c r="P69">
        <v>0.2</v>
      </c>
      <c r="Q69" s="38" t="s">
        <v>89</v>
      </c>
      <c r="R69" t="s">
        <v>99</v>
      </c>
    </row>
    <row r="70" spans="1:18" x14ac:dyDescent="0.25">
      <c r="A70" t="s">
        <v>88</v>
      </c>
      <c r="D70" s="37">
        <v>1393000000</v>
      </c>
      <c r="E70" s="37">
        <v>1392554484.72</v>
      </c>
      <c r="F70" s="37">
        <v>-745000000</v>
      </c>
      <c r="G70" s="37">
        <v>-786000000</v>
      </c>
      <c r="H70" s="37">
        <v>-767064516.15999997</v>
      </c>
      <c r="I70" s="37">
        <v>152753.89000000001</v>
      </c>
      <c r="J70" s="37">
        <v>156592.20000000001</v>
      </c>
      <c r="K70" s="37">
        <v>309346.09000000003</v>
      </c>
      <c r="L70" s="37">
        <v>136169.19</v>
      </c>
      <c r="M70" s="37">
        <v>445515.28</v>
      </c>
      <c r="N70">
        <v>-0.23707130000000001</v>
      </c>
      <c r="O70" s="38" t="s">
        <v>88</v>
      </c>
      <c r="P70">
        <v>0</v>
      </c>
      <c r="Q70" s="38" t="s">
        <v>88</v>
      </c>
      <c r="R70" t="s">
        <v>88</v>
      </c>
    </row>
    <row r="71" spans="1:18" x14ac:dyDescent="0.25">
      <c r="D71" s="37">
        <v>1393000000</v>
      </c>
      <c r="E71" s="37">
        <v>1392554484.72</v>
      </c>
      <c r="F71" s="37">
        <v>-745000000</v>
      </c>
      <c r="G71" s="37">
        <v>-786000000</v>
      </c>
      <c r="H71" s="37">
        <v>-767064516.15999997</v>
      </c>
      <c r="I71" s="37">
        <v>152753.89000000001</v>
      </c>
      <c r="J71" s="37">
        <v>156592.20000000001</v>
      </c>
      <c r="K71" s="37">
        <v>309346.09000000003</v>
      </c>
      <c r="L71" s="37">
        <v>136169.19</v>
      </c>
      <c r="M71" s="37">
        <v>445515.28</v>
      </c>
      <c r="N71" s="39">
        <v>-0.23707130000000001</v>
      </c>
      <c r="O71" s="38" t="s">
        <v>88</v>
      </c>
      <c r="P71">
        <v>0</v>
      </c>
      <c r="Q71" s="38" t="s">
        <v>88</v>
      </c>
      <c r="R71" t="s">
        <v>88</v>
      </c>
    </row>
    <row r="72" spans="1:18" x14ac:dyDescent="0.25">
      <c r="J72">
        <v>156592.21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4" ma:contentTypeDescription="Create a new document." ma:contentTypeScope="" ma:versionID="c4ae6c7e8a7690a5d25cd14353b13c80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4af53c12b76e3003199d81fd65e24e6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>In Progress</WorkflowStatus>
    <Internal_x0020_Due_x0020_Date xmlns="00c1cf47-8665-4c73-8994-ff3a5e26da0f" xsi:nil="true"/>
    <Final_x0020_Due_x0020_Date xmlns="00c1cf47-8665-4c73-8994-ff3a5e26da0f" xsi:nil="true"/>
    <Docket_x0020_Number xmlns="00c1cf47-8665-4c73-8994-ff3a5e26da0f">2021-00434-Wastewater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2A144A88-1695-45D2-8AB7-91731773D93F}"/>
</file>

<file path=customXml/itemProps2.xml><?xml version="1.0" encoding="utf-8"?>
<ds:datastoreItem xmlns:ds="http://schemas.openxmlformats.org/officeDocument/2006/customXml" ds:itemID="{74441F02-4DF0-4824-865C-3D5719CB81E9}"/>
</file>

<file path=customXml/itemProps3.xml><?xml version="1.0" encoding="utf-8"?>
<ds:datastoreItem xmlns:ds="http://schemas.openxmlformats.org/officeDocument/2006/customXml" ds:itemID="{9BCB8078-1652-4CB7-B3E2-3CA2CFADED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2021-00434 WACC</vt:lpstr>
      <vt:lpstr>Sheet1</vt:lpstr>
      <vt:lpstr>'2021-00434 WACC'!Print_Area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Selinger</dc:creator>
  <cp:lastModifiedBy>Wesley Selinger</cp:lastModifiedBy>
  <dcterms:created xsi:type="dcterms:W3CDTF">2022-01-13T17:28:04Z</dcterms:created>
  <dcterms:modified xsi:type="dcterms:W3CDTF">2022-01-18T14:58:56Z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46c87f6-c46e-48eb-b7ce-d3a4a7d30611_Enabled">
    <vt:lpwstr>true</vt:lpwstr>
  </property>
  <property fmtid="{D5CDD505-2E9C-101B-9397-08002B2CF9AE}" pid="5" name="MSIP_Label_846c87f6-c46e-48eb-b7ce-d3a4a7d30611_SetDate">
    <vt:lpwstr>2022-01-14T17:52:30Z</vt:lpwstr>
  </property>
  <property fmtid="{D5CDD505-2E9C-101B-9397-08002B2CF9AE}" pid="6" name="MSIP_Label_846c87f6-c46e-48eb-b7ce-d3a4a7d30611_Method">
    <vt:lpwstr>Privileged</vt:lpwstr>
  </property>
  <property fmtid="{D5CDD505-2E9C-101B-9397-08002B2CF9AE}" pid="7" name="MSIP_Label_846c87f6-c46e-48eb-b7ce-d3a4a7d30611_Name">
    <vt:lpwstr>846c87f6-c46e-48eb-b7ce-d3a4a7d30611</vt:lpwstr>
  </property>
  <property fmtid="{D5CDD505-2E9C-101B-9397-08002B2CF9AE}" pid="8" name="MSIP_Label_846c87f6-c46e-48eb-b7ce-d3a4a7d30611_SiteId">
    <vt:lpwstr>35378cf9-dac0-45f0-84c7-1bfb98207b59</vt:lpwstr>
  </property>
  <property fmtid="{D5CDD505-2E9C-101B-9397-08002B2CF9AE}" pid="9" name="MSIP_Label_846c87f6-c46e-48eb-b7ce-d3a4a7d30611_ActionId">
    <vt:lpwstr>0d1f4335-fbbc-4b29-8093-7e443eb5e390</vt:lpwstr>
  </property>
  <property fmtid="{D5CDD505-2E9C-101B-9397-08002B2CF9AE}" pid="10" name="MSIP_Label_846c87f6-c46e-48eb-b7ce-d3a4a7d30611_ContentBits">
    <vt:lpwstr>0</vt:lpwstr>
  </property>
  <property fmtid="{D5CDD505-2E9C-101B-9397-08002B2CF9AE}" pid="11" name="ContentTypeId">
    <vt:lpwstr>0x01010004E0505336475743B548BB3731556CC4</vt:lpwstr>
  </property>
</Properties>
</file>