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Staff Discovery Set 1/"/>
    </mc:Choice>
  </mc:AlternateContent>
  <xr:revisionPtr revIDLastSave="0" documentId="102_{D157D331-7A08-454B-B195-BF2C776C688D}" xr6:coauthVersionLast="36" xr6:coauthVersionMax="47" xr10:uidLastSave="{00000000-0000-0000-0000-000000000000}"/>
  <bookViews>
    <workbookView xWindow="-120" yWindow="-120" windowWidth="29040" windowHeight="15990" tabRatio="908" xr2:uid="{00000000-000D-0000-FFFF-FFFF00000000}"/>
  </bookViews>
  <sheets>
    <sheet name="SAO_OME" sheetId="1" r:id="rId1"/>
    <sheet name="RR-OR" sheetId="3" r:id="rId2"/>
    <sheet name="Int Exp" sheetId="4" r:id="rId3"/>
    <sheet name="Cost of Capital" sheetId="2" r:id="rId4"/>
    <sheet name="Depreciation" sheetId="14" r:id="rId5"/>
  </sheets>
  <externalReferences>
    <externalReference r:id="rId6"/>
  </externalReferences>
  <definedNames>
    <definedName name="_xlnm.Print_Area" localSheetId="3">'Cost of Capital'!$A$1:$L$23</definedName>
    <definedName name="_xlnm.Print_Area" localSheetId="2">'Int Exp'!$A$4:$H$36</definedName>
    <definedName name="_xlnm.Print_Area" localSheetId="1">'RR-OR'!$A$4:$G$43</definedName>
    <definedName name="_xlnm.Print_Area" localSheetId="0">SAO_OME!$A$4:$I$88</definedName>
    <definedName name="ReviewStatus">[1]Lists!$A$3:$A$15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4" l="1"/>
  <c r="M32" i="14"/>
  <c r="M31" i="14"/>
  <c r="M30" i="14"/>
  <c r="A30" i="14"/>
  <c r="A31" i="14" s="1"/>
  <c r="A32" i="14" s="1"/>
  <c r="A33" i="14" s="1"/>
  <c r="A34" i="14" s="1"/>
  <c r="A35" i="14" s="1"/>
  <c r="M29" i="14"/>
  <c r="M28" i="14"/>
  <c r="M27" i="14"/>
  <c r="M26" i="14"/>
  <c r="M25" i="14"/>
  <c r="M24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Q35" i="14"/>
  <c r="M7" i="14"/>
  <c r="I35" i="14"/>
  <c r="O35" i="14" l="1"/>
  <c r="A18" i="2" l="1"/>
  <c r="A19" i="2" s="1"/>
  <c r="A20" i="2" s="1"/>
  <c r="A21" i="2" s="1"/>
  <c r="A22" i="2" s="1"/>
  <c r="A23" i="2" s="1"/>
  <c r="G24" i="4"/>
  <c r="G20" i="4"/>
  <c r="G19" i="4"/>
  <c r="G15" i="4"/>
  <c r="Y27" i="4" l="1"/>
  <c r="G16" i="4" l="1"/>
  <c r="E30" i="1"/>
  <c r="H17" i="2" l="1"/>
  <c r="I17" i="2"/>
  <c r="F17" i="2"/>
  <c r="G9" i="2" l="1"/>
  <c r="G11" i="2"/>
  <c r="G15" i="2"/>
  <c r="G13" i="2"/>
  <c r="G17" i="2" l="1"/>
  <c r="G31" i="4" l="1"/>
  <c r="Y33" i="4" l="1"/>
  <c r="Y35" i="4" s="1"/>
  <c r="I20" i="1" l="1"/>
  <c r="I21" i="1"/>
  <c r="I27" i="1"/>
  <c r="I81" i="1"/>
  <c r="I26" i="1" l="1"/>
  <c r="I22" i="1"/>
  <c r="H31" i="4" l="1"/>
  <c r="H24" i="4" l="1"/>
  <c r="H19" i="4"/>
  <c r="H15" i="4"/>
  <c r="H13" i="4"/>
  <c r="I59" i="1" l="1"/>
  <c r="I54" i="1"/>
  <c r="I48" i="1"/>
  <c r="I52" i="1"/>
  <c r="I76" i="1"/>
  <c r="I58" i="1"/>
  <c r="I67" i="1"/>
  <c r="I79" i="1"/>
  <c r="I85" i="1"/>
  <c r="I50" i="1"/>
  <c r="I57" i="1"/>
  <c r="I66" i="1"/>
  <c r="I84" i="1"/>
  <c r="AD45" i="2"/>
  <c r="I82" i="1" l="1"/>
  <c r="I78" i="1"/>
  <c r="H14" i="4" l="1"/>
  <c r="G31" i="3"/>
  <c r="G32" i="3" s="1"/>
  <c r="G33" i="3" s="1"/>
  <c r="G88" i="1"/>
  <c r="E88" i="1"/>
  <c r="I87" i="1"/>
  <c r="I86" i="1"/>
  <c r="I83" i="1"/>
  <c r="I80" i="1"/>
  <c r="I77" i="1"/>
  <c r="I75" i="1"/>
  <c r="I74" i="1"/>
  <c r="I73" i="1"/>
  <c r="I72" i="1"/>
  <c r="I71" i="1"/>
  <c r="I70" i="1"/>
  <c r="I69" i="1"/>
  <c r="I68" i="1"/>
  <c r="I65" i="1"/>
  <c r="I64" i="1"/>
  <c r="I63" i="1"/>
  <c r="I62" i="1"/>
  <c r="I61" i="1"/>
  <c r="I60" i="1"/>
  <c r="I56" i="1"/>
  <c r="I55" i="1"/>
  <c r="I53" i="1"/>
  <c r="I51" i="1"/>
  <c r="I49" i="1"/>
  <c r="I47" i="1"/>
  <c r="I46" i="1"/>
  <c r="I45" i="1"/>
  <c r="I44" i="1"/>
  <c r="I43" i="1"/>
  <c r="A38" i="1"/>
  <c r="I29" i="1"/>
  <c r="I24" i="1"/>
  <c r="I19" i="1"/>
  <c r="I17" i="1"/>
  <c r="I16" i="1"/>
  <c r="I15" i="1"/>
  <c r="I12" i="1"/>
  <c r="G22" i="1"/>
  <c r="E22" i="1"/>
  <c r="E18" i="1"/>
  <c r="H16" i="4" l="1"/>
  <c r="I28" i="1"/>
  <c r="N88" i="1"/>
  <c r="G25" i="1"/>
  <c r="G34" i="3"/>
  <c r="G35" i="3" s="1"/>
  <c r="I88" i="1"/>
  <c r="G21" i="3"/>
  <c r="E23" i="1"/>
  <c r="G42" i="3" l="1"/>
  <c r="G38" i="3" s="1"/>
  <c r="H20" i="4"/>
  <c r="I25" i="1"/>
  <c r="E31" i="1"/>
  <c r="G30" i="1"/>
  <c r="I30" i="1" l="1"/>
  <c r="G11" i="3" l="1"/>
  <c r="G21" i="4"/>
  <c r="G28" i="4" s="1"/>
  <c r="H21" i="4"/>
  <c r="G14" i="3" l="1"/>
  <c r="G18" i="3"/>
  <c r="G13" i="3"/>
  <c r="G15" i="3" s="1"/>
  <c r="G36" i="3" s="1"/>
  <c r="G37" i="3" s="1"/>
  <c r="G39" i="3" l="1"/>
  <c r="G16" i="3" s="1"/>
  <c r="G26" i="4" l="1"/>
  <c r="G33" i="4" s="1"/>
  <c r="H25" i="4"/>
  <c r="H26" i="4" s="1"/>
  <c r="H28" i="4" s="1"/>
  <c r="H33" i="4" l="1"/>
  <c r="I14" i="1"/>
  <c r="G17" i="3" l="1"/>
  <c r="G20" i="3" s="1"/>
  <c r="G24" i="3" s="1"/>
  <c r="I13" i="1"/>
  <c r="G18" i="1"/>
  <c r="G23" i="1" s="1"/>
  <c r="G31" i="1" s="1"/>
  <c r="I18" i="1" l="1"/>
  <c r="G25" i="3" l="1"/>
  <c r="G26" i="3" s="1"/>
  <c r="I23" i="1"/>
  <c r="I31" i="1" l="1"/>
  <c r="G27" i="3"/>
</calcChain>
</file>

<file path=xl/sharedStrings.xml><?xml version="1.0" encoding="utf-8"?>
<sst xmlns="http://schemas.openxmlformats.org/spreadsheetml/2006/main" count="292" uniqueCount="240">
  <si>
    <t>ARF FORM 1 - ATTACHMENT SAO-S</t>
  </si>
  <si>
    <t>SCHEDULE OF ADJUSTED OPERATIONS - SEWER UTILITY</t>
  </si>
  <si>
    <t>Operating Revenues</t>
  </si>
  <si>
    <t>Sewage Service Revenues</t>
  </si>
  <si>
    <t>Flat Rate Revenues</t>
  </si>
  <si>
    <t>Measured Revenues</t>
  </si>
  <si>
    <t>Revenue from Public Authorities</t>
  </si>
  <si>
    <t>Revenue from Other Systems</t>
  </si>
  <si>
    <t>Miscellaneous Sewage Revenues</t>
  </si>
  <si>
    <t>Total Sewage Service Revenues</t>
  </si>
  <si>
    <t>Other Operating Revenues</t>
  </si>
  <si>
    <t>Forfeited Discounts</t>
  </si>
  <si>
    <t>Miscellaneous Operating Revenues</t>
  </si>
  <si>
    <t>Total Other Operating Revenues</t>
  </si>
  <si>
    <t>Operating Expenses</t>
  </si>
  <si>
    <t>Total Operation and Maintenance Expenses</t>
  </si>
  <si>
    <t>Depreciation Expense</t>
  </si>
  <si>
    <t>Amortization Expense</t>
  </si>
  <si>
    <t>Taxes Other Than Income</t>
  </si>
  <si>
    <t>Income Tax Expense</t>
  </si>
  <si>
    <t>Total Operating Expenses</t>
  </si>
  <si>
    <t>Utility Operating Income</t>
  </si>
  <si>
    <t>Test Year</t>
  </si>
  <si>
    <t>Adjustment</t>
  </si>
  <si>
    <t>Ref.</t>
  </si>
  <si>
    <t>ProForma</t>
  </si>
  <si>
    <t>Total Operating Revenues</t>
  </si>
  <si>
    <t>Line</t>
  </si>
  <si>
    <t>ARF FORM 1 - ATTACHMENT OME-1</t>
  </si>
  <si>
    <t>SEWER OPERATIONS AND MAINTENANCE EXPENSES</t>
  </si>
  <si>
    <t>PUC Annual Report</t>
  </si>
  <si>
    <t>Schedule</t>
  </si>
  <si>
    <t>Information Source:</t>
  </si>
  <si>
    <t>Operation Expenses</t>
  </si>
  <si>
    <t>Supervision and Engineering:</t>
  </si>
  <si>
    <t>Owner/Manager-Management Fee</t>
  </si>
  <si>
    <t>Other Expenses</t>
  </si>
  <si>
    <t>Labor and Expenses:</t>
  </si>
  <si>
    <t>Collection System-Labor, Materials and Expenses</t>
  </si>
  <si>
    <t>Pumping System-Labor, Materials and Expenses</t>
  </si>
  <si>
    <t>Treatment System:</t>
  </si>
  <si>
    <t>Sludge Hauling</t>
  </si>
  <si>
    <t>Utility Service-Water Cost</t>
  </si>
  <si>
    <t>Other-Labor, Materials and Expenses</t>
  </si>
  <si>
    <t>Rents</t>
  </si>
  <si>
    <t>Fuel/Power Purchased for Pumping and Treatment</t>
  </si>
  <si>
    <t>Chemicals</t>
  </si>
  <si>
    <t>Miscellaneous Supplies and Expenses:</t>
  </si>
  <si>
    <t>Pumping System</t>
  </si>
  <si>
    <t>Collection System</t>
  </si>
  <si>
    <t>Treatment and Disposal</t>
  </si>
  <si>
    <t>Maintenance Expenses</t>
  </si>
  <si>
    <t>Routine Maintenance Service Fee</t>
  </si>
  <si>
    <t>Internal Supervision and Engineering</t>
  </si>
  <si>
    <t>Maintenance of Structures and Improvements</t>
  </si>
  <si>
    <t>Maintenance of Collection Sewer System</t>
  </si>
  <si>
    <t>Maintenance of Pumping System</t>
  </si>
  <si>
    <t>Maintenance of Treatment and Disposal Plant</t>
  </si>
  <si>
    <t>Maintenance of Other Plant and Facilities</t>
  </si>
  <si>
    <t>Customer Accounts Expenses</t>
  </si>
  <si>
    <t>Supervision</t>
  </si>
  <si>
    <t>Meter Reading Expenses and Flat Rate Inspections</t>
  </si>
  <si>
    <t>Customer Records and Collection Expenses:</t>
  </si>
  <si>
    <t>Agency Collection Fee</t>
  </si>
  <si>
    <t>Internal Labor, Materials and Expenses</t>
  </si>
  <si>
    <t>Uncollectible Accounts</t>
  </si>
  <si>
    <t>Miscellaneous Customer Accounts Expenses</t>
  </si>
  <si>
    <t>Administrative and General Expenses</t>
  </si>
  <si>
    <t>Administrative and General Salaries</t>
  </si>
  <si>
    <t>Office Supplies and Other Expenses</t>
  </si>
  <si>
    <t>Outside Services Employed</t>
  </si>
  <si>
    <t>Insurance Expenses</t>
  </si>
  <si>
    <t>Employee Pensions and Benefits</t>
  </si>
  <si>
    <t>Regulatory Commission Expense</t>
  </si>
  <si>
    <t>Transportation Expense</t>
  </si>
  <si>
    <t>Miscellaneous General Expenses</t>
  </si>
  <si>
    <t>Maintenance of General Plant</t>
  </si>
  <si>
    <t>Total Sewer Operation and Maintenance Expenses</t>
  </si>
  <si>
    <t>ARF FORM 1 - ATTACHMENT RR-OR</t>
  </si>
  <si>
    <t>REVENUE REQUIREMENT CALCULATION - OPERATING RATIO METHOD</t>
  </si>
  <si>
    <t>(Method commonly used by investor owned utilities and/or non-profit entities that do not have long-term debt outstanding)</t>
  </si>
  <si>
    <t>Sub-Total</t>
  </si>
  <si>
    <t>Less:</t>
  </si>
  <si>
    <t>Pro Forma Operating Expenses Before Income Taxes</t>
  </si>
  <si>
    <t>Net Income Allowable</t>
  </si>
  <si>
    <t>Add:</t>
  </si>
  <si>
    <t>Provision for State and Federal Income Taxes, if Applicable</t>
  </si>
  <si>
    <t>Interest Expense</t>
  </si>
  <si>
    <r>
      <t xml:space="preserve">Cost of Natural Gas </t>
    </r>
    <r>
      <rPr>
        <sz val="9"/>
        <color theme="1"/>
        <rFont val="Calibri"/>
        <family val="2"/>
        <scheme val="minor"/>
      </rPr>
      <t>(water utilities leave this blank)</t>
    </r>
  </si>
  <si>
    <t>Total Revenue Requirement</t>
  </si>
  <si>
    <t>Other Operating Revenue</t>
  </si>
  <si>
    <t>Non-operating Revenue</t>
  </si>
  <si>
    <t>Interest Income</t>
  </si>
  <si>
    <t>Total Revenue Required from Rates for Service</t>
  </si>
  <si>
    <t>Revenue from Sales at Present Rates</t>
  </si>
  <si>
    <t>Required Revenue Increase</t>
  </si>
  <si>
    <t>Required Revenue Increase stated as a Percentage of Revenue at Present Rates</t>
  </si>
  <si>
    <t>Provision for Income Taxes - Calculation of Tax Gross-Up Factor</t>
  </si>
  <si>
    <t>Revenue</t>
  </si>
  <si>
    <t>Less: Federal Tax</t>
  </si>
  <si>
    <t xml:space="preserve">Less: State Tax </t>
  </si>
  <si>
    <t>Percent Change in NOI</t>
  </si>
  <si>
    <t>Factor (Revenue of 1 divided by change in NOI)</t>
  </si>
  <si>
    <t>Times: Allowable Net Income</t>
  </si>
  <si>
    <t>Net Income Before Taxes</t>
  </si>
  <si>
    <t>Difference Equals Provision for State and Federal Income Taxes</t>
  </si>
  <si>
    <t>GIVEN, per PUC ARF form</t>
  </si>
  <si>
    <t>from calc below</t>
  </si>
  <si>
    <t>from calc above: Pro Forma OpEx div by Op Ratio</t>
  </si>
  <si>
    <t>from Interest in Rate Base calc</t>
  </si>
  <si>
    <t>SUPPLEMENT TO RR-OR</t>
  </si>
  <si>
    <t>INTEREST EXPENSE ATTACHMENT TO REVENUE REQUIREMENT</t>
  </si>
  <si>
    <t>Line #</t>
  </si>
  <si>
    <t>Step 1 - Sewer Rate Base</t>
  </si>
  <si>
    <t>Net Plant</t>
  </si>
  <si>
    <t>Utility Plant in Service</t>
  </si>
  <si>
    <t>Accumulated Depreciation</t>
  </si>
  <si>
    <t>Accumulated Cost of Removal</t>
  </si>
  <si>
    <t>Net Plant (Sum Lines 4 through 6)</t>
  </si>
  <si>
    <t>Adds:</t>
  </si>
  <si>
    <t>Materials and Supplies</t>
  </si>
  <si>
    <t>Total Adds (Line 10)</t>
  </si>
  <si>
    <t>Deducts:</t>
  </si>
  <si>
    <t>CIAC</t>
  </si>
  <si>
    <t>Total Deducts (Line 14)</t>
  </si>
  <si>
    <t>6+15 (excludes CWIP, so doesn't tie to Line 17 Net Utility Plant total)</t>
  </si>
  <si>
    <t>Trial balance, sewer only. Do NOT use Sewer PUC report, where B/S items are total Co (water and sewer combined)</t>
  </si>
  <si>
    <t>Total Rate Base (Line 7 +  Line 11 + Line 15)</t>
  </si>
  <si>
    <t>Step 2 - Weighted Cost of Debt</t>
  </si>
  <si>
    <t>Step 3 - Interest Expense (Line 17 x Line 20)</t>
  </si>
  <si>
    <t>note: this comes from sewer only T/B, ac 25700000. Not broken out in PUC report, but is part of Sch 4 line 15 total</t>
  </si>
  <si>
    <t>if applicable, enter as positive numbers. From SAO inc stmt</t>
  </si>
  <si>
    <t>Total</t>
  </si>
  <si>
    <t>(use leading ledger 0L)</t>
  </si>
  <si>
    <t>Def Taxes</t>
  </si>
  <si>
    <t>Working Capital</t>
  </si>
  <si>
    <t>Total O&amp;M Exp / 8</t>
  </si>
  <si>
    <t>C271</t>
  </si>
  <si>
    <t>27111000 CIAC-Non Taxable Mains</t>
  </si>
  <si>
    <t>27112000 CIAC-Non Taxable Ext Dep</t>
  </si>
  <si>
    <t>27114000 CIAC-Non Taxable Meters</t>
  </si>
  <si>
    <t>27116000 CIAC-Non Taxable Other</t>
  </si>
  <si>
    <t>27206000 Accum Amort CIAC Other</t>
  </si>
  <si>
    <t>Total CIAC</t>
  </si>
  <si>
    <t>27113000 CIAC-Non Taxable Fire Services</t>
  </si>
  <si>
    <t>C1081</t>
  </si>
  <si>
    <t>25700000 Reg Liab - Cost of Removal</t>
  </si>
  <si>
    <t>C151</t>
  </si>
  <si>
    <t>15130000 Inventory - Chemicals</t>
  </si>
  <si>
    <t>C153</t>
  </si>
  <si>
    <t>15199999 Inventory - Conversion</t>
  </si>
  <si>
    <r>
      <t xml:space="preserve">Operating Ratio </t>
    </r>
    <r>
      <rPr>
        <i/>
        <sz val="9"/>
        <color theme="1"/>
        <rFont val="Calibri"/>
        <family val="2"/>
        <scheme val="minor"/>
      </rPr>
      <t>(88% is prepopulated in PUC ARF form)</t>
    </r>
  </si>
  <si>
    <t>Less Excess ADIT Amortization</t>
  </si>
  <si>
    <t>Excess ADIT Amortizaton</t>
  </si>
  <si>
    <t>Revenue Requirement on Excess ADIT Amortizaton</t>
  </si>
  <si>
    <t>Kentucky American Water</t>
  </si>
  <si>
    <t>TYE 12/31/2020</t>
  </si>
  <si>
    <t>Capitalization at December 2020</t>
  </si>
  <si>
    <t>SAP 12/31/2020</t>
  </si>
  <si>
    <t>12/31/2020 PowerPlan</t>
  </si>
  <si>
    <t>Net</t>
  </si>
  <si>
    <t>Carrying</t>
  </si>
  <si>
    <t>Adjusted</t>
  </si>
  <si>
    <t>Terminal</t>
  </si>
  <si>
    <t>Amount</t>
  </si>
  <si>
    <t>% of Total</t>
  </si>
  <si>
    <t>Add (1)</t>
  </si>
  <si>
    <t>Capital</t>
  </si>
  <si>
    <t>Cost Rate</t>
  </si>
  <si>
    <t>Weighted Cost</t>
  </si>
  <si>
    <t>Class of</t>
  </si>
  <si>
    <t>No.</t>
  </si>
  <si>
    <t>Short-Term Debt</t>
  </si>
  <si>
    <t>Long-Term Debt</t>
  </si>
  <si>
    <t>Preferred Stock</t>
  </si>
  <si>
    <t>Common Equity</t>
  </si>
  <si>
    <t xml:space="preserve">    Total Capital</t>
  </si>
  <si>
    <t xml:space="preserve">Calc provided by tax. </t>
  </si>
  <si>
    <t xml:space="preserve">Per Cost of Capital schedule </t>
  </si>
  <si>
    <t>(1) JDITC</t>
  </si>
  <si>
    <t>Reference</t>
  </si>
  <si>
    <t>Weighted Cost of Debt and Preferred Stock</t>
  </si>
  <si>
    <t>Alternative Rate Filing- Sewer Utility</t>
  </si>
  <si>
    <t>Depreciation Schedule per ARF Form-1 Item 14</t>
  </si>
  <si>
    <t>Case No. 2021-00434</t>
  </si>
  <si>
    <t>Utility Account</t>
  </si>
  <si>
    <t>Utility Account Description</t>
  </si>
  <si>
    <t>NARUC Account Group</t>
  </si>
  <si>
    <t>Asset Original Cost at 12/31/20</t>
  </si>
  <si>
    <t>Depreciation Rate</t>
  </si>
  <si>
    <t>Useful Life (Calculated, In Years)</t>
  </si>
  <si>
    <t>Accumulated Depreciation Balance at 12/31/20</t>
  </si>
  <si>
    <t>Annual Depreciation Expense</t>
  </si>
  <si>
    <t>394000</t>
  </si>
  <si>
    <t>Laboratory Equipment</t>
  </si>
  <si>
    <t>363000</t>
  </si>
  <si>
    <t>Services Sewer</t>
  </si>
  <si>
    <t>389600</t>
  </si>
  <si>
    <t>Oth Plant &amp; Misc Equipment</t>
  </si>
  <si>
    <t>395000</t>
  </si>
  <si>
    <t>392000</t>
  </si>
  <si>
    <t>Office Furniture</t>
  </si>
  <si>
    <t>361101</t>
  </si>
  <si>
    <t>Collecting Mains</t>
  </si>
  <si>
    <t>360000</t>
  </si>
  <si>
    <t>Collection Sewers</t>
  </si>
  <si>
    <t>371200</t>
  </si>
  <si>
    <t>Pump Equipment - Oth Pwr</t>
  </si>
  <si>
    <t>354300</t>
  </si>
  <si>
    <t>Struct &amp; Imp - SPP</t>
  </si>
  <si>
    <t>364000</t>
  </si>
  <si>
    <t>Flow Measuring Device</t>
  </si>
  <si>
    <t>361100</t>
  </si>
  <si>
    <t>396000</t>
  </si>
  <si>
    <t>Communication Equip</t>
  </si>
  <si>
    <t>354500</t>
  </si>
  <si>
    <t>Struct &amp; Imp - General</t>
  </si>
  <si>
    <t>393000</t>
  </si>
  <si>
    <t>TD Equipment</t>
  </si>
  <si>
    <t>380000</t>
  </si>
  <si>
    <t>Transmission &amp; D244Distributio</t>
  </si>
  <si>
    <t>390300</t>
  </si>
  <si>
    <t>353500</t>
  </si>
  <si>
    <t>Land &amp; Land Rights - General</t>
  </si>
  <si>
    <t>354200</t>
  </si>
  <si>
    <t>Struct &amp; Imp - Coll</t>
  </si>
  <si>
    <t>391000</t>
  </si>
  <si>
    <t>354400</t>
  </si>
  <si>
    <t>Struct &amp; Imp - TDP</t>
  </si>
  <si>
    <t>371160</t>
  </si>
  <si>
    <t>Pump Equipment - Elect</t>
  </si>
  <si>
    <t>391100</t>
  </si>
  <si>
    <t>381000</t>
  </si>
  <si>
    <t>Plant Sewers</t>
  </si>
  <si>
    <t>390200</t>
  </si>
  <si>
    <t>397000</t>
  </si>
  <si>
    <t>Misc Equipment</t>
  </si>
  <si>
    <t>371100</t>
  </si>
  <si>
    <t>390000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</si>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</sst>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0.000%"/>
    <numFmt numFmtId="167" formatCode="###,000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1"/>
      <color rgb="FFFF0000"/>
      <name val="Calibri"/>
      <family val="2"/>
      <scheme val="minor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DBE5F1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7" applyNumberFormat="0" applyAlignment="0" applyProtection="0">
      <alignment horizontal="left" vertical="center" indent="1"/>
    </xf>
    <xf numFmtId="0" fontId="13" fillId="4" borderId="8" applyNumberFormat="0" applyAlignment="0" applyProtection="0">
      <alignment horizontal="left" vertical="center" indent="1"/>
    </xf>
    <xf numFmtId="0" fontId="13" fillId="5" borderId="7" applyNumberFormat="0" applyAlignment="0" applyProtection="0">
      <alignment horizontal="left" vertical="center" indent="1"/>
    </xf>
    <xf numFmtId="0" fontId="13" fillId="6" borderId="7" applyNumberFormat="0" applyAlignment="0" applyProtection="0">
      <alignment horizontal="left" vertical="center" indent="1"/>
    </xf>
    <xf numFmtId="0" fontId="13" fillId="7" borderId="7" applyNumberFormat="0" applyAlignment="0" applyProtection="0">
      <alignment horizontal="left" vertical="center" indent="1"/>
    </xf>
    <xf numFmtId="0" fontId="16" fillId="0" borderId="7" applyNumberFormat="0" applyFont="0" applyFill="0" applyAlignment="0" applyProtection="0"/>
    <xf numFmtId="167" fontId="14" fillId="0" borderId="9" applyNumberFormat="0" applyProtection="0">
      <alignment horizontal="right" vertical="center"/>
    </xf>
    <xf numFmtId="167" fontId="15" fillId="0" borderId="8" applyNumberFormat="0" applyProtection="0">
      <alignment horizontal="right" vertical="center"/>
    </xf>
    <xf numFmtId="0" fontId="15" fillId="9" borderId="7" applyNumberFormat="0" applyAlignment="0" applyProtection="0">
      <alignment horizontal="left" vertical="center" indent="1"/>
    </xf>
    <xf numFmtId="0" fontId="13" fillId="2" borderId="8" applyNumberFormat="0" applyAlignment="0" applyProtection="0">
      <alignment horizontal="left" vertical="center" indent="1"/>
    </xf>
    <xf numFmtId="0" fontId="13" fillId="2" borderId="8" applyNumberFormat="0" applyAlignment="0" applyProtection="0">
      <alignment horizontal="left" vertical="center" indent="1"/>
    </xf>
    <xf numFmtId="0" fontId="17" fillId="0" borderId="10" applyNumberFormat="0" applyFill="0" applyBorder="0" applyAlignment="0" applyProtection="0"/>
    <xf numFmtId="167" fontId="18" fillId="10" borderId="11" applyNumberFormat="0" applyBorder="0" applyAlignment="0" applyProtection="0">
      <alignment horizontal="right" vertical="center" indent="1"/>
    </xf>
    <xf numFmtId="167" fontId="19" fillId="11" borderId="11" applyNumberFormat="0" applyBorder="0" applyAlignment="0" applyProtection="0">
      <alignment horizontal="right" vertical="center" indent="1"/>
    </xf>
    <xf numFmtId="167" fontId="19" fillId="12" borderId="11" applyNumberFormat="0" applyBorder="0" applyAlignment="0" applyProtection="0">
      <alignment horizontal="right" vertical="center" indent="1"/>
    </xf>
    <xf numFmtId="167" fontId="20" fillId="13" borderId="11" applyNumberFormat="0" applyBorder="0" applyAlignment="0" applyProtection="0">
      <alignment horizontal="right" vertical="center" indent="1"/>
    </xf>
    <xf numFmtId="167" fontId="20" fillId="14" borderId="11" applyNumberFormat="0" applyBorder="0" applyAlignment="0" applyProtection="0">
      <alignment horizontal="right" vertical="center" indent="1"/>
    </xf>
    <xf numFmtId="167" fontId="20" fillId="15" borderId="11" applyNumberFormat="0" applyBorder="0" applyAlignment="0" applyProtection="0">
      <alignment horizontal="right" vertical="center" indent="1"/>
    </xf>
    <xf numFmtId="167" fontId="21" fillId="16" borderId="11" applyNumberFormat="0" applyBorder="0" applyAlignment="0" applyProtection="0">
      <alignment horizontal="right" vertical="center" indent="1"/>
    </xf>
    <xf numFmtId="167" fontId="21" fillId="17" borderId="11" applyNumberFormat="0" applyBorder="0" applyAlignment="0" applyProtection="0">
      <alignment horizontal="right" vertical="center" indent="1"/>
    </xf>
    <xf numFmtId="167" fontId="21" fillId="18" borderId="11" applyNumberFormat="0" applyBorder="0" applyAlignment="0" applyProtection="0">
      <alignment horizontal="right" vertical="center" indent="1"/>
    </xf>
    <xf numFmtId="167" fontId="14" fillId="5" borderId="9" applyNumberFormat="0" applyBorder="0" applyProtection="0">
      <alignment horizontal="right" vertical="center"/>
    </xf>
    <xf numFmtId="167" fontId="15" fillId="5" borderId="8" applyNumberFormat="0" applyBorder="0" applyProtection="0">
      <alignment horizontal="right" vertical="center"/>
    </xf>
    <xf numFmtId="167" fontId="14" fillId="8" borderId="7" applyNumberFormat="0" applyAlignment="0" applyProtection="0">
      <alignment horizontal="left" vertical="center" indent="1"/>
    </xf>
    <xf numFmtId="0" fontId="15" fillId="9" borderId="8" applyNumberFormat="0" applyAlignment="0" applyProtection="0">
      <alignment horizontal="left" vertical="center" indent="1"/>
    </xf>
    <xf numFmtId="0" fontId="13" fillId="4" borderId="8" applyNumberFormat="0" applyAlignment="0" applyProtection="0">
      <alignment horizontal="left" vertical="center" indent="1"/>
    </xf>
    <xf numFmtId="167" fontId="15" fillId="4" borderId="8" applyNumberFormat="0" applyProtection="0">
      <alignment horizontal="right" vertical="center"/>
    </xf>
    <xf numFmtId="44" fontId="1" fillId="0" borderId="0" applyFont="0" applyFill="0" applyBorder="0" applyAlignment="0" applyProtection="0"/>
  </cellStyleXfs>
  <cellXfs count="77">
    <xf numFmtId="0" fontId="0" fillId="0" borderId="0" xfId="0"/>
    <xf numFmtId="39" fontId="0" fillId="0" borderId="0" xfId="0" applyNumberFormat="1" applyFill="1"/>
    <xf numFmtId="0" fontId="0" fillId="0" borderId="0" xfId="0" applyFill="1" applyAlignment="1">
      <alignment horizontal="center"/>
    </xf>
    <xf numFmtId="43" fontId="0" fillId="0" borderId="0" xfId="2" applyFont="1" applyFill="1"/>
    <xf numFmtId="0" fontId="0" fillId="0" borderId="0" xfId="0" applyFill="1"/>
    <xf numFmtId="37" fontId="0" fillId="0" borderId="0" xfId="0" applyNumberFormat="1" applyFill="1"/>
    <xf numFmtId="10" fontId="0" fillId="0" borderId="0" xfId="1" applyNumberFormat="1" applyFont="1" applyFill="1"/>
    <xf numFmtId="165" fontId="0" fillId="0" borderId="0" xfId="0" applyNumberFormat="1" applyFill="1"/>
    <xf numFmtId="37" fontId="0" fillId="0" borderId="4" xfId="0" applyNumberFormat="1" applyFill="1" applyBorder="1"/>
    <xf numFmtId="37" fontId="0" fillId="0" borderId="0" xfId="0" applyNumberFormat="1" applyFont="1" applyFill="1"/>
    <xf numFmtId="42" fontId="10" fillId="0" borderId="0" xfId="0" applyNumberFormat="1" applyFont="1" applyFill="1"/>
    <xf numFmtId="37" fontId="0" fillId="0" borderId="3" xfId="0" applyNumberFormat="1" applyFill="1" applyBorder="1"/>
    <xf numFmtId="166" fontId="10" fillId="0" borderId="0" xfId="0" applyNumberFormat="1" applyFont="1" applyFill="1"/>
    <xf numFmtId="2" fontId="23" fillId="0" borderId="0" xfId="1" applyNumberFormat="1" applyFont="1" applyFill="1"/>
    <xf numFmtId="44" fontId="23" fillId="0" borderId="0" xfId="30" applyFont="1" applyFill="1"/>
    <xf numFmtId="44" fontId="23" fillId="0" borderId="0" xfId="30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/>
    <xf numFmtId="5" fontId="0" fillId="0" borderId="0" xfId="0" applyNumberFormat="1" applyFill="1"/>
    <xf numFmtId="0" fontId="0" fillId="0" borderId="0" xfId="0" applyFill="1" applyAlignment="1">
      <alignment horizontal="left"/>
    </xf>
    <xf numFmtId="43" fontId="0" fillId="0" borderId="0" xfId="2" applyFont="1" applyFill="1" applyAlignment="1">
      <alignment horizontal="center"/>
    </xf>
    <xf numFmtId="43" fontId="0" fillId="0" borderId="0" xfId="0" applyNumberFormat="1" applyFill="1"/>
    <xf numFmtId="10" fontId="0" fillId="0" borderId="5" xfId="1" applyNumberFormat="1" applyFont="1" applyFill="1" applyBorder="1"/>
    <xf numFmtId="164" fontId="0" fillId="0" borderId="0" xfId="0" applyNumberFormat="1" applyFill="1"/>
    <xf numFmtId="9" fontId="0" fillId="0" borderId="0" xfId="1" applyFont="1" applyFill="1"/>
    <xf numFmtId="164" fontId="0" fillId="0" borderId="3" xfId="0" applyNumberFormat="1" applyFill="1" applyBorder="1"/>
    <xf numFmtId="0" fontId="11" fillId="0" borderId="0" xfId="0" applyFont="1" applyFill="1"/>
    <xf numFmtId="0" fontId="9" fillId="0" borderId="0" xfId="0" applyFont="1" applyFill="1"/>
    <xf numFmtId="0" fontId="0" fillId="0" borderId="0" xfId="0" applyFill="1" applyBorder="1"/>
    <xf numFmtId="37" fontId="0" fillId="0" borderId="0" xfId="0" applyNumberFormat="1" applyFill="1" applyBorder="1"/>
    <xf numFmtId="5" fontId="0" fillId="0" borderId="0" xfId="0" applyNumberFormat="1" applyFill="1" applyBorder="1"/>
    <xf numFmtId="37" fontId="0" fillId="0" borderId="1" xfId="0" applyNumberFormat="1" applyFill="1" applyBorder="1"/>
    <xf numFmtId="0" fontId="2" fillId="0" borderId="0" xfId="0" applyFont="1" applyFill="1"/>
    <xf numFmtId="37" fontId="9" fillId="0" borderId="0" xfId="0" applyNumberFormat="1" applyFont="1" applyFill="1"/>
    <xf numFmtId="5" fontId="0" fillId="0" borderId="1" xfId="0" applyNumberFormat="1" applyFill="1" applyBorder="1"/>
    <xf numFmtId="0" fontId="22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0" fillId="0" borderId="0" xfId="0" applyNumberFormat="1" applyFill="1"/>
    <xf numFmtId="0" fontId="0" fillId="0" borderId="0" xfId="0" quotePrefix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9" fontId="0" fillId="0" borderId="0" xfId="0" applyNumberForma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43" fontId="0" fillId="0" borderId="0" xfId="2" applyFont="1" applyFill="1" applyBorder="1"/>
    <xf numFmtId="3" fontId="10" fillId="0" borderId="0" xfId="0" applyNumberFormat="1" applyFont="1" applyFill="1"/>
    <xf numFmtId="3" fontId="10" fillId="0" borderId="0" xfId="0" applyNumberFormat="1" applyFont="1" applyFill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/>
    <xf numFmtId="5" fontId="10" fillId="0" borderId="0" xfId="0" applyNumberFormat="1" applyFont="1" applyFill="1"/>
    <xf numFmtId="37" fontId="10" fillId="0" borderId="0" xfId="0" applyNumberFormat="1" applyFont="1" applyFill="1"/>
    <xf numFmtId="37" fontId="10" fillId="0" borderId="2" xfId="0" applyNumberFormat="1" applyFont="1" applyFill="1" applyBorder="1"/>
    <xf numFmtId="166" fontId="10" fillId="0" borderId="2" xfId="0" applyNumberFormat="1" applyFont="1" applyFill="1" applyBorder="1"/>
    <xf numFmtId="42" fontId="10" fillId="0" borderId="5" xfId="0" applyNumberFormat="1" applyFont="1" applyFill="1" applyBorder="1"/>
    <xf numFmtId="10" fontId="10" fillId="0" borderId="5" xfId="1" applyNumberFormat="1" applyFont="1" applyFill="1" applyBorder="1"/>
    <xf numFmtId="5" fontId="10" fillId="0" borderId="5" xfId="0" applyNumberFormat="1" applyFont="1" applyFill="1" applyBorder="1"/>
    <xf numFmtId="166" fontId="10" fillId="0" borderId="5" xfId="0" applyNumberFormat="1" applyFont="1" applyFill="1" applyBorder="1"/>
    <xf numFmtId="6" fontId="0" fillId="0" borderId="0" xfId="0" applyNumberFormat="1" applyFill="1"/>
    <xf numFmtId="0" fontId="23" fillId="0" borderId="0" xfId="0" applyFont="1" applyFill="1"/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2" fontId="23" fillId="0" borderId="0" xfId="0" applyNumberFormat="1" applyFont="1" applyFill="1"/>
    <xf numFmtId="1" fontId="23" fillId="0" borderId="0" xfId="0" applyNumberFormat="1" applyFont="1" applyFill="1"/>
    <xf numFmtId="10" fontId="23" fillId="0" borderId="0" xfId="0" applyNumberFormat="1" applyFont="1" applyFill="1"/>
    <xf numFmtId="168" fontId="23" fillId="0" borderId="0" xfId="0" applyNumberFormat="1" applyFont="1" applyFill="1"/>
    <xf numFmtId="2" fontId="23" fillId="0" borderId="0" xfId="0" applyNumberFormat="1" applyFont="1" applyFill="1" applyAlignment="1">
      <alignment horizontal="right"/>
    </xf>
    <xf numFmtId="10" fontId="23" fillId="0" borderId="0" xfId="1" applyNumberFormat="1" applyFont="1" applyFill="1"/>
    <xf numFmtId="44" fontId="23" fillId="0" borderId="4" xfId="0" applyNumberFormat="1" applyFont="1" applyFill="1" applyBorder="1"/>
    <xf numFmtId="44" fontId="23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31">
    <cellStyle name="Comma" xfId="2" builtinId="3"/>
    <cellStyle name="Currency" xfId="30" builtinId="4"/>
    <cellStyle name="Normal" xfId="0" builtinId="0"/>
    <cellStyle name="Percent" xfId="1" builtinId="5"/>
    <cellStyle name="SAPBorder" xfId="8" xr:uid="{F12C1AE6-4741-4D03-80DE-50B33E28EB7C}"/>
    <cellStyle name="SAPDataCell" xfId="9" xr:uid="{4E120BFE-B1FB-41EC-9586-A4C36E6A3879}"/>
    <cellStyle name="SAPDataTotalCell" xfId="10" xr:uid="{4B0DC5FE-F331-496E-B081-6BABE7032837}"/>
    <cellStyle name="SAPDimensionCell" xfId="11" xr:uid="{E7A659B0-BDD4-495D-B784-6DE38F0C3451}"/>
    <cellStyle name="SAPEditableDataCell" xfId="12" xr:uid="{A48BCC88-95BD-423A-A3A7-A28402A16189}"/>
    <cellStyle name="SAPEditableDataTotalCell" xfId="13" xr:uid="{4C38F755-23DA-4DA3-99CC-27A46582BE72}"/>
    <cellStyle name="SAPEmphasized" xfId="14" xr:uid="{1F3484C0-B7D7-47AE-9827-5D7EB8A3596F}"/>
    <cellStyle name="SAPExceptionLevel1" xfId="15" xr:uid="{E08F3B32-594A-4FB1-A05F-16576819B6D2}"/>
    <cellStyle name="SAPExceptionLevel2" xfId="16" xr:uid="{EACC094C-B932-4D42-9637-E68804434195}"/>
    <cellStyle name="SAPExceptionLevel3" xfId="17" xr:uid="{C4A9634C-2DA0-49EF-A670-965BF3E11D28}"/>
    <cellStyle name="SAPExceptionLevel4" xfId="18" xr:uid="{2B33A836-8AC4-4D70-9B6A-A5E4AFA8EC78}"/>
    <cellStyle name="SAPExceptionLevel5" xfId="19" xr:uid="{6B040029-F6A1-4F0D-A576-D04C74DE20D9}"/>
    <cellStyle name="SAPExceptionLevel6" xfId="20" xr:uid="{ED4C2050-22CE-472A-BBF7-FDAD63731F95}"/>
    <cellStyle name="SAPExceptionLevel7" xfId="21" xr:uid="{2195CFCE-7D1D-4A40-B12C-4C3CED2C0705}"/>
    <cellStyle name="SAPExceptionLevel8" xfId="22" xr:uid="{6912E812-9B35-4485-810A-CF14B8F9A3E5}"/>
    <cellStyle name="SAPExceptionLevel9" xfId="23" xr:uid="{65A6B1DB-C434-4601-9636-5067D3EA3176}"/>
    <cellStyle name="SAPHierarchyCell0" xfId="7" xr:uid="{00000000-0005-0000-0000-00000A000000}"/>
    <cellStyle name="SAPHierarchyCell1" xfId="3" xr:uid="{00000000-0005-0000-0000-00000B000000}"/>
    <cellStyle name="SAPHierarchyCell2" xfId="6" xr:uid="{00000000-0005-0000-0000-00000C000000}"/>
    <cellStyle name="SAPHierarchyCell3" xfId="5" xr:uid="{00000000-0005-0000-0000-00000D000000}"/>
    <cellStyle name="SAPHierarchyCell4" xfId="4" xr:uid="{00000000-0005-0000-0000-00000E000000}"/>
    <cellStyle name="SAPLockedDataCell" xfId="24" xr:uid="{53635524-0C2F-483D-AE53-7E5D45E7005C}"/>
    <cellStyle name="SAPLockedDataTotalCell" xfId="25" xr:uid="{0F771B08-D57F-4EC0-B54F-DFEEF54290C1}"/>
    <cellStyle name="SAPMemberCell" xfId="26" xr:uid="{43C18F2D-DEB7-4D61-A7BD-5092DC908E8B}"/>
    <cellStyle name="SAPMemberTotalCell" xfId="27" xr:uid="{C67FD4E4-4665-4499-A640-A7A738CEAC6C}"/>
    <cellStyle name="SAPReadonlyDataCell" xfId="28" xr:uid="{BD95CD25-026B-44B6-9B07-EBBC19EBC47B}"/>
    <cellStyle name="SAPReadonlyDataTotalCell" xfId="29" xr:uid="{31FD4C65-31E4-4DC9-BBAE-2EAF5AECEB53}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4%20Sewer%20Rate%20Filing/KY%20Sewer%20Case%20Task%20List%20-%2009-11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s"/>
      <sheetName val="Strategy and Legal Items"/>
      <sheetName val="Lists"/>
    </sheetNames>
    <sheetDataSet>
      <sheetData sheetId="0"/>
      <sheetData sheetId="1"/>
      <sheetData sheetId="2">
        <row r="3">
          <cell r="A3" t="str">
            <v>Ready for Review</v>
          </cell>
        </row>
        <row r="4">
          <cell r="A4" t="str">
            <v>Needs Revision</v>
          </cell>
        </row>
        <row r="5">
          <cell r="A5" t="str">
            <v>Review Completed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89"/>
  <sheetViews>
    <sheetView tabSelected="1" view="pageBreakPreview" zoomScaleNormal="100" zoomScaleSheetLayoutView="100" workbookViewId="0"/>
  </sheetViews>
  <sheetFormatPr defaultRowHeight="15" x14ac:dyDescent="0.25"/>
  <cols>
    <col min="1" max="1" width="3.42578125" style="4" customWidth="1"/>
    <col min="2" max="2" width="3.7109375" style="4" customWidth="1"/>
    <col min="3" max="3" width="44.7109375" style="4" customWidth="1"/>
    <col min="4" max="4" width="1.42578125" style="4" customWidth="1"/>
    <col min="5" max="5" width="12.42578125" style="4" bestFit="1" customWidth="1"/>
    <col min="6" max="6" width="1.7109375" style="4" customWidth="1"/>
    <col min="7" max="7" width="11.85546875" style="4" customWidth="1"/>
    <col min="8" max="8" width="4.5703125" style="4" bestFit="1" customWidth="1"/>
    <col min="9" max="9" width="13.28515625" style="4" customWidth="1"/>
    <col min="10" max="11" width="1.7109375" style="4" customWidth="1"/>
    <col min="12" max="12" width="9.28515625" style="4" customWidth="1"/>
    <col min="13" max="13" width="9.140625" style="4"/>
    <col min="14" max="14" width="3.85546875" style="4" customWidth="1"/>
    <col min="15" max="15" width="9.42578125" style="28" customWidth="1"/>
    <col min="16" max="19" width="9.140625" style="28"/>
    <col min="20" max="16384" width="9.140625" style="4"/>
  </cols>
  <sheetData>
    <row r="2" spans="1:13" x14ac:dyDescent="0.25">
      <c r="A2" s="27"/>
      <c r="B2" s="27"/>
      <c r="C2" s="27"/>
      <c r="D2" s="27"/>
      <c r="E2" s="27"/>
      <c r="F2" s="27"/>
      <c r="G2" s="27"/>
      <c r="H2" s="27"/>
      <c r="I2" s="27"/>
    </row>
    <row r="4" spans="1:13" x14ac:dyDescent="0.25">
      <c r="A4" s="73" t="s">
        <v>0</v>
      </c>
      <c r="B4" s="73"/>
      <c r="C4" s="73"/>
      <c r="D4" s="73"/>
      <c r="E4" s="73"/>
      <c r="F4" s="73"/>
      <c r="G4" s="73"/>
      <c r="H4" s="73"/>
      <c r="I4" s="73"/>
    </row>
    <row r="6" spans="1:13" x14ac:dyDescent="0.25">
      <c r="A6" s="74" t="s">
        <v>1</v>
      </c>
      <c r="B6" s="74"/>
      <c r="C6" s="74"/>
      <c r="D6" s="74"/>
      <c r="E6" s="74"/>
      <c r="F6" s="74"/>
      <c r="G6" s="74"/>
      <c r="H6" s="74"/>
      <c r="I6" s="74"/>
    </row>
    <row r="7" spans="1:13" x14ac:dyDescent="0.25">
      <c r="A7" s="71" t="s">
        <v>156</v>
      </c>
      <c r="B7" s="71"/>
      <c r="C7" s="71"/>
      <c r="D7" s="71"/>
      <c r="E7" s="71"/>
      <c r="F7" s="71"/>
      <c r="G7" s="71"/>
      <c r="H7" s="71"/>
      <c r="I7" s="71"/>
    </row>
    <row r="9" spans="1:13" x14ac:dyDescent="0.25">
      <c r="E9" s="2" t="s">
        <v>22</v>
      </c>
      <c r="F9" s="16"/>
      <c r="G9" s="2" t="s">
        <v>23</v>
      </c>
      <c r="H9" s="2" t="s">
        <v>24</v>
      </c>
      <c r="I9" s="2" t="s">
        <v>25</v>
      </c>
      <c r="L9" s="17" t="s">
        <v>32</v>
      </c>
    </row>
    <row r="10" spans="1:13" x14ac:dyDescent="0.25">
      <c r="E10" s="2"/>
      <c r="F10" s="16"/>
      <c r="G10" s="2"/>
      <c r="H10" s="2"/>
      <c r="I10" s="2"/>
      <c r="L10" s="72" t="s">
        <v>30</v>
      </c>
      <c r="M10" s="72"/>
    </row>
    <row r="11" spans="1:13" x14ac:dyDescent="0.25">
      <c r="A11" s="18" t="s">
        <v>2</v>
      </c>
      <c r="F11" s="29"/>
      <c r="L11" s="2" t="s">
        <v>31</v>
      </c>
      <c r="M11" s="2" t="s">
        <v>27</v>
      </c>
    </row>
    <row r="12" spans="1:13" x14ac:dyDescent="0.25">
      <c r="B12" s="4" t="s">
        <v>3</v>
      </c>
      <c r="E12" s="5"/>
      <c r="F12" s="30"/>
      <c r="G12" s="5"/>
      <c r="I12" s="5" t="str">
        <f t="shared" ref="I12" si="0">IF(E12+G12=0," ",E12+G12)</f>
        <v xml:space="preserve"> </v>
      </c>
    </row>
    <row r="13" spans="1:13" x14ac:dyDescent="0.25">
      <c r="C13" s="4" t="s">
        <v>4</v>
      </c>
      <c r="E13" s="19">
        <v>41556</v>
      </c>
      <c r="F13" s="31"/>
      <c r="G13" s="7"/>
      <c r="H13" s="19"/>
      <c r="I13" s="19">
        <f>IF(E13+G13=0," ",E13+G13)</f>
        <v>41556</v>
      </c>
      <c r="L13" s="2">
        <v>8</v>
      </c>
      <c r="M13" s="2">
        <v>7</v>
      </c>
    </row>
    <row r="14" spans="1:13" x14ac:dyDescent="0.25">
      <c r="C14" s="4" t="s">
        <v>5</v>
      </c>
      <c r="E14" s="5">
        <v>675273</v>
      </c>
      <c r="F14" s="30"/>
      <c r="G14" s="5"/>
      <c r="H14" s="5"/>
      <c r="I14" s="5">
        <f>IF(E14+G14=0," ",E14+G14)</f>
        <v>675273</v>
      </c>
      <c r="L14" s="2">
        <v>8</v>
      </c>
      <c r="M14" s="2">
        <v>13</v>
      </c>
    </row>
    <row r="15" spans="1:13" x14ac:dyDescent="0.25">
      <c r="C15" s="4" t="s">
        <v>6</v>
      </c>
      <c r="E15" s="5"/>
      <c r="F15" s="30"/>
      <c r="G15" s="5"/>
      <c r="H15" s="5"/>
      <c r="I15" s="5" t="str">
        <f t="shared" ref="I15:I17" si="1">IF(E15+G15=0," ",E15+G15)</f>
        <v xml:space="preserve"> </v>
      </c>
      <c r="L15" s="2">
        <v>8</v>
      </c>
      <c r="M15" s="2">
        <v>14</v>
      </c>
    </row>
    <row r="16" spans="1:13" x14ac:dyDescent="0.25">
      <c r="C16" s="4" t="s">
        <v>7</v>
      </c>
      <c r="E16" s="5"/>
      <c r="F16" s="30"/>
      <c r="G16" s="5"/>
      <c r="H16" s="5"/>
      <c r="I16" s="5" t="str">
        <f t="shared" si="1"/>
        <v xml:space="preserve"> </v>
      </c>
      <c r="L16" s="2">
        <v>8</v>
      </c>
      <c r="M16" s="2">
        <v>15</v>
      </c>
    </row>
    <row r="17" spans="1:17" x14ac:dyDescent="0.25">
      <c r="C17" s="4" t="s">
        <v>8</v>
      </c>
      <c r="E17" s="5"/>
      <c r="F17" s="30"/>
      <c r="G17" s="5"/>
      <c r="H17" s="5"/>
      <c r="I17" s="5" t="str">
        <f t="shared" si="1"/>
        <v xml:space="preserve"> </v>
      </c>
      <c r="L17" s="2">
        <v>8</v>
      </c>
      <c r="M17" s="2">
        <v>16</v>
      </c>
    </row>
    <row r="18" spans="1:17" x14ac:dyDescent="0.25">
      <c r="B18" s="4" t="s">
        <v>9</v>
      </c>
      <c r="E18" s="32">
        <f>SUM(E13:E17)</f>
        <v>716829</v>
      </c>
      <c r="F18" s="30"/>
      <c r="G18" s="32">
        <f>SUM(G13:G17)</f>
        <v>0</v>
      </c>
      <c r="H18" s="5"/>
      <c r="I18" s="32">
        <f>SUM(I13:I17)</f>
        <v>716829</v>
      </c>
      <c r="L18" s="2">
        <v>8</v>
      </c>
      <c r="M18" s="2">
        <v>17</v>
      </c>
    </row>
    <row r="19" spans="1:17" x14ac:dyDescent="0.25">
      <c r="B19" s="4" t="s">
        <v>10</v>
      </c>
      <c r="E19" s="5"/>
      <c r="F19" s="30"/>
      <c r="G19" s="5"/>
      <c r="H19" s="5"/>
      <c r="I19" s="5" t="str">
        <f t="shared" ref="I19:I21" si="2">IF(E19+G19=0," ",E19+G19)</f>
        <v xml:space="preserve"> </v>
      </c>
    </row>
    <row r="20" spans="1:17" x14ac:dyDescent="0.25">
      <c r="C20" s="4" t="s">
        <v>11</v>
      </c>
      <c r="E20" s="5">
        <v>3085</v>
      </c>
      <c r="F20" s="30"/>
      <c r="G20" s="5"/>
      <c r="H20" s="5"/>
      <c r="I20" s="5">
        <f t="shared" si="2"/>
        <v>3085</v>
      </c>
      <c r="L20" s="2">
        <v>8</v>
      </c>
      <c r="M20" s="2">
        <v>19</v>
      </c>
    </row>
    <row r="21" spans="1:17" x14ac:dyDescent="0.25">
      <c r="C21" s="4" t="s">
        <v>12</v>
      </c>
      <c r="E21" s="5">
        <v>7740</v>
      </c>
      <c r="F21" s="30"/>
      <c r="G21" s="5"/>
      <c r="H21" s="5"/>
      <c r="I21" s="5">
        <f t="shared" si="2"/>
        <v>7740</v>
      </c>
      <c r="L21" s="2">
        <v>8</v>
      </c>
      <c r="M21" s="2">
        <v>20</v>
      </c>
    </row>
    <row r="22" spans="1:17" x14ac:dyDescent="0.25">
      <c r="B22" s="4" t="s">
        <v>13</v>
      </c>
      <c r="E22" s="32">
        <f>SUM(E20:E21)</f>
        <v>10825</v>
      </c>
      <c r="F22" s="30"/>
      <c r="G22" s="32">
        <f>SUM(G20:G21)</f>
        <v>0</v>
      </c>
      <c r="H22" s="5"/>
      <c r="I22" s="32">
        <f>SUM(I20:I21)</f>
        <v>10825</v>
      </c>
      <c r="L22" s="2">
        <v>8</v>
      </c>
      <c r="M22" s="2">
        <v>21</v>
      </c>
    </row>
    <row r="23" spans="1:17" x14ac:dyDescent="0.25">
      <c r="A23" s="33" t="s">
        <v>26</v>
      </c>
      <c r="E23" s="32">
        <f>E22+E18</f>
        <v>727654</v>
      </c>
      <c r="F23" s="30"/>
      <c r="G23" s="32">
        <f>G22+G18</f>
        <v>0</v>
      </c>
      <c r="H23" s="5"/>
      <c r="I23" s="32">
        <f>I22+I18</f>
        <v>727654</v>
      </c>
      <c r="L23" s="2">
        <v>8</v>
      </c>
      <c r="M23" s="2">
        <v>22</v>
      </c>
    </row>
    <row r="24" spans="1:17" ht="19.5" customHeight="1" x14ac:dyDescent="0.25">
      <c r="A24" s="18" t="s">
        <v>14</v>
      </c>
      <c r="E24" s="5"/>
      <c r="F24" s="30"/>
      <c r="G24" s="5"/>
      <c r="H24" s="5"/>
      <c r="I24" s="5" t="str">
        <f t="shared" ref="I24:I29" si="3">IF(E24+G24=0," ",E24+G24)</f>
        <v xml:space="preserve"> </v>
      </c>
    </row>
    <row r="25" spans="1:17" x14ac:dyDescent="0.25">
      <c r="B25" s="4" t="s">
        <v>15</v>
      </c>
      <c r="E25" s="5">
        <v>855597</v>
      </c>
      <c r="F25" s="30"/>
      <c r="G25" s="5">
        <f>SAO_OME!G88</f>
        <v>32238</v>
      </c>
      <c r="H25" s="5"/>
      <c r="I25" s="5">
        <f>IF(E25+G25=0," ",E25+G25)</f>
        <v>887835</v>
      </c>
      <c r="L25" s="2">
        <v>8</v>
      </c>
      <c r="M25" s="2">
        <v>24</v>
      </c>
    </row>
    <row r="26" spans="1:17" x14ac:dyDescent="0.25">
      <c r="B26" s="4" t="s">
        <v>16</v>
      </c>
      <c r="E26" s="5">
        <v>467299</v>
      </c>
      <c r="F26" s="30"/>
      <c r="G26" s="5"/>
      <c r="H26" s="5"/>
      <c r="I26" s="5">
        <f>IF(E26+G26=0," ",E26+G26)</f>
        <v>467299</v>
      </c>
      <c r="L26" s="2">
        <v>8</v>
      </c>
      <c r="M26" s="2">
        <v>25</v>
      </c>
    </row>
    <row r="27" spans="1:17" x14ac:dyDescent="0.25">
      <c r="B27" s="4" t="s">
        <v>17</v>
      </c>
      <c r="E27" s="5">
        <v>-60437</v>
      </c>
      <c r="F27" s="30"/>
      <c r="G27" s="5"/>
      <c r="H27" s="5"/>
      <c r="I27" s="5">
        <f>IF(E27+G27=0," ",E27+G27)</f>
        <v>-60437</v>
      </c>
      <c r="L27" s="2">
        <v>8</v>
      </c>
      <c r="M27" s="2">
        <v>26</v>
      </c>
      <c r="Q27" s="34"/>
    </row>
    <row r="28" spans="1:17" x14ac:dyDescent="0.25">
      <c r="B28" s="4" t="s">
        <v>18</v>
      </c>
      <c r="E28" s="5">
        <v>19379</v>
      </c>
      <c r="F28" s="30"/>
      <c r="G28" s="5"/>
      <c r="H28" s="5"/>
      <c r="I28" s="5">
        <f>IF(E28+G28=0," ",E28+G28)</f>
        <v>19379</v>
      </c>
      <c r="L28" s="2">
        <v>8</v>
      </c>
      <c r="M28" s="2">
        <v>27</v>
      </c>
    </row>
    <row r="29" spans="1:17" x14ac:dyDescent="0.25">
      <c r="B29" s="4" t="s">
        <v>19</v>
      </c>
      <c r="E29" s="5">
        <v>0</v>
      </c>
      <c r="F29" s="30"/>
      <c r="G29" s="5"/>
      <c r="H29" s="5"/>
      <c r="I29" s="5" t="str">
        <f t="shared" si="3"/>
        <v xml:space="preserve"> </v>
      </c>
      <c r="L29" s="2">
        <v>8</v>
      </c>
      <c r="M29" s="2">
        <v>28</v>
      </c>
    </row>
    <row r="30" spans="1:17" x14ac:dyDescent="0.25">
      <c r="A30" s="33" t="s">
        <v>20</v>
      </c>
      <c r="E30" s="35">
        <f>SUM(E25:E29)</f>
        <v>1281838</v>
      </c>
      <c r="F30" s="31"/>
      <c r="G30" s="35">
        <f>SUM(G25:G29)</f>
        <v>32238</v>
      </c>
      <c r="H30" s="19"/>
      <c r="I30" s="35">
        <f>SUM(I25:I29)</f>
        <v>1314076</v>
      </c>
    </row>
    <row r="31" spans="1:17" ht="19.5" customHeight="1" x14ac:dyDescent="0.25">
      <c r="A31" s="33" t="s">
        <v>21</v>
      </c>
      <c r="E31" s="35">
        <f>E23-E30</f>
        <v>-554184</v>
      </c>
      <c r="F31" s="31"/>
      <c r="G31" s="35">
        <f>G23-G30</f>
        <v>-32238</v>
      </c>
      <c r="H31" s="19"/>
      <c r="I31" s="35">
        <f>I23-I30</f>
        <v>-586422</v>
      </c>
    </row>
    <row r="32" spans="1:17" x14ac:dyDescent="0.25">
      <c r="F32" s="29"/>
      <c r="I32" s="1"/>
    </row>
    <row r="35" spans="1:15" x14ac:dyDescent="0.25">
      <c r="A35" s="73" t="s">
        <v>28</v>
      </c>
      <c r="B35" s="73"/>
      <c r="C35" s="73"/>
      <c r="D35" s="73"/>
      <c r="E35" s="73"/>
      <c r="F35" s="73"/>
      <c r="G35" s="73"/>
      <c r="H35" s="73"/>
      <c r="I35" s="73"/>
    </row>
    <row r="37" spans="1:15" x14ac:dyDescent="0.25">
      <c r="A37" s="74" t="s">
        <v>29</v>
      </c>
      <c r="B37" s="74"/>
      <c r="C37" s="74"/>
      <c r="D37" s="74"/>
      <c r="E37" s="74"/>
      <c r="F37" s="74"/>
      <c r="G37" s="74"/>
      <c r="H37" s="74"/>
      <c r="I37" s="74"/>
    </row>
    <row r="38" spans="1:15" x14ac:dyDescent="0.25">
      <c r="A38" s="71" t="str">
        <f>A7</f>
        <v>TYE 12/31/2020</v>
      </c>
      <c r="B38" s="71"/>
      <c r="C38" s="71"/>
      <c r="D38" s="71"/>
      <c r="E38" s="71"/>
      <c r="F38" s="71"/>
      <c r="G38" s="71"/>
      <c r="H38" s="71"/>
      <c r="I38" s="71"/>
    </row>
    <row r="40" spans="1:15" x14ac:dyDescent="0.25">
      <c r="E40" s="2" t="s">
        <v>22</v>
      </c>
      <c r="F40" s="2"/>
      <c r="G40" s="2" t="s">
        <v>23</v>
      </c>
      <c r="H40" s="2" t="s">
        <v>24</v>
      </c>
      <c r="I40" s="2" t="s">
        <v>25</v>
      </c>
      <c r="L40" s="17" t="s">
        <v>32</v>
      </c>
    </row>
    <row r="41" spans="1:15" x14ac:dyDescent="0.25">
      <c r="E41" s="2"/>
      <c r="F41" s="2"/>
      <c r="G41" s="2"/>
      <c r="H41" s="2"/>
      <c r="I41" s="2"/>
      <c r="L41" s="72" t="s">
        <v>30</v>
      </c>
      <c r="M41" s="72"/>
    </row>
    <row r="42" spans="1:15" x14ac:dyDescent="0.25">
      <c r="A42" s="18" t="s">
        <v>33</v>
      </c>
      <c r="L42" s="2" t="s">
        <v>31</v>
      </c>
      <c r="M42" s="2" t="s">
        <v>27</v>
      </c>
    </row>
    <row r="43" spans="1:15" x14ac:dyDescent="0.25">
      <c r="B43" s="4" t="s">
        <v>34</v>
      </c>
      <c r="E43" s="1"/>
      <c r="F43" s="1"/>
      <c r="G43" s="1"/>
      <c r="I43" s="1" t="str">
        <f t="shared" ref="I43" si="4">IF(E43+G43=0," ",E43+G43)</f>
        <v xml:space="preserve"> </v>
      </c>
    </row>
    <row r="44" spans="1:15" x14ac:dyDescent="0.25">
      <c r="C44" s="4" t="s">
        <v>35</v>
      </c>
      <c r="E44" s="1"/>
      <c r="F44" s="1"/>
      <c r="G44" s="1"/>
      <c r="I44" s="1" t="str">
        <f t="shared" ref="I44:I56" si="5">IF(E44+G44=0," ",E44+G44)</f>
        <v xml:space="preserve"> </v>
      </c>
      <c r="L44" s="2">
        <v>9</v>
      </c>
      <c r="M44" s="2">
        <v>3</v>
      </c>
    </row>
    <row r="45" spans="1:15" x14ac:dyDescent="0.25">
      <c r="C45" s="4" t="s">
        <v>36</v>
      </c>
      <c r="E45" s="1"/>
      <c r="F45" s="1"/>
      <c r="G45" s="1"/>
      <c r="I45" s="1" t="str">
        <f t="shared" si="5"/>
        <v xml:space="preserve"> </v>
      </c>
      <c r="L45" s="2">
        <v>9</v>
      </c>
      <c r="M45" s="2">
        <v>4</v>
      </c>
    </row>
    <row r="46" spans="1:15" x14ac:dyDescent="0.25">
      <c r="B46" s="4" t="s">
        <v>37</v>
      </c>
      <c r="E46" s="1"/>
      <c r="F46" s="1"/>
      <c r="G46" s="1"/>
      <c r="I46" s="1" t="str">
        <f t="shared" si="5"/>
        <v xml:space="preserve"> </v>
      </c>
      <c r="L46" s="2">
        <v>9</v>
      </c>
      <c r="M46" s="2"/>
    </row>
    <row r="47" spans="1:15" x14ac:dyDescent="0.25">
      <c r="C47" s="4" t="s">
        <v>38</v>
      </c>
      <c r="E47" s="1"/>
      <c r="F47" s="1"/>
      <c r="G47" s="1"/>
      <c r="I47" s="1" t="str">
        <f t="shared" si="5"/>
        <v xml:space="preserve"> </v>
      </c>
      <c r="L47" s="2">
        <v>9</v>
      </c>
      <c r="M47" s="2">
        <v>6</v>
      </c>
      <c r="O47" s="36"/>
    </row>
    <row r="48" spans="1:15" x14ac:dyDescent="0.25">
      <c r="C48" s="4" t="s">
        <v>39</v>
      </c>
      <c r="E48" s="5">
        <v>157915</v>
      </c>
      <c r="F48" s="5"/>
      <c r="G48" s="5"/>
      <c r="H48" s="5"/>
      <c r="I48" s="5">
        <f>IF(E48+G48=0," ",E48+G48)</f>
        <v>157915</v>
      </c>
      <c r="L48" s="2">
        <v>9</v>
      </c>
      <c r="M48" s="2">
        <v>7</v>
      </c>
    </row>
    <row r="49" spans="1:13" x14ac:dyDescent="0.25">
      <c r="B49" s="4" t="s">
        <v>40</v>
      </c>
      <c r="E49" s="5"/>
      <c r="F49" s="5"/>
      <c r="G49" s="5"/>
      <c r="H49" s="5"/>
      <c r="I49" s="5" t="str">
        <f t="shared" si="5"/>
        <v xml:space="preserve"> </v>
      </c>
      <c r="L49" s="2">
        <v>9</v>
      </c>
      <c r="M49" s="2"/>
    </row>
    <row r="50" spans="1:13" x14ac:dyDescent="0.25">
      <c r="C50" s="4" t="s">
        <v>41</v>
      </c>
      <c r="E50" s="9">
        <v>54936</v>
      </c>
      <c r="F50" s="5"/>
      <c r="G50" s="5"/>
      <c r="H50" s="5"/>
      <c r="I50" s="5">
        <f>IF(E50+G50=0," ",E50+G50)</f>
        <v>54936</v>
      </c>
      <c r="L50" s="2">
        <v>9</v>
      </c>
      <c r="M50" s="2">
        <v>9</v>
      </c>
    </row>
    <row r="51" spans="1:13" x14ac:dyDescent="0.25">
      <c r="C51" s="4" t="s">
        <v>42</v>
      </c>
      <c r="E51" s="5"/>
      <c r="F51" s="5"/>
      <c r="G51" s="5"/>
      <c r="H51" s="5"/>
      <c r="I51" s="5" t="str">
        <f t="shared" si="5"/>
        <v xml:space="preserve"> </v>
      </c>
      <c r="L51" s="2">
        <v>9</v>
      </c>
      <c r="M51" s="2">
        <v>10</v>
      </c>
    </row>
    <row r="52" spans="1:13" x14ac:dyDescent="0.25">
      <c r="C52" s="4" t="s">
        <v>43</v>
      </c>
      <c r="E52" s="5">
        <v>102006</v>
      </c>
      <c r="F52" s="5"/>
      <c r="G52" s="5"/>
      <c r="H52" s="5"/>
      <c r="I52" s="5">
        <f>IF(E52+G52=0," ",E52+G52)</f>
        <v>102006</v>
      </c>
      <c r="L52" s="2">
        <v>9</v>
      </c>
      <c r="M52" s="2">
        <v>11</v>
      </c>
    </row>
    <row r="53" spans="1:13" x14ac:dyDescent="0.25">
      <c r="B53" s="4" t="s">
        <v>44</v>
      </c>
      <c r="E53" s="5"/>
      <c r="F53" s="5"/>
      <c r="G53" s="5"/>
      <c r="H53" s="5"/>
      <c r="I53" s="5" t="str">
        <f t="shared" si="5"/>
        <v xml:space="preserve"> </v>
      </c>
      <c r="L53" s="2">
        <v>9</v>
      </c>
      <c r="M53" s="2">
        <v>12</v>
      </c>
    </row>
    <row r="54" spans="1:13" x14ac:dyDescent="0.25">
      <c r="B54" s="4" t="s">
        <v>45</v>
      </c>
      <c r="E54" s="5">
        <v>130102</v>
      </c>
      <c r="F54" s="5"/>
      <c r="G54" s="5"/>
      <c r="H54" s="5"/>
      <c r="I54" s="5">
        <f>IF(E54+G54=0," ",E54+G54)</f>
        <v>130102</v>
      </c>
      <c r="L54" s="2">
        <v>9</v>
      </c>
      <c r="M54" s="2">
        <v>13</v>
      </c>
    </row>
    <row r="55" spans="1:13" x14ac:dyDescent="0.25">
      <c r="B55" s="4" t="s">
        <v>46</v>
      </c>
      <c r="E55" s="5">
        <v>23814</v>
      </c>
      <c r="F55" s="5"/>
      <c r="G55" s="5"/>
      <c r="H55" s="5"/>
      <c r="I55" s="5">
        <f t="shared" si="5"/>
        <v>23814</v>
      </c>
      <c r="L55" s="2">
        <v>9</v>
      </c>
      <c r="M55" s="2">
        <v>14</v>
      </c>
    </row>
    <row r="56" spans="1:13" x14ac:dyDescent="0.25">
      <c r="B56" s="4" t="s">
        <v>47</v>
      </c>
      <c r="E56" s="5"/>
      <c r="F56" s="5"/>
      <c r="G56" s="5"/>
      <c r="H56" s="5"/>
      <c r="I56" s="5" t="str">
        <f t="shared" si="5"/>
        <v xml:space="preserve"> </v>
      </c>
      <c r="L56" s="2">
        <v>9</v>
      </c>
      <c r="M56" s="2"/>
    </row>
    <row r="57" spans="1:13" ht="15" customHeight="1" x14ac:dyDescent="0.25">
      <c r="C57" s="4" t="s">
        <v>49</v>
      </c>
      <c r="E57" s="5">
        <v>11540</v>
      </c>
      <c r="F57" s="5"/>
      <c r="G57" s="5"/>
      <c r="H57" s="5"/>
      <c r="I57" s="5">
        <f>IF(E57+G57=0," ",E57+G57)</f>
        <v>11540</v>
      </c>
      <c r="L57" s="2">
        <v>9</v>
      </c>
      <c r="M57" s="2">
        <v>16</v>
      </c>
    </row>
    <row r="58" spans="1:13" x14ac:dyDescent="0.25">
      <c r="C58" s="4" t="s">
        <v>48</v>
      </c>
      <c r="E58" s="5">
        <v>0</v>
      </c>
      <c r="F58" s="5"/>
      <c r="G58" s="5"/>
      <c r="H58" s="5"/>
      <c r="I58" s="5" t="str">
        <f>IF(E58+G58=0," ",E58+G58)</f>
        <v xml:space="preserve"> </v>
      </c>
      <c r="L58" s="2">
        <v>9</v>
      </c>
      <c r="M58" s="2">
        <v>17</v>
      </c>
    </row>
    <row r="59" spans="1:13" x14ac:dyDescent="0.25">
      <c r="C59" s="4" t="s">
        <v>50</v>
      </c>
      <c r="E59" s="5">
        <v>164784</v>
      </c>
      <c r="F59" s="5"/>
      <c r="G59" s="5"/>
      <c r="H59" s="5"/>
      <c r="I59" s="5">
        <f>IF(E59+G59=0," ",E59+G59)</f>
        <v>164784</v>
      </c>
      <c r="L59" s="2">
        <v>9</v>
      </c>
      <c r="M59" s="2">
        <v>18</v>
      </c>
    </row>
    <row r="60" spans="1:13" ht="19.5" customHeight="1" x14ac:dyDescent="0.25">
      <c r="A60" s="18" t="s">
        <v>51</v>
      </c>
      <c r="E60" s="5"/>
      <c r="F60" s="5"/>
      <c r="G60" s="5"/>
      <c r="H60" s="5"/>
      <c r="I60" s="5" t="str">
        <f>IF(E60+G60=0," ",E60+G60)</f>
        <v xml:space="preserve"> </v>
      </c>
      <c r="L60" s="2"/>
      <c r="M60" s="2"/>
    </row>
    <row r="61" spans="1:13" ht="15" customHeight="1" x14ac:dyDescent="0.25">
      <c r="A61" s="18"/>
      <c r="B61" s="4" t="s">
        <v>34</v>
      </c>
      <c r="E61" s="5"/>
      <c r="F61" s="5"/>
      <c r="G61" s="5"/>
      <c r="H61" s="5"/>
      <c r="I61" s="5" t="str">
        <f>IF(E61+G61=0," ",E61+G61)</f>
        <v xml:space="preserve"> </v>
      </c>
      <c r="L61" s="2">
        <v>9</v>
      </c>
      <c r="M61" s="2"/>
    </row>
    <row r="62" spans="1:13" ht="15" customHeight="1" x14ac:dyDescent="0.25">
      <c r="A62" s="18"/>
      <c r="C62" s="4" t="s">
        <v>52</v>
      </c>
      <c r="E62" s="5"/>
      <c r="F62" s="5"/>
      <c r="G62" s="5"/>
      <c r="H62" s="5"/>
      <c r="I62" s="5" t="str">
        <f t="shared" ref="I62:I87" si="6">IF(E62+G62=0," ",E62+G62)</f>
        <v xml:space="preserve"> </v>
      </c>
      <c r="L62" s="2">
        <v>9</v>
      </c>
      <c r="M62" s="2">
        <v>22</v>
      </c>
    </row>
    <row r="63" spans="1:13" ht="15" customHeight="1" x14ac:dyDescent="0.25">
      <c r="A63" s="18"/>
      <c r="C63" s="4" t="s">
        <v>53</v>
      </c>
      <c r="E63" s="5"/>
      <c r="F63" s="5"/>
      <c r="G63" s="5"/>
      <c r="H63" s="5"/>
      <c r="I63" s="5" t="str">
        <f t="shared" si="6"/>
        <v xml:space="preserve"> </v>
      </c>
      <c r="L63" s="2">
        <v>9</v>
      </c>
      <c r="M63" s="2">
        <v>23</v>
      </c>
    </row>
    <row r="64" spans="1:13" ht="15" customHeight="1" x14ac:dyDescent="0.25">
      <c r="A64" s="18"/>
      <c r="B64" s="4" t="s">
        <v>54</v>
      </c>
      <c r="E64" s="5"/>
      <c r="F64" s="5"/>
      <c r="G64" s="5"/>
      <c r="H64" s="5"/>
      <c r="I64" s="5" t="str">
        <f t="shared" si="6"/>
        <v xml:space="preserve"> </v>
      </c>
      <c r="L64" s="2">
        <v>9</v>
      </c>
      <c r="M64" s="2">
        <v>24</v>
      </c>
    </row>
    <row r="65" spans="1:13" ht="15" customHeight="1" x14ac:dyDescent="0.25">
      <c r="A65" s="18"/>
      <c r="B65" s="4" t="s">
        <v>55</v>
      </c>
      <c r="E65" s="5"/>
      <c r="F65" s="5"/>
      <c r="G65" s="5"/>
      <c r="H65" s="5"/>
      <c r="I65" s="5" t="str">
        <f t="shared" si="6"/>
        <v xml:space="preserve"> </v>
      </c>
      <c r="L65" s="2">
        <v>9</v>
      </c>
      <c r="M65" s="2">
        <v>25</v>
      </c>
    </row>
    <row r="66" spans="1:13" ht="15" customHeight="1" x14ac:dyDescent="0.25">
      <c r="A66" s="18"/>
      <c r="B66" s="4" t="s">
        <v>56</v>
      </c>
      <c r="E66" s="5">
        <v>20675</v>
      </c>
      <c r="F66" s="5"/>
      <c r="G66" s="5"/>
      <c r="H66" s="5"/>
      <c r="I66" s="5">
        <f>IF(E66+G66=0," ",E66+G66)</f>
        <v>20675</v>
      </c>
      <c r="L66" s="2">
        <v>9</v>
      </c>
      <c r="M66" s="2">
        <v>26</v>
      </c>
    </row>
    <row r="67" spans="1:13" ht="15" customHeight="1" x14ac:dyDescent="0.25">
      <c r="A67" s="18"/>
      <c r="B67" s="4" t="s">
        <v>57</v>
      </c>
      <c r="E67" s="5">
        <v>71180</v>
      </c>
      <c r="F67" s="5"/>
      <c r="G67" s="5"/>
      <c r="H67" s="5"/>
      <c r="I67" s="5">
        <f>IF(E67+G67=0," ",E67+G67)</f>
        <v>71180</v>
      </c>
      <c r="L67" s="2">
        <v>9</v>
      </c>
      <c r="M67" s="2">
        <v>27</v>
      </c>
    </row>
    <row r="68" spans="1:13" ht="15" customHeight="1" x14ac:dyDescent="0.25">
      <c r="A68" s="18"/>
      <c r="B68" s="4" t="s">
        <v>58</v>
      </c>
      <c r="E68" s="5"/>
      <c r="F68" s="5"/>
      <c r="G68" s="5"/>
      <c r="H68" s="5"/>
      <c r="I68" s="5" t="str">
        <f t="shared" si="6"/>
        <v xml:space="preserve"> </v>
      </c>
      <c r="L68" s="2">
        <v>9</v>
      </c>
      <c r="M68" s="2"/>
    </row>
    <row r="69" spans="1:13" ht="19.5" customHeight="1" x14ac:dyDescent="0.25">
      <c r="A69" s="18" t="s">
        <v>59</v>
      </c>
      <c r="E69" s="5"/>
      <c r="F69" s="5"/>
      <c r="G69" s="5"/>
      <c r="H69" s="5"/>
      <c r="I69" s="5" t="str">
        <f t="shared" si="6"/>
        <v xml:space="preserve"> </v>
      </c>
      <c r="L69" s="2"/>
      <c r="M69" s="2"/>
    </row>
    <row r="70" spans="1:13" ht="15" customHeight="1" x14ac:dyDescent="0.25">
      <c r="A70" s="18"/>
      <c r="B70" s="4" t="s">
        <v>60</v>
      </c>
      <c r="E70" s="5"/>
      <c r="F70" s="5"/>
      <c r="G70" s="5"/>
      <c r="H70" s="5"/>
      <c r="I70" s="5" t="str">
        <f t="shared" si="6"/>
        <v xml:space="preserve"> </v>
      </c>
      <c r="L70" s="2">
        <v>9</v>
      </c>
      <c r="M70" s="2">
        <v>31</v>
      </c>
    </row>
    <row r="71" spans="1:13" ht="15" customHeight="1" x14ac:dyDescent="0.25">
      <c r="A71" s="18"/>
      <c r="B71" s="4" t="s">
        <v>61</v>
      </c>
      <c r="E71" s="5"/>
      <c r="F71" s="5"/>
      <c r="G71" s="5"/>
      <c r="H71" s="5"/>
      <c r="I71" s="5" t="str">
        <f t="shared" si="6"/>
        <v xml:space="preserve"> </v>
      </c>
      <c r="L71" s="2">
        <v>9</v>
      </c>
      <c r="M71" s="2">
        <v>32</v>
      </c>
    </row>
    <row r="72" spans="1:13" ht="15" customHeight="1" x14ac:dyDescent="0.25">
      <c r="A72" s="18"/>
      <c r="B72" s="4" t="s">
        <v>62</v>
      </c>
      <c r="E72" s="5"/>
      <c r="F72" s="5"/>
      <c r="G72" s="5"/>
      <c r="H72" s="5"/>
      <c r="I72" s="5" t="str">
        <f t="shared" si="6"/>
        <v xml:space="preserve"> </v>
      </c>
      <c r="L72" s="2">
        <v>9</v>
      </c>
      <c r="M72" s="2"/>
    </row>
    <row r="73" spans="1:13" ht="15" customHeight="1" x14ac:dyDescent="0.25">
      <c r="A73" s="18"/>
      <c r="C73" s="4" t="s">
        <v>63</v>
      </c>
      <c r="E73" s="5"/>
      <c r="F73" s="5"/>
      <c r="G73" s="5"/>
      <c r="H73" s="5"/>
      <c r="I73" s="5" t="str">
        <f t="shared" si="6"/>
        <v xml:space="preserve"> </v>
      </c>
      <c r="L73" s="2">
        <v>9</v>
      </c>
      <c r="M73" s="2">
        <v>34</v>
      </c>
    </row>
    <row r="74" spans="1:13" ht="15" customHeight="1" x14ac:dyDescent="0.25">
      <c r="A74" s="18"/>
      <c r="C74" s="4" t="s">
        <v>64</v>
      </c>
      <c r="E74" s="5"/>
      <c r="F74" s="5"/>
      <c r="G74" s="5"/>
      <c r="H74" s="5"/>
      <c r="I74" s="5" t="str">
        <f t="shared" si="6"/>
        <v xml:space="preserve"> </v>
      </c>
      <c r="L74" s="2">
        <v>9</v>
      </c>
      <c r="M74" s="2">
        <v>35</v>
      </c>
    </row>
    <row r="75" spans="1:13" ht="15" customHeight="1" x14ac:dyDescent="0.25">
      <c r="A75" s="18"/>
      <c r="B75" s="4" t="s">
        <v>65</v>
      </c>
      <c r="E75" s="5"/>
      <c r="F75" s="5"/>
      <c r="G75" s="5"/>
      <c r="H75" s="5"/>
      <c r="I75" s="5" t="str">
        <f t="shared" si="6"/>
        <v xml:space="preserve"> </v>
      </c>
      <c r="L75" s="2">
        <v>9</v>
      </c>
      <c r="M75" s="2">
        <v>36</v>
      </c>
    </row>
    <row r="76" spans="1:13" ht="15" customHeight="1" x14ac:dyDescent="0.25">
      <c r="A76" s="18"/>
      <c r="B76" s="4" t="s">
        <v>66</v>
      </c>
      <c r="E76" s="5">
        <v>167</v>
      </c>
      <c r="F76" s="5"/>
      <c r="G76" s="5"/>
      <c r="H76" s="5"/>
      <c r="I76" s="5">
        <f>IF(E76+G76=0," ",E76+G76)</f>
        <v>167</v>
      </c>
      <c r="L76" s="2">
        <v>9</v>
      </c>
      <c r="M76" s="2">
        <v>37</v>
      </c>
    </row>
    <row r="77" spans="1:13" ht="19.5" customHeight="1" x14ac:dyDescent="0.25">
      <c r="A77" s="18" t="s">
        <v>67</v>
      </c>
      <c r="E77" s="5"/>
      <c r="F77" s="5"/>
      <c r="G77" s="5"/>
      <c r="H77" s="5"/>
      <c r="I77" s="5" t="str">
        <f t="shared" si="6"/>
        <v xml:space="preserve"> </v>
      </c>
      <c r="L77" s="2"/>
      <c r="M77" s="2"/>
    </row>
    <row r="78" spans="1:13" ht="15" customHeight="1" x14ac:dyDescent="0.25">
      <c r="A78" s="18"/>
      <c r="B78" s="4" t="s">
        <v>68</v>
      </c>
      <c r="E78" s="5">
        <v>7335</v>
      </c>
      <c r="F78" s="5"/>
      <c r="G78" s="5">
        <v>20732</v>
      </c>
      <c r="H78" s="5"/>
      <c r="I78" s="5">
        <f>IF(E78+G78=0," ",E78+G78)</f>
        <v>28067</v>
      </c>
      <c r="L78" s="2">
        <v>9</v>
      </c>
      <c r="M78" s="2">
        <v>40</v>
      </c>
    </row>
    <row r="79" spans="1:13" ht="15" customHeight="1" x14ac:dyDescent="0.25">
      <c r="A79" s="18"/>
      <c r="B79" s="4" t="s">
        <v>69</v>
      </c>
      <c r="E79" s="5">
        <v>233</v>
      </c>
      <c r="F79" s="5"/>
      <c r="G79" s="5"/>
      <c r="H79" s="5"/>
      <c r="I79" s="5">
        <f>IF(E79+G79=0," ",E79+G79)</f>
        <v>233</v>
      </c>
      <c r="L79" s="2">
        <v>9</v>
      </c>
      <c r="M79" s="2">
        <v>41</v>
      </c>
    </row>
    <row r="80" spans="1:13" ht="15" customHeight="1" x14ac:dyDescent="0.25">
      <c r="A80" s="18"/>
      <c r="B80" s="4" t="s">
        <v>70</v>
      </c>
      <c r="E80" s="5">
        <v>0</v>
      </c>
      <c r="F80" s="5"/>
      <c r="G80" s="5"/>
      <c r="H80" s="5"/>
      <c r="I80" s="5" t="str">
        <f t="shared" si="6"/>
        <v xml:space="preserve"> </v>
      </c>
      <c r="L80" s="2">
        <v>9</v>
      </c>
      <c r="M80" s="2">
        <v>42</v>
      </c>
    </row>
    <row r="81" spans="1:14" ht="15" customHeight="1" x14ac:dyDescent="0.25">
      <c r="A81" s="18"/>
      <c r="B81" s="4" t="s">
        <v>71</v>
      </c>
      <c r="E81" s="5">
        <v>2850</v>
      </c>
      <c r="F81" s="5"/>
      <c r="G81" s="5">
        <v>545</v>
      </c>
      <c r="H81" s="5"/>
      <c r="I81" s="5">
        <f>IF(E81+G81=0," ",E81+G81)</f>
        <v>3395</v>
      </c>
      <c r="L81" s="2">
        <v>9</v>
      </c>
      <c r="M81" s="2">
        <v>43</v>
      </c>
    </row>
    <row r="82" spans="1:14" ht="15" customHeight="1" x14ac:dyDescent="0.25">
      <c r="A82" s="18"/>
      <c r="B82" s="4" t="s">
        <v>72</v>
      </c>
      <c r="E82" s="5">
        <v>87328</v>
      </c>
      <c r="F82" s="5"/>
      <c r="G82" s="5">
        <v>2211</v>
      </c>
      <c r="H82" s="5"/>
      <c r="I82" s="5">
        <f>IF(E82+G82=0," ",E82+G82)</f>
        <v>89539</v>
      </c>
      <c r="L82" s="2">
        <v>9</v>
      </c>
      <c r="M82" s="2">
        <v>44</v>
      </c>
    </row>
    <row r="83" spans="1:14" ht="15" customHeight="1" x14ac:dyDescent="0.25">
      <c r="A83" s="18"/>
      <c r="B83" s="4" t="s">
        <v>73</v>
      </c>
      <c r="E83" s="5">
        <v>0</v>
      </c>
      <c r="F83" s="5"/>
      <c r="G83" s="5">
        <v>8750</v>
      </c>
      <c r="H83" s="5"/>
      <c r="I83" s="5">
        <f t="shared" si="6"/>
        <v>8750</v>
      </c>
      <c r="L83" s="2">
        <v>9</v>
      </c>
      <c r="M83" s="2">
        <v>45</v>
      </c>
    </row>
    <row r="84" spans="1:14" x14ac:dyDescent="0.25">
      <c r="B84" s="4" t="s">
        <v>74</v>
      </c>
      <c r="E84" s="5">
        <v>15731</v>
      </c>
      <c r="F84" s="5"/>
      <c r="G84" s="5"/>
      <c r="H84" s="5"/>
      <c r="I84" s="5">
        <f>IF(E84+G84=0," ",E84+G84)</f>
        <v>15731</v>
      </c>
      <c r="L84" s="2">
        <v>9</v>
      </c>
      <c r="M84" s="2">
        <v>46</v>
      </c>
    </row>
    <row r="85" spans="1:14" x14ac:dyDescent="0.25">
      <c r="B85" s="4" t="s">
        <v>75</v>
      </c>
      <c r="E85" s="5">
        <v>5001</v>
      </c>
      <c r="F85" s="5"/>
      <c r="G85" s="5"/>
      <c r="H85" s="5"/>
      <c r="I85" s="5">
        <f>IF(E85+G85=0," ",E85+G85)</f>
        <v>5001</v>
      </c>
      <c r="L85" s="2">
        <v>9</v>
      </c>
      <c r="M85" s="2">
        <v>47</v>
      </c>
    </row>
    <row r="86" spans="1:14" x14ac:dyDescent="0.25">
      <c r="B86" s="4" t="s">
        <v>44</v>
      </c>
      <c r="E86" s="5"/>
      <c r="F86" s="30"/>
      <c r="G86" s="5"/>
      <c r="H86" s="5"/>
      <c r="I86" s="5" t="str">
        <f t="shared" si="6"/>
        <v xml:space="preserve"> </v>
      </c>
      <c r="L86" s="2">
        <v>9</v>
      </c>
      <c r="M86" s="2">
        <v>48</v>
      </c>
    </row>
    <row r="87" spans="1:14" x14ac:dyDescent="0.25">
      <c r="B87" s="4" t="s">
        <v>76</v>
      </c>
      <c r="E87" s="5"/>
      <c r="F87" s="30"/>
      <c r="G87" s="5"/>
      <c r="H87" s="5"/>
      <c r="I87" s="5" t="str">
        <f t="shared" si="6"/>
        <v xml:space="preserve"> </v>
      </c>
      <c r="L87" s="2">
        <v>9</v>
      </c>
      <c r="M87" s="2">
        <v>49</v>
      </c>
    </row>
    <row r="88" spans="1:14" ht="19.5" customHeight="1" x14ac:dyDescent="0.25">
      <c r="A88" s="33" t="s">
        <v>77</v>
      </c>
      <c r="E88" s="35">
        <f>SUM(E42:E87)</f>
        <v>855597</v>
      </c>
      <c r="F88" s="31"/>
      <c r="G88" s="35">
        <f>SUM(G42:G87)</f>
        <v>32238</v>
      </c>
      <c r="H88" s="19"/>
      <c r="I88" s="35">
        <f>SUM(I42:I87)</f>
        <v>887835</v>
      </c>
      <c r="L88" s="2">
        <v>9</v>
      </c>
      <c r="M88" s="2">
        <v>51</v>
      </c>
      <c r="N88" s="4" t="str">
        <f>IF(E88=E25," ","check.. OM must agree to IS above")</f>
        <v xml:space="preserve"> </v>
      </c>
    </row>
    <row r="89" spans="1:14" x14ac:dyDescent="0.25">
      <c r="I89" s="1"/>
    </row>
  </sheetData>
  <mergeCells count="8">
    <mergeCell ref="A38:I38"/>
    <mergeCell ref="L10:M10"/>
    <mergeCell ref="L41:M41"/>
    <mergeCell ref="A4:I4"/>
    <mergeCell ref="A6:I6"/>
    <mergeCell ref="A7:I7"/>
    <mergeCell ref="A35:I35"/>
    <mergeCell ref="A37:I37"/>
  </mergeCells>
  <conditionalFormatting sqref="G44">
    <cfRule type="cellIs" dxfId="11" priority="17" operator="equal">
      <formula>0</formula>
    </cfRule>
  </conditionalFormatting>
  <conditionalFormatting sqref="G45">
    <cfRule type="cellIs" dxfId="10" priority="16" operator="equal">
      <formula>0</formula>
    </cfRule>
  </conditionalFormatting>
  <conditionalFormatting sqref="G47:G48">
    <cfRule type="cellIs" dxfId="9" priority="15" operator="equal">
      <formula>0</formula>
    </cfRule>
  </conditionalFormatting>
  <conditionalFormatting sqref="G50:G52">
    <cfRule type="cellIs" dxfId="8" priority="14" operator="equal">
      <formula>0</formula>
    </cfRule>
  </conditionalFormatting>
  <conditionalFormatting sqref="G53:G59">
    <cfRule type="cellIs" dxfId="7" priority="13" operator="equal">
      <formula>0</formula>
    </cfRule>
  </conditionalFormatting>
  <conditionalFormatting sqref="G61:G68">
    <cfRule type="cellIs" dxfId="6" priority="12" operator="equal">
      <formula>0</formula>
    </cfRule>
  </conditionalFormatting>
  <conditionalFormatting sqref="G70:G76">
    <cfRule type="cellIs" dxfId="5" priority="11" operator="equal">
      <formula>0</formula>
    </cfRule>
  </conditionalFormatting>
  <conditionalFormatting sqref="G78:G87">
    <cfRule type="cellIs" dxfId="4" priority="10" operator="equal">
      <formula>0</formula>
    </cfRule>
  </conditionalFormatting>
  <conditionalFormatting sqref="G13">
    <cfRule type="cellIs" dxfId="3" priority="9" operator="equal">
      <formula>0</formula>
    </cfRule>
  </conditionalFormatting>
  <conditionalFormatting sqref="G14:G17">
    <cfRule type="cellIs" dxfId="2" priority="8" operator="equal">
      <formula>0</formula>
    </cfRule>
  </conditionalFormatting>
  <conditionalFormatting sqref="G20:G21">
    <cfRule type="cellIs" dxfId="1" priority="7" operator="equal">
      <formula>0</formula>
    </cfRule>
  </conditionalFormatting>
  <conditionalFormatting sqref="G26:G28">
    <cfRule type="cellIs" dxfId="0" priority="6" operator="equal">
      <formula>0</formula>
    </cfRule>
  </conditionalFormatting>
  <pageMargins left="0.7" right="0.7" top="0.75" bottom="0.5" header="0.3" footer="0.3"/>
  <pageSetup scale="85" fitToHeight="100" orientation="portrait" r:id="rId1"/>
  <rowBreaks count="1" manualBreakCount="1">
    <brk id="34" max="7" man="1"/>
  </rowBreaks>
  <customProperties>
    <customPr name="_pios_id" r:id="rId2"/>
  </customProperties>
  <ignoredErrors>
    <ignoredError sqref="I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M42"/>
  <sheetViews>
    <sheetView view="pageBreakPreview" zoomScaleNormal="100" zoomScaleSheetLayoutView="100" workbookViewId="0"/>
  </sheetViews>
  <sheetFormatPr defaultRowHeight="15" x14ac:dyDescent="0.25"/>
  <cols>
    <col min="1" max="1" width="3.42578125" style="4" customWidth="1"/>
    <col min="2" max="2" width="6.28515625" style="4" customWidth="1"/>
    <col min="3" max="3" width="4.42578125" style="4" customWidth="1"/>
    <col min="4" max="4" width="56.42578125" style="4" customWidth="1"/>
    <col min="5" max="5" width="1.42578125" style="4" customWidth="1"/>
    <col min="6" max="6" width="1.7109375" style="4" customWidth="1"/>
    <col min="7" max="7" width="13.5703125" style="4" customWidth="1"/>
    <col min="8" max="9" width="2.7109375" style="4" customWidth="1"/>
    <col min="10" max="10" width="10.5703125" style="4" customWidth="1"/>
    <col min="11" max="16384" width="9.140625" style="4"/>
  </cols>
  <sheetData>
    <row r="4" spans="1:11" x14ac:dyDescent="0.25">
      <c r="A4" s="73" t="s">
        <v>78</v>
      </c>
      <c r="B4" s="73"/>
      <c r="C4" s="73"/>
      <c r="D4" s="73"/>
      <c r="E4" s="73"/>
      <c r="F4" s="73"/>
      <c r="G4" s="73"/>
    </row>
    <row r="6" spans="1:11" x14ac:dyDescent="0.25">
      <c r="A6" s="74" t="s">
        <v>79</v>
      </c>
      <c r="B6" s="74"/>
      <c r="C6" s="74"/>
      <c r="D6" s="74"/>
      <c r="E6" s="74"/>
      <c r="F6" s="74"/>
      <c r="G6" s="74"/>
    </row>
    <row r="7" spans="1:11" x14ac:dyDescent="0.25">
      <c r="A7" s="75" t="s">
        <v>80</v>
      </c>
      <c r="B7" s="76"/>
      <c r="C7" s="76"/>
      <c r="D7" s="76"/>
      <c r="E7" s="76"/>
      <c r="F7" s="76"/>
      <c r="G7" s="76"/>
    </row>
    <row r="9" spans="1:11" x14ac:dyDescent="0.25">
      <c r="F9" s="16"/>
      <c r="G9" s="2"/>
      <c r="J9" s="17" t="s">
        <v>32</v>
      </c>
    </row>
    <row r="10" spans="1:11" x14ac:dyDescent="0.25">
      <c r="F10" s="16"/>
      <c r="G10" s="2"/>
      <c r="J10" s="72" t="s">
        <v>30</v>
      </c>
      <c r="K10" s="72"/>
    </row>
    <row r="11" spans="1:11" x14ac:dyDescent="0.25">
      <c r="A11" s="18"/>
      <c r="B11" s="4" t="s">
        <v>83</v>
      </c>
      <c r="F11" s="1"/>
      <c r="G11" s="19">
        <f>SAO_OME!I30</f>
        <v>1314076</v>
      </c>
      <c r="J11" s="2"/>
      <c r="K11" s="2"/>
    </row>
    <row r="12" spans="1:11" x14ac:dyDescent="0.25">
      <c r="A12" s="18"/>
      <c r="B12" s="4" t="s">
        <v>151</v>
      </c>
      <c r="F12" s="1"/>
      <c r="G12" s="1">
        <v>0.88</v>
      </c>
      <c r="J12" s="20" t="s">
        <v>106</v>
      </c>
      <c r="K12" s="2"/>
    </row>
    <row r="13" spans="1:11" x14ac:dyDescent="0.25">
      <c r="A13" s="18"/>
      <c r="B13" s="4" t="s">
        <v>81</v>
      </c>
      <c r="F13" s="1"/>
      <c r="G13" s="11">
        <f>ROUND(G11/G12,2)</f>
        <v>1493268.18</v>
      </c>
      <c r="J13" s="2"/>
      <c r="K13" s="2"/>
    </row>
    <row r="14" spans="1:11" x14ac:dyDescent="0.25">
      <c r="A14" s="18"/>
      <c r="B14" s="4" t="s">
        <v>82</v>
      </c>
      <c r="C14" s="4" t="s">
        <v>83</v>
      </c>
      <c r="F14" s="1"/>
      <c r="G14" s="5">
        <f>-G11</f>
        <v>-1314076</v>
      </c>
      <c r="J14" s="2"/>
      <c r="K14" s="2"/>
    </row>
    <row r="15" spans="1:11" x14ac:dyDescent="0.25">
      <c r="A15" s="18"/>
      <c r="B15" s="4" t="s">
        <v>84</v>
      </c>
      <c r="F15" s="1"/>
      <c r="G15" s="11">
        <f>G14+G13</f>
        <v>179192.17999999993</v>
      </c>
      <c r="J15" s="2"/>
      <c r="K15" s="2"/>
    </row>
    <row r="16" spans="1:11" x14ac:dyDescent="0.25">
      <c r="B16" s="4" t="s">
        <v>85</v>
      </c>
      <c r="C16" s="4" t="s">
        <v>86</v>
      </c>
      <c r="F16" s="1"/>
      <c r="G16" s="5">
        <f>G39</f>
        <v>30421.29101932047</v>
      </c>
      <c r="J16" s="4" t="s">
        <v>107</v>
      </c>
    </row>
    <row r="17" spans="1:13" x14ac:dyDescent="0.25">
      <c r="C17" s="4" t="s">
        <v>87</v>
      </c>
      <c r="F17" s="1"/>
      <c r="G17" s="5">
        <f>'Int Exp'!H33</f>
        <v>142792.346208</v>
      </c>
      <c r="J17" s="20" t="s">
        <v>109</v>
      </c>
      <c r="K17" s="2"/>
    </row>
    <row r="18" spans="1:13" x14ac:dyDescent="0.25">
      <c r="C18" s="4" t="s">
        <v>83</v>
      </c>
      <c r="F18" s="1"/>
      <c r="G18" s="5">
        <f>G11</f>
        <v>1314076</v>
      </c>
      <c r="J18" s="2"/>
      <c r="K18" s="2"/>
    </row>
    <row r="19" spans="1:13" x14ac:dyDescent="0.25">
      <c r="C19" s="4" t="s">
        <v>88</v>
      </c>
      <c r="F19" s="1"/>
      <c r="G19" s="1"/>
      <c r="J19" s="2"/>
      <c r="K19" s="2"/>
    </row>
    <row r="20" spans="1:13" x14ac:dyDescent="0.25">
      <c r="B20" s="4" t="s">
        <v>89</v>
      </c>
      <c r="F20" s="1"/>
      <c r="G20" s="11">
        <f>SUM(G15:G19)</f>
        <v>1666481.8172273203</v>
      </c>
      <c r="J20" s="2"/>
      <c r="K20" s="2"/>
    </row>
    <row r="21" spans="1:13" x14ac:dyDescent="0.25">
      <c r="B21" s="4" t="s">
        <v>82</v>
      </c>
      <c r="C21" s="4" t="s">
        <v>90</v>
      </c>
      <c r="F21" s="1"/>
      <c r="G21" s="5">
        <f>SAO_OME!I22</f>
        <v>10825</v>
      </c>
      <c r="J21" s="4" t="s">
        <v>131</v>
      </c>
    </row>
    <row r="22" spans="1:13" x14ac:dyDescent="0.25">
      <c r="C22" s="4" t="s">
        <v>91</v>
      </c>
      <c r="F22" s="1"/>
      <c r="G22" s="1"/>
      <c r="J22" s="2"/>
      <c r="K22" s="2"/>
    </row>
    <row r="23" spans="1:13" x14ac:dyDescent="0.25">
      <c r="C23" s="4" t="s">
        <v>92</v>
      </c>
      <c r="F23" s="1"/>
      <c r="G23" s="1"/>
      <c r="J23" s="2"/>
      <c r="K23" s="2"/>
    </row>
    <row r="24" spans="1:13" x14ac:dyDescent="0.25">
      <c r="B24" s="4" t="s">
        <v>93</v>
      </c>
      <c r="F24" s="1"/>
      <c r="G24" s="11">
        <f>G20-SUM(G21:G23)</f>
        <v>1655656.8172273203</v>
      </c>
      <c r="J24" s="2"/>
      <c r="K24" s="2"/>
    </row>
    <row r="25" spans="1:13" x14ac:dyDescent="0.25">
      <c r="B25" s="4" t="s">
        <v>82</v>
      </c>
      <c r="C25" s="4" t="s">
        <v>94</v>
      </c>
      <c r="F25" s="1"/>
      <c r="G25" s="5">
        <f>SAO_OME!I18</f>
        <v>716829</v>
      </c>
      <c r="J25" s="2"/>
      <c r="K25" s="2"/>
    </row>
    <row r="26" spans="1:13" ht="15.75" thickBot="1" x14ac:dyDescent="0.3">
      <c r="B26" s="4" t="s">
        <v>95</v>
      </c>
      <c r="F26" s="1"/>
      <c r="G26" s="8">
        <f>G24-G25</f>
        <v>938827.81722732028</v>
      </c>
      <c r="J26" s="2"/>
      <c r="K26" s="21"/>
      <c r="L26" s="22"/>
      <c r="M26" s="22"/>
    </row>
    <row r="27" spans="1:13" ht="16.5" thickTop="1" thickBot="1" x14ac:dyDescent="0.3">
      <c r="A27" s="4" t="s">
        <v>96</v>
      </c>
      <c r="F27" s="1"/>
      <c r="G27" s="23">
        <f>G26/G25</f>
        <v>1.3096956418159984</v>
      </c>
      <c r="J27" s="2"/>
      <c r="K27" s="2"/>
    </row>
    <row r="28" spans="1:13" ht="15.75" thickTop="1" x14ac:dyDescent="0.25">
      <c r="F28" s="1"/>
      <c r="G28" s="1"/>
      <c r="J28" s="2"/>
      <c r="K28" s="2"/>
    </row>
    <row r="29" spans="1:13" x14ac:dyDescent="0.25">
      <c r="A29" s="74" t="s">
        <v>97</v>
      </c>
      <c r="B29" s="74"/>
      <c r="C29" s="74"/>
      <c r="D29" s="74"/>
      <c r="E29" s="74"/>
      <c r="F29" s="74"/>
      <c r="G29" s="74"/>
      <c r="J29" s="2"/>
      <c r="K29" s="2"/>
    </row>
    <row r="30" spans="1:13" x14ac:dyDescent="0.25">
      <c r="D30" s="4" t="s">
        <v>98</v>
      </c>
      <c r="F30" s="1"/>
      <c r="G30" s="24">
        <v>1</v>
      </c>
      <c r="J30" s="2"/>
      <c r="K30" s="2"/>
    </row>
    <row r="31" spans="1:13" x14ac:dyDescent="0.25">
      <c r="C31" s="25">
        <v>0.05</v>
      </c>
      <c r="D31" s="4" t="s">
        <v>100</v>
      </c>
      <c r="F31" s="1"/>
      <c r="G31" s="24">
        <f>-C31</f>
        <v>-0.05</v>
      </c>
      <c r="J31" s="2"/>
      <c r="K31" s="2"/>
    </row>
    <row r="32" spans="1:13" x14ac:dyDescent="0.25">
      <c r="D32" s="4" t="s">
        <v>81</v>
      </c>
      <c r="F32" s="1"/>
      <c r="G32" s="26">
        <f>G30+G31</f>
        <v>0.95</v>
      </c>
      <c r="J32" s="2"/>
      <c r="K32" s="2"/>
    </row>
    <row r="33" spans="3:11" x14ac:dyDescent="0.25">
      <c r="C33" s="25">
        <v>0.21</v>
      </c>
      <c r="D33" s="4" t="s">
        <v>99</v>
      </c>
      <c r="F33" s="1"/>
      <c r="G33" s="24">
        <f>-G32*C33</f>
        <v>-0.19949999999999998</v>
      </c>
      <c r="J33" s="2"/>
      <c r="K33" s="2"/>
    </row>
    <row r="34" spans="3:11" x14ac:dyDescent="0.25">
      <c r="D34" s="4" t="s">
        <v>101</v>
      </c>
      <c r="F34" s="1"/>
      <c r="G34" s="26">
        <f>G32+G33</f>
        <v>0.75049999999999994</v>
      </c>
      <c r="J34" s="2"/>
      <c r="K34" s="2"/>
    </row>
    <row r="35" spans="3:11" x14ac:dyDescent="0.25">
      <c r="D35" s="4" t="s">
        <v>102</v>
      </c>
      <c r="F35" s="1"/>
      <c r="G35" s="24">
        <f>G30/G34</f>
        <v>1.3324450366422387</v>
      </c>
      <c r="J35" s="2"/>
      <c r="K35" s="2"/>
    </row>
    <row r="36" spans="3:11" x14ac:dyDescent="0.25">
      <c r="D36" s="4" t="s">
        <v>103</v>
      </c>
      <c r="F36" s="1"/>
      <c r="G36" s="5">
        <f>G15</f>
        <v>179192.17999999993</v>
      </c>
      <c r="I36" s="4" t="s">
        <v>108</v>
      </c>
      <c r="J36" s="2"/>
      <c r="K36" s="2"/>
    </row>
    <row r="37" spans="3:11" x14ac:dyDescent="0.25">
      <c r="D37" s="4" t="s">
        <v>104</v>
      </c>
      <c r="F37" s="1"/>
      <c r="G37" s="11">
        <f>G36*G35</f>
        <v>238763.73084610255</v>
      </c>
      <c r="J37" s="2"/>
      <c r="K37" s="2"/>
    </row>
    <row r="38" spans="3:11" x14ac:dyDescent="0.25">
      <c r="D38" s="4" t="s">
        <v>152</v>
      </c>
      <c r="F38" s="1"/>
      <c r="G38" s="11">
        <f>G42</f>
        <v>-29150.259826782149</v>
      </c>
      <c r="J38" s="2"/>
      <c r="K38" s="2"/>
    </row>
    <row r="39" spans="3:11" ht="15.75" thickBot="1" x14ac:dyDescent="0.3">
      <c r="D39" s="4" t="s">
        <v>105</v>
      </c>
      <c r="F39" s="1"/>
      <c r="G39" s="8">
        <f>G37-G36+G38</f>
        <v>30421.29101932047</v>
      </c>
      <c r="J39" s="2"/>
      <c r="K39" s="2"/>
    </row>
    <row r="40" spans="3:11" ht="15.75" thickTop="1" x14ac:dyDescent="0.25">
      <c r="F40" s="1"/>
      <c r="G40" s="1"/>
      <c r="J40" s="2"/>
      <c r="K40" s="2"/>
    </row>
    <row r="41" spans="3:11" x14ac:dyDescent="0.25">
      <c r="D41" s="4" t="s">
        <v>153</v>
      </c>
      <c r="G41" s="5">
        <v>-21877.27</v>
      </c>
    </row>
    <row r="42" spans="3:11" x14ac:dyDescent="0.25">
      <c r="D42" s="4" t="s">
        <v>154</v>
      </c>
      <c r="G42" s="5">
        <f>G41*G35</f>
        <v>-29150.259826782149</v>
      </c>
    </row>
  </sheetData>
  <mergeCells count="5">
    <mergeCell ref="A29:G29"/>
    <mergeCell ref="A4:G4"/>
    <mergeCell ref="A6:G6"/>
    <mergeCell ref="A7:G7"/>
    <mergeCell ref="J10:K10"/>
  </mergeCells>
  <phoneticPr fontId="12" type="noConversion"/>
  <pageMargins left="0.7" right="0.7" top="0.75" bottom="0.75" header="0.3" footer="0.3"/>
  <pageSetup scale="85" fitToHeight="10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Y51"/>
  <sheetViews>
    <sheetView view="pageBreakPreview" zoomScale="90" zoomScaleNormal="100" zoomScaleSheetLayoutView="90" workbookViewId="0"/>
  </sheetViews>
  <sheetFormatPr defaultRowHeight="15" x14ac:dyDescent="0.25"/>
  <cols>
    <col min="1" max="1" width="6.42578125" style="4" customWidth="1"/>
    <col min="2" max="2" width="3" style="4" customWidth="1"/>
    <col min="3" max="3" width="4.42578125" style="4" customWidth="1"/>
    <col min="4" max="4" width="47.42578125" style="4" customWidth="1"/>
    <col min="5" max="5" width="1.42578125" style="4" customWidth="1"/>
    <col min="6" max="6" width="1.7109375" style="4" customWidth="1"/>
    <col min="7" max="8" width="14.28515625" style="4" bestFit="1" customWidth="1"/>
    <col min="9" max="10" width="2.7109375" style="4" customWidth="1"/>
    <col min="11" max="11" width="10.5703125" style="4" customWidth="1"/>
    <col min="12" max="12" width="12.7109375" style="4" customWidth="1"/>
    <col min="13" max="13" width="13.85546875" style="4" bestFit="1" customWidth="1"/>
    <col min="14" max="22" width="9.140625" style="4"/>
    <col min="23" max="23" width="14.7109375" style="4" customWidth="1"/>
    <col min="24" max="24" width="34.28515625" style="4" bestFit="1" customWidth="1"/>
    <col min="25" max="25" width="19.85546875" style="4" customWidth="1"/>
    <col min="26" max="26" width="11" style="4" bestFit="1" customWidth="1"/>
    <col min="27" max="16384" width="9.140625" style="4"/>
  </cols>
  <sheetData>
    <row r="4" spans="1:25" x14ac:dyDescent="0.25">
      <c r="A4" s="73" t="s">
        <v>110</v>
      </c>
      <c r="B4" s="73"/>
      <c r="C4" s="73"/>
      <c r="D4" s="73"/>
      <c r="E4" s="73"/>
      <c r="F4" s="73"/>
      <c r="G4" s="73"/>
      <c r="H4" s="37"/>
    </row>
    <row r="6" spans="1:25" x14ac:dyDescent="0.25">
      <c r="A6" s="74" t="s">
        <v>111</v>
      </c>
      <c r="B6" s="74"/>
      <c r="C6" s="74"/>
      <c r="D6" s="74"/>
      <c r="E6" s="74"/>
      <c r="F6" s="74"/>
      <c r="G6" s="74"/>
      <c r="H6" s="38"/>
    </row>
    <row r="8" spans="1:25" x14ac:dyDescent="0.25">
      <c r="A8" s="4" t="s">
        <v>112</v>
      </c>
      <c r="F8" s="16"/>
      <c r="G8" s="2"/>
      <c r="H8" s="2"/>
      <c r="K8" s="17" t="s">
        <v>32</v>
      </c>
    </row>
    <row r="9" spans="1:25" x14ac:dyDescent="0.25">
      <c r="F9" s="16"/>
      <c r="G9" s="2"/>
      <c r="H9" s="2"/>
      <c r="K9" s="72" t="s">
        <v>30</v>
      </c>
      <c r="L9" s="72"/>
    </row>
    <row r="10" spans="1:25" x14ac:dyDescent="0.25">
      <c r="A10" s="2">
        <v>1</v>
      </c>
      <c r="B10" s="4" t="s">
        <v>113</v>
      </c>
      <c r="F10" s="16"/>
      <c r="H10" s="4" t="s">
        <v>132</v>
      </c>
      <c r="K10" s="2" t="s">
        <v>31</v>
      </c>
      <c r="L10" s="2" t="s">
        <v>27</v>
      </c>
    </row>
    <row r="11" spans="1:25" x14ac:dyDescent="0.25">
      <c r="A11" s="2">
        <v>2</v>
      </c>
      <c r="F11" s="16"/>
      <c r="G11" s="1"/>
      <c r="H11" s="1"/>
      <c r="K11" s="16"/>
      <c r="L11" s="16"/>
    </row>
    <row r="12" spans="1:25" x14ac:dyDescent="0.25">
      <c r="A12" s="2">
        <v>3</v>
      </c>
      <c r="C12" s="4" t="s">
        <v>114</v>
      </c>
      <c r="F12" s="16"/>
      <c r="G12" s="1"/>
      <c r="H12" s="1"/>
      <c r="K12" s="16"/>
      <c r="L12" s="16"/>
    </row>
    <row r="13" spans="1:25" x14ac:dyDescent="0.25">
      <c r="A13" s="2">
        <v>4</v>
      </c>
      <c r="D13" s="4" t="s">
        <v>115</v>
      </c>
      <c r="F13" s="16"/>
      <c r="G13" s="19">
        <v>13669258</v>
      </c>
      <c r="H13" s="19">
        <f>SUM(G13:G13)</f>
        <v>13669258</v>
      </c>
      <c r="K13" s="16">
        <v>4</v>
      </c>
      <c r="L13" s="16">
        <v>6</v>
      </c>
    </row>
    <row r="14" spans="1:25" x14ac:dyDescent="0.25">
      <c r="A14" s="2">
        <v>5</v>
      </c>
      <c r="D14" s="4" t="s">
        <v>116</v>
      </c>
      <c r="F14" s="16"/>
      <c r="G14" s="5">
        <v>-5826982.4199999999</v>
      </c>
      <c r="H14" s="5">
        <f>SUM(G14:G14)</f>
        <v>-5826982.4199999999</v>
      </c>
      <c r="K14" s="16">
        <v>4</v>
      </c>
      <c r="L14" s="16">
        <v>15</v>
      </c>
      <c r="W14" s="4" t="s">
        <v>145</v>
      </c>
      <c r="X14" s="4" t="s">
        <v>146</v>
      </c>
      <c r="Y14" s="39">
        <v>2386695.42</v>
      </c>
    </row>
    <row r="15" spans="1:25" x14ac:dyDescent="0.25">
      <c r="A15" s="2">
        <v>6</v>
      </c>
      <c r="D15" s="4" t="s">
        <v>117</v>
      </c>
      <c r="F15" s="16"/>
      <c r="G15" s="5">
        <f>Y14</f>
        <v>2386695.42</v>
      </c>
      <c r="H15" s="5">
        <f>SUM(G15:G15)</f>
        <v>2386695.42</v>
      </c>
      <c r="K15" s="4" t="s">
        <v>130</v>
      </c>
      <c r="L15" s="16"/>
    </row>
    <row r="16" spans="1:25" x14ac:dyDescent="0.25">
      <c r="A16" s="2">
        <v>7</v>
      </c>
      <c r="D16" s="4" t="s">
        <v>118</v>
      </c>
      <c r="F16" s="16"/>
      <c r="G16" s="11">
        <f>SUM(G13:G15)</f>
        <v>10228971</v>
      </c>
      <c r="H16" s="11">
        <f t="shared" ref="H16" si="0">SUM(H13:H15)</f>
        <v>10228971</v>
      </c>
      <c r="K16" s="16">
        <v>4</v>
      </c>
      <c r="L16" s="40" t="s">
        <v>125</v>
      </c>
      <c r="W16" s="4" t="s">
        <v>147</v>
      </c>
      <c r="X16" s="4" t="s">
        <v>148</v>
      </c>
      <c r="Y16" s="39">
        <v>10508.2</v>
      </c>
    </row>
    <row r="17" spans="1:25" x14ac:dyDescent="0.25">
      <c r="A17" s="2">
        <v>8</v>
      </c>
      <c r="F17" s="16"/>
      <c r="G17" s="5"/>
      <c r="H17" s="5"/>
      <c r="K17" s="16"/>
      <c r="L17" s="16"/>
      <c r="W17" s="4" t="s">
        <v>149</v>
      </c>
      <c r="X17" s="4" t="s">
        <v>150</v>
      </c>
      <c r="Y17" s="4">
        <v>-25.47</v>
      </c>
    </row>
    <row r="18" spans="1:25" x14ac:dyDescent="0.25">
      <c r="A18" s="2">
        <v>9</v>
      </c>
      <c r="C18" s="4" t="s">
        <v>119</v>
      </c>
      <c r="F18" s="16"/>
      <c r="G18" s="5"/>
      <c r="H18" s="5"/>
      <c r="K18" s="16"/>
      <c r="L18" s="16"/>
    </row>
    <row r="19" spans="1:25" x14ac:dyDescent="0.25">
      <c r="A19" s="2">
        <v>10</v>
      </c>
      <c r="D19" s="4" t="s">
        <v>120</v>
      </c>
      <c r="F19" s="16"/>
      <c r="G19" s="5">
        <f>SUM(Y16+Y17)</f>
        <v>10482.730000000001</v>
      </c>
      <c r="H19" s="5">
        <f>SUM(G19:G19)</f>
        <v>10482.730000000001</v>
      </c>
      <c r="K19" s="41" t="s">
        <v>126</v>
      </c>
      <c r="L19" s="16"/>
    </row>
    <row r="20" spans="1:25" x14ac:dyDescent="0.25">
      <c r="A20" s="2"/>
      <c r="D20" s="4" t="s">
        <v>135</v>
      </c>
      <c r="F20" s="16"/>
      <c r="G20" s="5">
        <f>H20</f>
        <v>110979.375</v>
      </c>
      <c r="H20" s="5">
        <f>SAO_OME!I88/8</f>
        <v>110979.375</v>
      </c>
      <c r="K20" s="41" t="s">
        <v>136</v>
      </c>
      <c r="L20" s="16"/>
      <c r="W20" s="4" t="s">
        <v>158</v>
      </c>
    </row>
    <row r="21" spans="1:25" x14ac:dyDescent="0.25">
      <c r="A21" s="2">
        <v>11</v>
      </c>
      <c r="D21" s="4" t="s">
        <v>121</v>
      </c>
      <c r="F21" s="16"/>
      <c r="G21" s="11">
        <f>SUM(G18:G20)</f>
        <v>121462.105</v>
      </c>
      <c r="H21" s="11">
        <f t="shared" ref="H21" si="1">SUM(H18:H20)</f>
        <v>121462.105</v>
      </c>
      <c r="K21" s="41"/>
      <c r="L21" s="16"/>
      <c r="W21" s="4" t="s">
        <v>137</v>
      </c>
      <c r="X21" s="4" t="s">
        <v>138</v>
      </c>
      <c r="Y21" s="3">
        <v>-502344.53</v>
      </c>
    </row>
    <row r="22" spans="1:25" x14ac:dyDescent="0.25">
      <c r="A22" s="2">
        <v>12</v>
      </c>
      <c r="F22" s="16"/>
      <c r="G22" s="5"/>
      <c r="H22" s="5"/>
      <c r="K22" s="16"/>
      <c r="L22" s="16"/>
      <c r="W22" s="4" t="s">
        <v>137</v>
      </c>
      <c r="X22" s="4" t="s">
        <v>139</v>
      </c>
      <c r="Y22" s="3">
        <v>-1547757.05</v>
      </c>
    </row>
    <row r="23" spans="1:25" x14ac:dyDescent="0.25">
      <c r="A23" s="2">
        <v>13</v>
      </c>
      <c r="C23" s="4" t="s">
        <v>122</v>
      </c>
      <c r="F23" s="16"/>
      <c r="G23" s="5"/>
      <c r="H23" s="5"/>
      <c r="K23" s="16"/>
      <c r="L23" s="16"/>
      <c r="W23" s="4" t="s">
        <v>137</v>
      </c>
      <c r="X23" s="4" t="s">
        <v>144</v>
      </c>
      <c r="Y23" s="3">
        <v>-5065</v>
      </c>
    </row>
    <row r="24" spans="1:25" x14ac:dyDescent="0.25">
      <c r="A24" s="2">
        <v>14</v>
      </c>
      <c r="D24" s="4" t="s">
        <v>123</v>
      </c>
      <c r="F24" s="16"/>
      <c r="G24" s="5">
        <f>Y35</f>
        <v>-1714482.62</v>
      </c>
      <c r="H24" s="5">
        <f>SUM(G24:G24)</f>
        <v>-1714482.62</v>
      </c>
      <c r="K24" s="41" t="s">
        <v>126</v>
      </c>
      <c r="L24" s="16"/>
      <c r="W24" s="4" t="s">
        <v>137</v>
      </c>
      <c r="X24" s="4" t="s">
        <v>140</v>
      </c>
      <c r="Y24" s="3">
        <v>-884.38</v>
      </c>
    </row>
    <row r="25" spans="1:25" x14ac:dyDescent="0.25">
      <c r="A25" s="2"/>
      <c r="D25" s="4" t="s">
        <v>134</v>
      </c>
      <c r="F25" s="16"/>
      <c r="G25" s="5">
        <v>-1198849.1200000001</v>
      </c>
      <c r="H25" s="5">
        <f>SUM(G25:G25)</f>
        <v>-1198849.1200000001</v>
      </c>
      <c r="K25" s="40" t="s">
        <v>177</v>
      </c>
      <c r="L25" s="16"/>
      <c r="W25" s="4" t="s">
        <v>137</v>
      </c>
      <c r="X25" s="4" t="s">
        <v>141</v>
      </c>
      <c r="Y25" s="3">
        <v>-1375054.83</v>
      </c>
    </row>
    <row r="26" spans="1:25" x14ac:dyDescent="0.25">
      <c r="A26" s="2">
        <v>15</v>
      </c>
      <c r="D26" s="4" t="s">
        <v>124</v>
      </c>
      <c r="F26" s="16"/>
      <c r="G26" s="11">
        <f>SUM(G23:G25)</f>
        <v>-2913331.74</v>
      </c>
      <c r="H26" s="11">
        <f t="shared" ref="H26" si="2">SUM(H23:H25)</f>
        <v>-2913331.74</v>
      </c>
      <c r="K26" s="40" t="s">
        <v>133</v>
      </c>
      <c r="L26" s="16"/>
      <c r="W26" s="4" t="s">
        <v>137</v>
      </c>
      <c r="X26" s="4" t="s">
        <v>142</v>
      </c>
      <c r="Y26" s="3">
        <v>1716623.17</v>
      </c>
    </row>
    <row r="27" spans="1:25" x14ac:dyDescent="0.25">
      <c r="A27" s="2">
        <v>16</v>
      </c>
      <c r="F27" s="16"/>
      <c r="G27" s="5"/>
      <c r="H27" s="5"/>
      <c r="K27" s="16"/>
      <c r="L27" s="16"/>
      <c r="X27" s="4" t="s">
        <v>143</v>
      </c>
      <c r="Y27" s="3">
        <f>SUM(Y21:Y26)</f>
        <v>-1714482.62</v>
      </c>
    </row>
    <row r="28" spans="1:25" ht="15.75" thickBot="1" x14ac:dyDescent="0.3">
      <c r="A28" s="2">
        <v>17</v>
      </c>
      <c r="C28" s="4" t="s">
        <v>127</v>
      </c>
      <c r="F28" s="16"/>
      <c r="G28" s="8">
        <f>G16+G21+G26</f>
        <v>7437101.3650000002</v>
      </c>
      <c r="H28" s="8">
        <f>H16+H21+H26</f>
        <v>7437101.3650000002</v>
      </c>
      <c r="K28" s="42"/>
      <c r="L28" s="16"/>
      <c r="W28" s="4" t="s">
        <v>159</v>
      </c>
    </row>
    <row r="29" spans="1:25" ht="15.75" thickTop="1" x14ac:dyDescent="0.25">
      <c r="A29" s="2">
        <v>18</v>
      </c>
      <c r="F29" s="16"/>
      <c r="G29" s="5"/>
      <c r="H29" s="5"/>
      <c r="K29" s="16"/>
      <c r="L29" s="16"/>
      <c r="W29" s="4" t="s">
        <v>137</v>
      </c>
      <c r="X29" s="4" t="s">
        <v>138</v>
      </c>
      <c r="Y29" s="3">
        <v>-502344.53</v>
      </c>
    </row>
    <row r="30" spans="1:25" x14ac:dyDescent="0.25">
      <c r="A30" s="2">
        <v>19</v>
      </c>
      <c r="F30" s="16"/>
      <c r="G30" s="1"/>
      <c r="H30" s="1"/>
      <c r="K30" s="16"/>
      <c r="L30" s="16"/>
      <c r="W30" s="4" t="s">
        <v>137</v>
      </c>
      <c r="X30" s="4" t="s">
        <v>139</v>
      </c>
      <c r="Y30" s="3">
        <v>-1547757.05</v>
      </c>
    </row>
    <row r="31" spans="1:25" x14ac:dyDescent="0.25">
      <c r="A31" s="2">
        <v>20</v>
      </c>
      <c r="B31" s="4" t="s">
        <v>128</v>
      </c>
      <c r="F31" s="16"/>
      <c r="G31" s="6">
        <f>'Cost of Capital'!K11+'Cost of Capital'!K9</f>
        <v>1.9199999999999998E-2</v>
      </c>
      <c r="H31" s="6">
        <f>G31</f>
        <v>1.9199999999999998E-2</v>
      </c>
      <c r="K31" s="41" t="s">
        <v>178</v>
      </c>
      <c r="L31" s="16"/>
      <c r="W31" s="4" t="s">
        <v>137</v>
      </c>
      <c r="X31" s="4" t="s">
        <v>144</v>
      </c>
      <c r="Y31" s="3">
        <v>-5065</v>
      </c>
    </row>
    <row r="32" spans="1:25" x14ac:dyDescent="0.25">
      <c r="A32" s="2">
        <v>21</v>
      </c>
      <c r="F32" s="16"/>
      <c r="G32" s="2"/>
      <c r="H32" s="2"/>
      <c r="K32" s="16"/>
      <c r="L32" s="16"/>
      <c r="W32" s="4" t="s">
        <v>137</v>
      </c>
      <c r="X32" s="4" t="s">
        <v>140</v>
      </c>
      <c r="Y32" s="3">
        <v>-884.38</v>
      </c>
    </row>
    <row r="33" spans="1:25" ht="15.75" thickBot="1" x14ac:dyDescent="0.3">
      <c r="A33" s="2">
        <v>22</v>
      </c>
      <c r="B33" s="4" t="s">
        <v>129</v>
      </c>
      <c r="F33" s="16"/>
      <c r="G33" s="8">
        <f>G31*G28</f>
        <v>142792.346208</v>
      </c>
      <c r="H33" s="8">
        <f>H31*H28</f>
        <v>142792.346208</v>
      </c>
      <c r="K33" s="16"/>
      <c r="L33" s="16"/>
      <c r="W33" s="4" t="s">
        <v>137</v>
      </c>
      <c r="X33" s="4" t="s">
        <v>141</v>
      </c>
      <c r="Y33" s="3">
        <f>-169373-1205681.83</f>
        <v>-1375054.83</v>
      </c>
    </row>
    <row r="34" spans="1:25" ht="15.75" thickTop="1" x14ac:dyDescent="0.25">
      <c r="A34" s="2">
        <v>23</v>
      </c>
      <c r="F34" s="16"/>
      <c r="G34" s="2"/>
      <c r="H34" s="2"/>
      <c r="W34" s="4" t="s">
        <v>137</v>
      </c>
      <c r="X34" s="4" t="s">
        <v>142</v>
      </c>
      <c r="Y34" s="39">
        <v>1716623.17</v>
      </c>
    </row>
    <row r="35" spans="1:25" x14ac:dyDescent="0.25">
      <c r="F35" s="16"/>
      <c r="G35" s="2"/>
      <c r="H35" s="43"/>
      <c r="X35" s="4" t="s">
        <v>143</v>
      </c>
      <c r="Y35" s="3">
        <f>SUM(Y29:Y34)</f>
        <v>-1714482.62</v>
      </c>
    </row>
    <row r="36" spans="1:25" x14ac:dyDescent="0.25">
      <c r="F36" s="16"/>
      <c r="G36" s="2"/>
      <c r="H36" s="2"/>
      <c r="K36" s="29"/>
      <c r="L36" s="29"/>
      <c r="M36" s="29"/>
    </row>
    <row r="37" spans="1:25" x14ac:dyDescent="0.25">
      <c r="G37" s="5"/>
      <c r="K37" s="29"/>
      <c r="L37" s="29"/>
      <c r="M37" s="29"/>
    </row>
    <row r="38" spans="1:25" x14ac:dyDescent="0.25">
      <c r="K38" s="29"/>
      <c r="L38" s="29"/>
      <c r="M38" s="31"/>
    </row>
    <row r="39" spans="1:25" x14ac:dyDescent="0.25">
      <c r="K39" s="29"/>
      <c r="L39" s="29"/>
      <c r="M39" s="44"/>
    </row>
    <row r="40" spans="1:25" x14ac:dyDescent="0.25">
      <c r="K40" s="29"/>
      <c r="L40" s="29"/>
      <c r="M40" s="30"/>
    </row>
    <row r="41" spans="1:25" x14ac:dyDescent="0.25">
      <c r="K41" s="29"/>
      <c r="L41" s="29"/>
      <c r="M41" s="44"/>
      <c r="N41" s="22"/>
    </row>
    <row r="42" spans="1:25" x14ac:dyDescent="0.25">
      <c r="K42" s="29"/>
      <c r="L42" s="29"/>
      <c r="M42" s="44"/>
    </row>
    <row r="43" spans="1:25" x14ac:dyDescent="0.25">
      <c r="K43" s="29"/>
      <c r="L43" s="29"/>
      <c r="M43" s="30"/>
    </row>
    <row r="44" spans="1:25" x14ac:dyDescent="0.25">
      <c r="K44" s="29"/>
      <c r="L44" s="29"/>
      <c r="M44" s="29"/>
    </row>
    <row r="45" spans="1:25" x14ac:dyDescent="0.25">
      <c r="K45" s="29"/>
      <c r="L45" s="29"/>
      <c r="M45" s="30"/>
    </row>
    <row r="46" spans="1:25" x14ac:dyDescent="0.25">
      <c r="K46" s="29"/>
      <c r="L46" s="29"/>
      <c r="M46" s="29"/>
    </row>
    <row r="47" spans="1:25" x14ac:dyDescent="0.25">
      <c r="K47" s="29"/>
      <c r="L47" s="29"/>
      <c r="M47" s="30"/>
    </row>
    <row r="48" spans="1:25" x14ac:dyDescent="0.25">
      <c r="K48" s="29"/>
      <c r="L48" s="29"/>
      <c r="M48" s="30"/>
    </row>
    <row r="49" spans="11:13" x14ac:dyDescent="0.25">
      <c r="K49" s="29"/>
      <c r="L49" s="29"/>
      <c r="M49" s="30"/>
    </row>
    <row r="50" spans="11:13" x14ac:dyDescent="0.25">
      <c r="K50" s="29"/>
      <c r="L50" s="29"/>
      <c r="M50" s="29"/>
    </row>
    <row r="51" spans="11:13" x14ac:dyDescent="0.25">
      <c r="K51" s="29"/>
      <c r="L51" s="29"/>
      <c r="M51" s="29"/>
    </row>
  </sheetData>
  <mergeCells count="3">
    <mergeCell ref="A4:G4"/>
    <mergeCell ref="A6:G6"/>
    <mergeCell ref="K9:L9"/>
  </mergeCells>
  <phoneticPr fontId="12" type="noConversion"/>
  <pageMargins left="0.7" right="0.7" top="0.75" bottom="0.75" header="0.3" footer="0.3"/>
  <pageSetup scale="85" fitToHeight="10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5"/>
  <sheetViews>
    <sheetView view="pageBreakPreview" zoomScaleNormal="100" zoomScaleSheetLayoutView="100" workbookViewId="0"/>
  </sheetViews>
  <sheetFormatPr defaultRowHeight="15" x14ac:dyDescent="0.25"/>
  <cols>
    <col min="1" max="1" width="4.7109375" style="4" customWidth="1"/>
    <col min="2" max="2" width="2" style="4" bestFit="1" customWidth="1"/>
    <col min="3" max="3" width="15.85546875" style="4" bestFit="1" customWidth="1"/>
    <col min="4" max="4" width="2" style="4" bestFit="1" customWidth="1"/>
    <col min="5" max="5" width="10.140625" style="4" bestFit="1" customWidth="1"/>
    <col min="6" max="6" width="13.7109375" style="4" bestFit="1" customWidth="1"/>
    <col min="7" max="7" width="9.7109375" style="4" bestFit="1" customWidth="1"/>
    <col min="8" max="8" width="9.28515625" style="4" bestFit="1" customWidth="1"/>
    <col min="9" max="9" width="12.85546875" style="4" bestFit="1" customWidth="1"/>
    <col min="10" max="10" width="9.28515625" style="4" bestFit="1" customWidth="1"/>
    <col min="11" max="11" width="14.140625" style="4" bestFit="1" customWidth="1"/>
    <col min="12" max="12" width="39.85546875" style="4" bestFit="1" customWidth="1"/>
    <col min="13" max="29" width="9.140625" style="4"/>
    <col min="30" max="30" width="11" style="4" bestFit="1" customWidth="1"/>
    <col min="31" max="16384" width="9.140625" style="4"/>
  </cols>
  <sheetData>
    <row r="1" spans="1:12" x14ac:dyDescent="0.25">
      <c r="A1" s="33" t="s">
        <v>155</v>
      </c>
    </row>
    <row r="2" spans="1:12" x14ac:dyDescent="0.25">
      <c r="A2" s="33" t="s">
        <v>157</v>
      </c>
    </row>
    <row r="5" spans="1:12" x14ac:dyDescent="0.25">
      <c r="A5" s="45"/>
      <c r="B5" s="45"/>
      <c r="C5" s="45"/>
      <c r="D5" s="45"/>
      <c r="E5" s="45"/>
      <c r="F5" s="46" t="s">
        <v>160</v>
      </c>
      <c r="G5" s="45"/>
      <c r="H5" s="45"/>
      <c r="I5" s="45"/>
      <c r="J5" s="45"/>
      <c r="K5" s="45"/>
      <c r="L5" s="45"/>
    </row>
    <row r="6" spans="1:12" x14ac:dyDescent="0.25">
      <c r="A6" s="46" t="s">
        <v>27</v>
      </c>
      <c r="B6" s="45"/>
      <c r="C6" s="46" t="s">
        <v>170</v>
      </c>
      <c r="D6" s="45"/>
      <c r="E6" s="45"/>
      <c r="F6" s="46" t="s">
        <v>161</v>
      </c>
      <c r="G6" s="45"/>
      <c r="H6" s="45"/>
      <c r="I6" s="46" t="s">
        <v>162</v>
      </c>
      <c r="J6" s="45"/>
      <c r="K6" s="46" t="s">
        <v>163</v>
      </c>
      <c r="L6" s="45"/>
    </row>
    <row r="7" spans="1:12" ht="15.75" thickBot="1" x14ac:dyDescent="0.3">
      <c r="A7" s="47" t="s">
        <v>171</v>
      </c>
      <c r="B7" s="48"/>
      <c r="C7" s="47" t="s">
        <v>167</v>
      </c>
      <c r="D7" s="48"/>
      <c r="E7" s="48" t="s">
        <v>180</v>
      </c>
      <c r="F7" s="47" t="s">
        <v>164</v>
      </c>
      <c r="G7" s="47" t="s">
        <v>165</v>
      </c>
      <c r="H7" s="47" t="s">
        <v>166</v>
      </c>
      <c r="I7" s="47" t="s">
        <v>167</v>
      </c>
      <c r="J7" s="47" t="s">
        <v>168</v>
      </c>
      <c r="K7" s="47" t="s">
        <v>169</v>
      </c>
      <c r="L7" s="48"/>
    </row>
    <row r="8" spans="1:12" x14ac:dyDescent="0.25">
      <c r="A8" s="46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x14ac:dyDescent="0.25">
      <c r="A9" s="46">
        <v>2</v>
      </c>
      <c r="B9" s="45"/>
      <c r="C9" s="45" t="s">
        <v>172</v>
      </c>
      <c r="D9" s="45"/>
      <c r="E9" s="45"/>
      <c r="F9" s="10">
        <v>31195452.789999999</v>
      </c>
      <c r="G9" s="12">
        <f>ROUND(F9/$F$17,5)</f>
        <v>6.4000000000000001E-2</v>
      </c>
      <c r="H9" s="49">
        <v>8720</v>
      </c>
      <c r="I9" s="10">
        <v>31204172.789999999</v>
      </c>
      <c r="J9" s="12">
        <v>2.370713E-3</v>
      </c>
      <c r="K9" s="12">
        <v>2.0000000000000001E-4</v>
      </c>
      <c r="L9" s="45"/>
    </row>
    <row r="10" spans="1:12" x14ac:dyDescent="0.25">
      <c r="A10" s="46">
        <v>3</v>
      </c>
      <c r="B10" s="45"/>
      <c r="C10" s="45"/>
      <c r="D10" s="45"/>
      <c r="E10" s="45"/>
      <c r="F10" s="45"/>
      <c r="G10" s="12"/>
      <c r="H10" s="45"/>
      <c r="I10" s="45"/>
      <c r="J10" s="12"/>
      <c r="K10" s="12"/>
      <c r="L10" s="45"/>
    </row>
    <row r="11" spans="1:12" x14ac:dyDescent="0.25">
      <c r="A11" s="46">
        <v>4</v>
      </c>
      <c r="B11" s="45"/>
      <c r="C11" s="45" t="s">
        <v>173</v>
      </c>
      <c r="D11" s="45"/>
      <c r="E11" s="45"/>
      <c r="F11" s="50">
        <v>218953591.50000003</v>
      </c>
      <c r="G11" s="12">
        <f t="shared" ref="G11:G15" si="0">ROUND(F11/$F$17,5)</f>
        <v>0.44918000000000002</v>
      </c>
      <c r="H11" s="50">
        <v>61204</v>
      </c>
      <c r="I11" s="50">
        <v>219014795.50000003</v>
      </c>
      <c r="J11" s="12">
        <v>4.24E-2</v>
      </c>
      <c r="K11" s="12">
        <v>1.9E-2</v>
      </c>
      <c r="L11" s="45"/>
    </row>
    <row r="12" spans="1:12" x14ac:dyDescent="0.25">
      <c r="A12" s="46">
        <v>5</v>
      </c>
      <c r="B12" s="45"/>
      <c r="C12" s="45"/>
      <c r="D12" s="45"/>
      <c r="E12" s="45"/>
      <c r="F12" s="45"/>
      <c r="G12" s="12"/>
      <c r="H12" s="45"/>
      <c r="I12" s="45"/>
      <c r="J12" s="12"/>
      <c r="K12" s="12"/>
      <c r="L12" s="45"/>
    </row>
    <row r="13" spans="1:12" x14ac:dyDescent="0.25">
      <c r="A13" s="46">
        <v>6</v>
      </c>
      <c r="B13" s="45"/>
      <c r="C13" s="45" t="s">
        <v>174</v>
      </c>
      <c r="D13" s="45"/>
      <c r="E13" s="45"/>
      <c r="F13" s="50">
        <v>2243851.71</v>
      </c>
      <c r="G13" s="12">
        <f t="shared" si="0"/>
        <v>4.5999999999999999E-3</v>
      </c>
      <c r="H13" s="50">
        <v>627</v>
      </c>
      <c r="I13" s="50">
        <v>2244478.71</v>
      </c>
      <c r="J13" s="12">
        <v>8.5099999999999995E-2</v>
      </c>
      <c r="K13" s="12">
        <v>4.0000000000000002E-4</v>
      </c>
      <c r="L13" s="45"/>
    </row>
    <row r="14" spans="1:12" x14ac:dyDescent="0.25">
      <c r="A14" s="46">
        <v>7</v>
      </c>
      <c r="B14" s="45"/>
      <c r="C14" s="45"/>
      <c r="D14" s="45"/>
      <c r="E14" s="45"/>
      <c r="F14" s="45"/>
      <c r="G14" s="12"/>
      <c r="H14" s="45"/>
      <c r="I14" s="45"/>
      <c r="J14" s="12"/>
      <c r="K14" s="12"/>
      <c r="L14" s="45"/>
    </row>
    <row r="15" spans="1:12" x14ac:dyDescent="0.25">
      <c r="A15" s="46">
        <v>8</v>
      </c>
      <c r="B15" s="45"/>
      <c r="C15" s="45" t="s">
        <v>175</v>
      </c>
      <c r="D15" s="45"/>
      <c r="E15" s="45"/>
      <c r="F15" s="51">
        <v>235056857.32999998</v>
      </c>
      <c r="G15" s="52">
        <f t="shared" si="0"/>
        <v>0.48221999999999998</v>
      </c>
      <c r="H15" s="51">
        <v>65706.090000000258</v>
      </c>
      <c r="I15" s="51">
        <v>235122563.41999999</v>
      </c>
      <c r="J15" s="12"/>
      <c r="K15" s="52">
        <v>0</v>
      </c>
      <c r="L15" s="45"/>
    </row>
    <row r="16" spans="1:12" x14ac:dyDescent="0.25">
      <c r="A16" s="46">
        <v>9</v>
      </c>
      <c r="B16" s="45"/>
      <c r="C16" s="45"/>
      <c r="D16" s="45"/>
      <c r="E16" s="45"/>
      <c r="F16" s="45"/>
      <c r="G16" s="12"/>
      <c r="H16" s="45"/>
      <c r="I16" s="45"/>
      <c r="J16" s="12"/>
      <c r="K16" s="12"/>
      <c r="L16" s="45"/>
    </row>
    <row r="17" spans="1:12" ht="15.75" thickBot="1" x14ac:dyDescent="0.3">
      <c r="A17" s="46">
        <v>10</v>
      </c>
      <c r="B17" s="45"/>
      <c r="C17" s="45" t="s">
        <v>176</v>
      </c>
      <c r="D17" s="45"/>
      <c r="E17" s="45"/>
      <c r="F17" s="53">
        <f>SUM(F9:F15)</f>
        <v>487449753.33000004</v>
      </c>
      <c r="G17" s="54">
        <f>SUM(G9:G15)</f>
        <v>1</v>
      </c>
      <c r="H17" s="55">
        <f>SUM(H9:H15)</f>
        <v>136257.09000000026</v>
      </c>
      <c r="I17" s="55">
        <f>SUM(I9:I15)</f>
        <v>487586010.42000002</v>
      </c>
      <c r="J17" s="12"/>
      <c r="K17" s="56">
        <v>1.9599999999999999E-2</v>
      </c>
      <c r="L17" s="45" t="s">
        <v>181</v>
      </c>
    </row>
    <row r="18" spans="1:12" ht="15.75" thickTop="1" x14ac:dyDescent="0.25">
      <c r="A18" s="46">
        <f>A17+1</f>
        <v>11</v>
      </c>
    </row>
    <row r="19" spans="1:12" x14ac:dyDescent="0.25">
      <c r="A19" s="46">
        <f t="shared" ref="A19:A22" si="1">A18+1</f>
        <v>12</v>
      </c>
    </row>
    <row r="20" spans="1:12" x14ac:dyDescent="0.25">
      <c r="A20" s="46">
        <f t="shared" si="1"/>
        <v>13</v>
      </c>
    </row>
    <row r="21" spans="1:12" x14ac:dyDescent="0.25">
      <c r="A21" s="46">
        <f t="shared" si="1"/>
        <v>14</v>
      </c>
    </row>
    <row r="22" spans="1:12" x14ac:dyDescent="0.25">
      <c r="A22" s="46">
        <f t="shared" si="1"/>
        <v>15</v>
      </c>
    </row>
    <row r="23" spans="1:12" x14ac:dyDescent="0.25">
      <c r="A23" s="46">
        <f>A22+1</f>
        <v>16</v>
      </c>
      <c r="C23" s="4" t="s">
        <v>179</v>
      </c>
      <c r="E23" s="57">
        <v>136257</v>
      </c>
    </row>
    <row r="43" spans="30:30" x14ac:dyDescent="0.25">
      <c r="AD43" s="4">
        <v>18509738</v>
      </c>
    </row>
    <row r="44" spans="30:30" x14ac:dyDescent="0.25">
      <c r="AD44" s="4">
        <v>864844</v>
      </c>
    </row>
    <row r="45" spans="30:30" x14ac:dyDescent="0.25">
      <c r="AD45" s="4">
        <f>AD44/AD43</f>
        <v>4.6723729963114552E-2</v>
      </c>
    </row>
  </sheetData>
  <printOptions horizontalCentered="1"/>
  <pageMargins left="0.5" right="0.25" top="0.75" bottom="0.5" header="0.3" footer="0.3"/>
  <pageSetup scale="90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E027-B4DD-409C-82E6-14F380280057}">
  <dimension ref="A1:T39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6" style="58" customWidth="1"/>
    <col min="2" max="2" width="1.7109375" style="58" customWidth="1"/>
    <col min="3" max="3" width="9.7109375" style="58" customWidth="1"/>
    <col min="4" max="4" width="1.7109375" style="58" customWidth="1"/>
    <col min="5" max="5" width="26.28515625" style="58" bestFit="1" customWidth="1"/>
    <col min="6" max="6" width="1.7109375" style="58" customWidth="1"/>
    <col min="7" max="7" width="7.7109375" style="58" customWidth="1"/>
    <col min="8" max="8" width="1.7109375" style="58" customWidth="1"/>
    <col min="9" max="9" width="15.7109375" style="58" bestFit="1" customWidth="1"/>
    <col min="10" max="10" width="1.7109375" style="58" customWidth="1"/>
    <col min="11" max="11" width="12.28515625" style="58" customWidth="1"/>
    <col min="12" max="12" width="1.7109375" style="58" customWidth="1"/>
    <col min="13" max="13" width="11.42578125" style="58" customWidth="1"/>
    <col min="14" max="14" width="1.7109375" style="58" customWidth="1"/>
    <col min="15" max="15" width="17" style="58" bestFit="1" customWidth="1"/>
    <col min="16" max="16" width="1.7109375" style="58" customWidth="1"/>
    <col min="17" max="17" width="15" style="58" bestFit="1" customWidth="1"/>
    <col min="18" max="19" width="9.140625" style="58"/>
    <col min="20" max="20" width="15.140625" style="58" bestFit="1" customWidth="1"/>
    <col min="21" max="16384" width="9.140625" style="58"/>
  </cols>
  <sheetData>
    <row r="1" spans="1:17" x14ac:dyDescent="0.2">
      <c r="A1" s="58" t="s">
        <v>155</v>
      </c>
    </row>
    <row r="2" spans="1:17" x14ac:dyDescent="0.2">
      <c r="A2" s="58" t="s">
        <v>182</v>
      </c>
    </row>
    <row r="3" spans="1:17" x14ac:dyDescent="0.2">
      <c r="A3" s="58" t="s">
        <v>183</v>
      </c>
    </row>
    <row r="4" spans="1:17" x14ac:dyDescent="0.2">
      <c r="A4" s="58" t="s">
        <v>184</v>
      </c>
    </row>
    <row r="6" spans="1:17" ht="51" x14ac:dyDescent="0.2">
      <c r="A6" s="59" t="s">
        <v>112</v>
      </c>
      <c r="C6" s="60" t="s">
        <v>185</v>
      </c>
      <c r="D6" s="61"/>
      <c r="E6" s="60" t="s">
        <v>186</v>
      </c>
      <c r="F6" s="61"/>
      <c r="G6" s="60" t="s">
        <v>187</v>
      </c>
      <c r="H6" s="61"/>
      <c r="I6" s="60" t="s">
        <v>188</v>
      </c>
      <c r="J6" s="61"/>
      <c r="K6" s="60" t="s">
        <v>189</v>
      </c>
      <c r="L6" s="61"/>
      <c r="M6" s="60" t="s">
        <v>190</v>
      </c>
      <c r="N6" s="61"/>
      <c r="O6" s="60" t="s">
        <v>191</v>
      </c>
      <c r="P6" s="61"/>
      <c r="Q6" s="60" t="s">
        <v>192</v>
      </c>
    </row>
    <row r="7" spans="1:17" x14ac:dyDescent="0.2">
      <c r="A7" s="62">
        <v>1</v>
      </c>
      <c r="C7" s="13" t="s">
        <v>193</v>
      </c>
      <c r="E7" s="13" t="s">
        <v>194</v>
      </c>
      <c r="F7" s="63"/>
      <c r="G7" s="64"/>
      <c r="H7" s="64"/>
      <c r="I7" s="14">
        <v>14117.29</v>
      </c>
      <c r="J7" s="15"/>
      <c r="K7" s="65">
        <v>0.2</v>
      </c>
      <c r="L7" s="65"/>
      <c r="M7" s="63">
        <f>ROUND(1/K7,2)</f>
        <v>5</v>
      </c>
      <c r="O7" s="14">
        <v>3069.04</v>
      </c>
      <c r="P7" s="15"/>
      <c r="Q7" s="14">
        <v>2823.4580000000001</v>
      </c>
    </row>
    <row r="8" spans="1:17" x14ac:dyDescent="0.2">
      <c r="A8" s="62">
        <v>2</v>
      </c>
      <c r="C8" s="13" t="s">
        <v>195</v>
      </c>
      <c r="E8" s="13" t="s">
        <v>196</v>
      </c>
      <c r="F8" s="63"/>
      <c r="G8" s="64"/>
      <c r="H8" s="64"/>
      <c r="I8" s="14">
        <v>211948.22</v>
      </c>
      <c r="J8" s="15"/>
      <c r="K8" s="65">
        <v>0.02</v>
      </c>
      <c r="L8" s="65"/>
      <c r="M8" s="63">
        <f>ROUND(1/K8,2)</f>
        <v>50</v>
      </c>
      <c r="N8" s="63"/>
      <c r="O8" s="14">
        <v>33057.550000000003</v>
      </c>
      <c r="P8" s="15"/>
      <c r="Q8" s="14">
        <v>4238.9643999999998</v>
      </c>
    </row>
    <row r="9" spans="1:17" x14ac:dyDescent="0.2">
      <c r="A9" s="62">
        <v>3</v>
      </c>
      <c r="C9" s="13" t="s">
        <v>197</v>
      </c>
      <c r="E9" s="13" t="s">
        <v>198</v>
      </c>
      <c r="F9" s="63"/>
      <c r="G9" s="64"/>
      <c r="H9" s="64"/>
      <c r="I9" s="14">
        <v>360620.6</v>
      </c>
      <c r="J9" s="15"/>
      <c r="K9" s="65">
        <v>0.1</v>
      </c>
      <c r="L9" s="65"/>
      <c r="M9" s="63">
        <f>ROUND(1/K9,2)</f>
        <v>10</v>
      </c>
      <c r="N9" s="63"/>
      <c r="O9" s="14">
        <v>101334.77</v>
      </c>
      <c r="P9" s="15"/>
      <c r="Q9" s="14">
        <v>36062.06</v>
      </c>
    </row>
    <row r="10" spans="1:17" x14ac:dyDescent="0.2">
      <c r="A10" s="62">
        <v>4</v>
      </c>
      <c r="C10" s="13" t="s">
        <v>199</v>
      </c>
      <c r="E10" s="13" t="s">
        <v>194</v>
      </c>
      <c r="F10" s="63"/>
      <c r="G10" s="64"/>
      <c r="H10" s="64"/>
      <c r="I10" s="14">
        <v>42900</v>
      </c>
      <c r="J10" s="15"/>
      <c r="K10" s="65">
        <v>0.1</v>
      </c>
      <c r="L10" s="65"/>
      <c r="M10" s="63">
        <f>ROUND(1/K10,2)</f>
        <v>10</v>
      </c>
      <c r="N10" s="63"/>
      <c r="O10" s="14">
        <v>50348.42</v>
      </c>
      <c r="P10" s="15"/>
      <c r="Q10" s="14">
        <v>4290</v>
      </c>
    </row>
    <row r="11" spans="1:17" x14ac:dyDescent="0.2">
      <c r="A11" s="62">
        <v>5</v>
      </c>
      <c r="C11" s="13" t="s">
        <v>200</v>
      </c>
      <c r="E11" s="13" t="s">
        <v>201</v>
      </c>
      <c r="F11" s="63"/>
      <c r="G11" s="64"/>
      <c r="H11" s="64"/>
      <c r="I11" s="14">
        <v>0</v>
      </c>
      <c r="J11" s="15"/>
      <c r="K11" s="65">
        <v>0.1</v>
      </c>
      <c r="L11" s="65"/>
      <c r="M11" s="63">
        <f t="shared" ref="M11:M33" si="0">ROUND(1/K11,2)</f>
        <v>10</v>
      </c>
      <c r="N11" s="63"/>
      <c r="O11" s="14">
        <v>4256.07</v>
      </c>
      <c r="P11" s="15"/>
      <c r="Q11" s="14">
        <v>0</v>
      </c>
    </row>
    <row r="12" spans="1:17" x14ac:dyDescent="0.2">
      <c r="A12" s="62">
        <v>6</v>
      </c>
      <c r="C12" s="13" t="s">
        <v>202</v>
      </c>
      <c r="E12" s="13" t="s">
        <v>203</v>
      </c>
      <c r="F12" s="63"/>
      <c r="G12" s="66"/>
      <c r="H12" s="66"/>
      <c r="I12" s="14">
        <v>660102.91</v>
      </c>
      <c r="J12" s="15"/>
      <c r="K12" s="65">
        <v>0.02</v>
      </c>
      <c r="L12" s="65"/>
      <c r="M12" s="63">
        <f t="shared" si="0"/>
        <v>50</v>
      </c>
      <c r="N12" s="63"/>
      <c r="O12" s="14">
        <v>610643.19999999995</v>
      </c>
      <c r="P12" s="15"/>
      <c r="Q12" s="14">
        <v>13297.318735000001</v>
      </c>
    </row>
    <row r="13" spans="1:17" x14ac:dyDescent="0.2">
      <c r="A13" s="62">
        <v>7</v>
      </c>
      <c r="C13" s="13" t="s">
        <v>204</v>
      </c>
      <c r="E13" s="13" t="s">
        <v>205</v>
      </c>
      <c r="F13" s="63"/>
      <c r="G13" s="66"/>
      <c r="H13" s="66"/>
      <c r="I13" s="14">
        <v>1027493.61</v>
      </c>
      <c r="J13" s="15"/>
      <c r="K13" s="65">
        <v>0.02</v>
      </c>
      <c r="L13" s="65"/>
      <c r="M13" s="63">
        <f t="shared" si="0"/>
        <v>50</v>
      </c>
      <c r="N13" s="63"/>
      <c r="O13" s="14">
        <v>683790.46</v>
      </c>
      <c r="P13" s="15"/>
      <c r="Q13" s="14">
        <v>21595.230349999998</v>
      </c>
    </row>
    <row r="14" spans="1:17" x14ac:dyDescent="0.2">
      <c r="A14" s="62">
        <v>8</v>
      </c>
      <c r="C14" s="13" t="s">
        <v>206</v>
      </c>
      <c r="E14" s="13" t="s">
        <v>207</v>
      </c>
      <c r="F14" s="63"/>
      <c r="G14" s="64"/>
      <c r="H14" s="64"/>
      <c r="I14" s="14">
        <v>5914.14</v>
      </c>
      <c r="J14" s="15"/>
      <c r="K14" s="65">
        <v>0.05</v>
      </c>
      <c r="L14" s="65"/>
      <c r="M14" s="63">
        <f t="shared" si="0"/>
        <v>20</v>
      </c>
      <c r="N14" s="63"/>
      <c r="O14" s="14">
        <v>2818.28</v>
      </c>
      <c r="P14" s="15"/>
      <c r="Q14" s="14">
        <v>295.70700000000005</v>
      </c>
    </row>
    <row r="15" spans="1:17" x14ac:dyDescent="0.2">
      <c r="A15" s="62">
        <v>9</v>
      </c>
      <c r="C15" s="13" t="s">
        <v>208</v>
      </c>
      <c r="E15" s="13" t="s">
        <v>209</v>
      </c>
      <c r="F15" s="63"/>
      <c r="G15" s="64"/>
      <c r="H15" s="64"/>
      <c r="I15" s="14">
        <v>1818045.9900000002</v>
      </c>
      <c r="J15" s="15"/>
      <c r="K15" s="65">
        <v>2.5000000000000001E-2</v>
      </c>
      <c r="L15" s="65"/>
      <c r="M15" s="63">
        <f t="shared" si="0"/>
        <v>40</v>
      </c>
      <c r="N15" s="63"/>
      <c r="O15" s="14">
        <v>1465496.58</v>
      </c>
      <c r="P15" s="15"/>
      <c r="Q15" s="14">
        <v>43778.047750000005</v>
      </c>
    </row>
    <row r="16" spans="1:17" x14ac:dyDescent="0.2">
      <c r="A16" s="62">
        <v>10</v>
      </c>
      <c r="C16" s="13" t="s">
        <v>210</v>
      </c>
      <c r="E16" s="13" t="s">
        <v>211</v>
      </c>
      <c r="F16" s="63"/>
      <c r="G16" s="67"/>
      <c r="H16" s="67"/>
      <c r="I16" s="14">
        <v>13490.56</v>
      </c>
      <c r="J16" s="15"/>
      <c r="K16" s="65">
        <v>0.02</v>
      </c>
      <c r="L16" s="65"/>
      <c r="M16" s="63">
        <f t="shared" si="0"/>
        <v>50</v>
      </c>
      <c r="N16" s="63"/>
      <c r="O16" s="14">
        <v>781.47</v>
      </c>
      <c r="P16" s="15"/>
      <c r="Q16" s="14">
        <v>269.81119999999999</v>
      </c>
    </row>
    <row r="17" spans="1:17" x14ac:dyDescent="0.2">
      <c r="A17" s="62">
        <v>11</v>
      </c>
      <c r="C17" s="13" t="s">
        <v>212</v>
      </c>
      <c r="E17" s="13" t="s">
        <v>203</v>
      </c>
      <c r="F17" s="63"/>
      <c r="G17" s="67"/>
      <c r="H17" s="67"/>
      <c r="I17" s="14">
        <v>2273393.2800000003</v>
      </c>
      <c r="J17" s="15"/>
      <c r="K17" s="65">
        <v>2.5000000000000001E-2</v>
      </c>
      <c r="L17" s="65"/>
      <c r="M17" s="63">
        <f t="shared" si="0"/>
        <v>40</v>
      </c>
      <c r="N17" s="63"/>
      <c r="O17" s="14">
        <v>373076.54</v>
      </c>
      <c r="P17" s="15"/>
      <c r="Q17" s="14">
        <v>45467.865600000005</v>
      </c>
    </row>
    <row r="18" spans="1:17" x14ac:dyDescent="0.2">
      <c r="A18" s="62">
        <v>12</v>
      </c>
      <c r="C18" s="13" t="s">
        <v>213</v>
      </c>
      <c r="E18" s="13" t="s">
        <v>214</v>
      </c>
      <c r="F18" s="63"/>
      <c r="G18" s="64"/>
      <c r="H18" s="64"/>
      <c r="I18" s="14">
        <v>10834.460000000001</v>
      </c>
      <c r="J18" s="15"/>
      <c r="K18" s="65">
        <v>0.1</v>
      </c>
      <c r="L18" s="65"/>
      <c r="M18" s="63">
        <f t="shared" si="0"/>
        <v>10</v>
      </c>
      <c r="N18" s="63"/>
      <c r="O18" s="14">
        <v>3362.28</v>
      </c>
      <c r="P18" s="15"/>
      <c r="Q18" s="14">
        <v>1083.4460000000001</v>
      </c>
    </row>
    <row r="19" spans="1:17" x14ac:dyDescent="0.2">
      <c r="A19" s="62">
        <v>13</v>
      </c>
      <c r="C19" s="13" t="s">
        <v>215</v>
      </c>
      <c r="E19" s="13" t="s">
        <v>216</v>
      </c>
      <c r="F19" s="63"/>
      <c r="G19" s="64"/>
      <c r="H19" s="64"/>
      <c r="I19" s="14">
        <v>339664.76</v>
      </c>
      <c r="J19" s="15"/>
      <c r="K19" s="65">
        <v>0.1</v>
      </c>
      <c r="L19" s="65"/>
      <c r="M19" s="63">
        <f t="shared" si="0"/>
        <v>10</v>
      </c>
      <c r="N19" s="63"/>
      <c r="O19" s="14">
        <v>192363.62</v>
      </c>
      <c r="P19" s="15"/>
      <c r="Q19" s="14">
        <v>33966.476000000002</v>
      </c>
    </row>
    <row r="20" spans="1:17" x14ac:dyDescent="0.2">
      <c r="A20" s="62">
        <v>14</v>
      </c>
      <c r="C20" s="13" t="s">
        <v>217</v>
      </c>
      <c r="E20" s="13" t="s">
        <v>218</v>
      </c>
      <c r="F20" s="63"/>
      <c r="G20" s="64"/>
      <c r="H20" s="64"/>
      <c r="I20" s="14">
        <v>45678.66</v>
      </c>
      <c r="J20" s="15"/>
      <c r="K20" s="65">
        <v>0.2</v>
      </c>
      <c r="L20" s="65"/>
      <c r="M20" s="63">
        <f t="shared" si="0"/>
        <v>5</v>
      </c>
      <c r="N20" s="63"/>
      <c r="O20" s="14">
        <v>48132.37</v>
      </c>
      <c r="P20" s="15"/>
      <c r="Q20" s="14">
        <v>4567.8660000000009</v>
      </c>
    </row>
    <row r="21" spans="1:17" x14ac:dyDescent="0.2">
      <c r="A21" s="62">
        <v>15</v>
      </c>
      <c r="C21" s="13" t="s">
        <v>219</v>
      </c>
      <c r="E21" s="13" t="s">
        <v>220</v>
      </c>
      <c r="F21" s="63"/>
      <c r="G21" s="64"/>
      <c r="H21" s="64"/>
      <c r="I21" s="14">
        <v>1617360.23</v>
      </c>
      <c r="J21" s="15"/>
      <c r="K21" s="65">
        <v>0.2</v>
      </c>
      <c r="L21" s="65"/>
      <c r="M21" s="63">
        <f t="shared" si="0"/>
        <v>5</v>
      </c>
      <c r="N21" s="63"/>
      <c r="O21" s="14">
        <v>703091.5</v>
      </c>
      <c r="P21" s="15"/>
      <c r="Q21" s="14">
        <v>119718.73150000001</v>
      </c>
    </row>
    <row r="22" spans="1:17" x14ac:dyDescent="0.2">
      <c r="A22" s="62">
        <v>16</v>
      </c>
      <c r="C22" s="13" t="s">
        <v>221</v>
      </c>
      <c r="E22" s="13" t="s">
        <v>201</v>
      </c>
      <c r="F22" s="63"/>
      <c r="G22" s="64"/>
      <c r="H22" s="64"/>
      <c r="I22" s="14">
        <v>1527.77</v>
      </c>
      <c r="J22" s="15"/>
      <c r="K22" s="65">
        <v>6.8699999999999997E-2</v>
      </c>
      <c r="L22" s="65"/>
      <c r="M22" s="63">
        <f t="shared" si="0"/>
        <v>14.56</v>
      </c>
      <c r="N22" s="63"/>
      <c r="O22" s="14">
        <v>1085</v>
      </c>
      <c r="P22" s="15"/>
      <c r="Q22" s="14">
        <v>104.95779899999999</v>
      </c>
    </row>
    <row r="23" spans="1:17" x14ac:dyDescent="0.2">
      <c r="A23" s="62">
        <v>17</v>
      </c>
      <c r="C23" s="13" t="s">
        <v>222</v>
      </c>
      <c r="E23" s="13" t="s">
        <v>223</v>
      </c>
      <c r="F23" s="63"/>
      <c r="G23" s="67"/>
      <c r="H23" s="67"/>
      <c r="I23" s="14">
        <v>39244</v>
      </c>
      <c r="J23" s="15"/>
      <c r="K23" s="65">
        <v>0</v>
      </c>
      <c r="L23" s="65"/>
      <c r="M23" s="63"/>
      <c r="N23" s="63"/>
      <c r="O23" s="14">
        <v>0</v>
      </c>
      <c r="P23" s="15"/>
      <c r="Q23" s="14">
        <v>0</v>
      </c>
    </row>
    <row r="24" spans="1:17" x14ac:dyDescent="0.2">
      <c r="A24" s="62">
        <v>18</v>
      </c>
      <c r="C24" s="13" t="s">
        <v>224</v>
      </c>
      <c r="E24" s="13" t="s">
        <v>225</v>
      </c>
      <c r="F24" s="63"/>
      <c r="G24" s="67"/>
      <c r="H24" s="67"/>
      <c r="I24" s="14">
        <v>207763.26</v>
      </c>
      <c r="J24" s="15"/>
      <c r="K24" s="65">
        <v>0.05</v>
      </c>
      <c r="L24" s="65"/>
      <c r="M24" s="63">
        <f t="shared" si="0"/>
        <v>20</v>
      </c>
      <c r="N24" s="63"/>
      <c r="O24" s="14">
        <v>89863.43</v>
      </c>
      <c r="P24" s="15"/>
      <c r="Q24" s="14">
        <v>25449.295500000004</v>
      </c>
    </row>
    <row r="25" spans="1:17" x14ac:dyDescent="0.2">
      <c r="A25" s="62">
        <v>19</v>
      </c>
      <c r="C25" s="13" t="s">
        <v>226</v>
      </c>
      <c r="E25" s="13" t="s">
        <v>201</v>
      </c>
      <c r="F25" s="63"/>
      <c r="G25" s="67"/>
      <c r="H25" s="67"/>
      <c r="I25" s="14">
        <v>0</v>
      </c>
      <c r="J25" s="15"/>
      <c r="K25" s="65">
        <v>0.2</v>
      </c>
      <c r="L25" s="65"/>
      <c r="M25" s="63">
        <f t="shared" si="0"/>
        <v>5</v>
      </c>
      <c r="N25" s="63"/>
      <c r="O25" s="14">
        <v>0</v>
      </c>
      <c r="P25" s="15"/>
      <c r="Q25" s="14">
        <v>0</v>
      </c>
    </row>
    <row r="26" spans="1:17" x14ac:dyDescent="0.2">
      <c r="A26" s="62">
        <v>20</v>
      </c>
      <c r="C26" s="13" t="s">
        <v>227</v>
      </c>
      <c r="E26" s="13" t="s">
        <v>228</v>
      </c>
      <c r="F26" s="63"/>
      <c r="G26" s="67"/>
      <c r="H26" s="67"/>
      <c r="I26" s="14">
        <v>4405588.97</v>
      </c>
      <c r="J26" s="15"/>
      <c r="K26" s="65">
        <v>0.1</v>
      </c>
      <c r="L26" s="65"/>
      <c r="M26" s="63">
        <f t="shared" si="0"/>
        <v>10</v>
      </c>
      <c r="N26" s="63"/>
      <c r="O26" s="14">
        <v>1213766.1000000001</v>
      </c>
      <c r="P26" s="15"/>
      <c r="Q26" s="14">
        <v>131771.4258</v>
      </c>
    </row>
    <row r="27" spans="1:17" x14ac:dyDescent="0.2">
      <c r="A27" s="62">
        <v>21</v>
      </c>
      <c r="C27" s="13" t="s">
        <v>229</v>
      </c>
      <c r="E27" s="13" t="s">
        <v>230</v>
      </c>
      <c r="F27" s="63"/>
      <c r="G27" s="67"/>
      <c r="H27" s="67"/>
      <c r="I27" s="14">
        <v>77496.23</v>
      </c>
      <c r="J27" s="15"/>
      <c r="K27" s="65">
        <v>0.2</v>
      </c>
      <c r="L27" s="65"/>
      <c r="M27" s="63">
        <f t="shared" si="0"/>
        <v>5</v>
      </c>
      <c r="N27" s="63"/>
      <c r="O27" s="14">
        <v>72472.39</v>
      </c>
      <c r="P27" s="15"/>
      <c r="Q27" s="14">
        <v>15499.245999999999</v>
      </c>
    </row>
    <row r="28" spans="1:17" x14ac:dyDescent="0.2">
      <c r="A28" s="62">
        <v>22</v>
      </c>
      <c r="C28" s="13" t="s">
        <v>231</v>
      </c>
      <c r="E28" s="13" t="s">
        <v>201</v>
      </c>
      <c r="F28" s="63"/>
      <c r="G28" s="67"/>
      <c r="H28" s="67"/>
      <c r="I28" s="14">
        <v>0</v>
      </c>
      <c r="J28" s="15"/>
      <c r="K28" s="65">
        <v>0.1</v>
      </c>
      <c r="L28" s="65"/>
      <c r="M28" s="63">
        <f t="shared" si="0"/>
        <v>10</v>
      </c>
      <c r="N28" s="63"/>
      <c r="O28" s="14">
        <v>43328.04</v>
      </c>
      <c r="P28" s="15"/>
      <c r="Q28" s="14">
        <v>0</v>
      </c>
    </row>
    <row r="29" spans="1:17" x14ac:dyDescent="0.2">
      <c r="A29" s="62">
        <v>23</v>
      </c>
      <c r="C29" s="13" t="s">
        <v>232</v>
      </c>
      <c r="E29" s="13" t="s">
        <v>233</v>
      </c>
      <c r="F29" s="63"/>
      <c r="G29" s="63"/>
      <c r="H29" s="63"/>
      <c r="I29" s="14">
        <v>3884.6800000000003</v>
      </c>
      <c r="K29" s="65">
        <v>0.05</v>
      </c>
      <c r="M29" s="63">
        <f t="shared" si="0"/>
        <v>20</v>
      </c>
      <c r="O29" s="14">
        <v>699.08</v>
      </c>
      <c r="Q29" s="14">
        <v>145.67550000000003</v>
      </c>
    </row>
    <row r="30" spans="1:17" x14ac:dyDescent="0.2">
      <c r="A30" s="62">
        <f>A29+1</f>
        <v>24</v>
      </c>
      <c r="C30" s="13" t="s">
        <v>234</v>
      </c>
      <c r="E30" s="13" t="s">
        <v>201</v>
      </c>
      <c r="F30" s="63"/>
      <c r="G30" s="63"/>
      <c r="H30" s="63"/>
      <c r="I30" s="14">
        <v>0</v>
      </c>
      <c r="K30" s="65">
        <v>0.2</v>
      </c>
      <c r="M30" s="63">
        <f t="shared" si="0"/>
        <v>5</v>
      </c>
      <c r="O30" s="14">
        <v>7334.05</v>
      </c>
      <c r="Q30" s="14">
        <v>0</v>
      </c>
    </row>
    <row r="31" spans="1:17" x14ac:dyDescent="0.2">
      <c r="A31" s="62">
        <f t="shared" ref="A31:A35" si="1">A30+1</f>
        <v>25</v>
      </c>
      <c r="C31" s="13" t="s">
        <v>235</v>
      </c>
      <c r="E31" s="13" t="s">
        <v>236</v>
      </c>
      <c r="F31" s="63"/>
      <c r="G31" s="63"/>
      <c r="H31" s="63"/>
      <c r="I31" s="14">
        <v>28881.77</v>
      </c>
      <c r="K31" s="65">
        <v>0.1</v>
      </c>
      <c r="M31" s="63">
        <f t="shared" si="0"/>
        <v>10</v>
      </c>
      <c r="O31" s="14">
        <v>29102.02</v>
      </c>
      <c r="Q31" s="14">
        <v>2888.1770000000001</v>
      </c>
    </row>
    <row r="32" spans="1:17" x14ac:dyDescent="0.2">
      <c r="A32" s="62">
        <f t="shared" si="1"/>
        <v>26</v>
      </c>
      <c r="C32" s="13" t="s">
        <v>237</v>
      </c>
      <c r="E32" s="13" t="s">
        <v>230</v>
      </c>
      <c r="F32" s="63"/>
      <c r="G32" s="63"/>
      <c r="H32" s="63"/>
      <c r="I32" s="14">
        <v>463306.26</v>
      </c>
      <c r="K32" s="65">
        <v>0.05</v>
      </c>
      <c r="M32" s="63">
        <f t="shared" si="0"/>
        <v>20</v>
      </c>
      <c r="O32" s="14">
        <v>87304.63</v>
      </c>
      <c r="Q32" s="14">
        <v>23165.313000000002</v>
      </c>
    </row>
    <row r="33" spans="1:20" x14ac:dyDescent="0.2">
      <c r="A33" s="62">
        <f t="shared" si="1"/>
        <v>27</v>
      </c>
      <c r="C33" s="13" t="s">
        <v>238</v>
      </c>
      <c r="E33" s="13" t="s">
        <v>201</v>
      </c>
      <c r="F33" s="63"/>
      <c r="G33" s="63"/>
      <c r="H33" s="63"/>
      <c r="I33" s="14">
        <v>0</v>
      </c>
      <c r="K33" s="65">
        <v>0.1</v>
      </c>
      <c r="M33" s="63">
        <f t="shared" si="0"/>
        <v>10</v>
      </c>
      <c r="O33" s="14">
        <v>9354.5300000000007</v>
      </c>
      <c r="Q33" s="14">
        <v>0</v>
      </c>
    </row>
    <row r="34" spans="1:20" x14ac:dyDescent="0.2">
      <c r="A34" s="62">
        <f>A33+1</f>
        <v>28</v>
      </c>
      <c r="C34" s="68"/>
      <c r="E34" s="68"/>
      <c r="F34" s="63"/>
      <c r="G34" s="63"/>
      <c r="H34" s="63"/>
    </row>
    <row r="35" spans="1:20" ht="13.5" thickBot="1" x14ac:dyDescent="0.25">
      <c r="A35" s="62">
        <f t="shared" si="1"/>
        <v>29</v>
      </c>
      <c r="C35" s="63" t="s">
        <v>239</v>
      </c>
      <c r="D35" s="63"/>
      <c r="E35" s="63"/>
      <c r="F35" s="63"/>
      <c r="G35" s="63"/>
      <c r="H35" s="63"/>
      <c r="I35" s="69">
        <f>SUM(I7:I34)</f>
        <v>13669257.65</v>
      </c>
      <c r="J35" s="70"/>
      <c r="O35" s="69">
        <f>SUM(O7:O34)</f>
        <v>5829931.419999999</v>
      </c>
      <c r="P35" s="70"/>
      <c r="Q35" s="69">
        <f>SUM(Q7:Q34)</f>
        <v>530479.07313400006</v>
      </c>
      <c r="T35" s="70"/>
    </row>
    <row r="36" spans="1:20" ht="13.5" thickTop="1" x14ac:dyDescent="0.2">
      <c r="C36" s="63"/>
      <c r="D36" s="63"/>
      <c r="E36" s="63"/>
      <c r="F36" s="63"/>
      <c r="G36" s="63"/>
      <c r="H36" s="63"/>
    </row>
    <row r="37" spans="1:20" x14ac:dyDescent="0.2">
      <c r="C37" s="63"/>
      <c r="D37" s="63"/>
      <c r="E37" s="63"/>
      <c r="F37" s="63"/>
      <c r="G37" s="63"/>
      <c r="H37" s="63"/>
      <c r="I37" s="70"/>
      <c r="Q37" s="70"/>
    </row>
    <row r="38" spans="1:20" x14ac:dyDescent="0.2">
      <c r="C38" s="63"/>
      <c r="D38" s="63"/>
      <c r="E38" s="63"/>
      <c r="F38" s="63"/>
      <c r="G38" s="63"/>
      <c r="H38" s="63"/>
      <c r="I38" s="70"/>
    </row>
    <row r="39" spans="1:20" x14ac:dyDescent="0.2">
      <c r="C39" s="63"/>
      <c r="D39" s="63"/>
      <c r="E39" s="63"/>
      <c r="F39" s="63"/>
      <c r="G39" s="63"/>
      <c r="H39" s="63"/>
    </row>
  </sheetData>
  <pageMargins left="0.7" right="0.7" top="0.75" bottom="0.75" header="0.3" footer="0.3"/>
  <pageSetup scale="67" orientation="portrait" verticalDpi="9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4" ma:contentTypeDescription="Create a new document." ma:contentTypeScope="" ma:versionID="c4ae6c7e8a7690a5d25cd14353b13c80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4af53c12b76e3003199d81fd65e24e6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_x0020_Number xmlns="00c1cf47-8665-4c73-8994-ff3a5e26da0f">2021-00434-Wastewater</Docket_x0020_Number>
    <WorkflowStatus xmlns="3527bf6f-27a6-47d3-aafb-dbf13eba6bbe" xsi:nil="true"/>
    <Workflow xmlns="3527bf6f-27a6-47d3-aafb-dbf13eba6bbe">
      <Url xsi:nil="true"/>
      <Description xsi:nil="true"/>
    </Workflow>
    <Final_x0020_Due_x0020_Date xmlns="00c1cf47-8665-4c73-8994-ff3a5e26da0f" xsi:nil="true"/>
    <Party xmlns="00c1cf47-8665-4c73-8994-ff3a5e26da0f" xsi:nil="true"/>
    <Internal_x0020_Due_x0020_Date xmlns="00c1cf47-8665-4c73-8994-ff3a5e26da0f" xsi:nil="true"/>
    <Responsible_x0020_Witness xmlns="00c1cf47-8665-4c73-8994-ff3a5e26da0f" xsi:nil="true"/>
    <_ip_UnifiedCompliancePolicyUIAction xmlns="http://schemas.microsoft.com/sharepoint/v3" xsi:nil="true"/>
    <Document_x0020_Type xmlns="00c1cf47-8665-4c73-8994-ff3a5e26da0f">Discovery</Document_x0020_Type>
    <_ip_UnifiedCompliancePolicyProperties xmlns="http://schemas.microsoft.com/sharepoint/v3" xsi:nil="true"/>
    <Preparer xmlns="00c1cf47-8665-4c73-8994-ff3a5e26da0f" xsi:nil="true"/>
    <Series xmlns="3527BF6F-27A6-47D3-AAFB-DBF13EBA6BB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0CDC18-FBB4-4293-8295-64C61B2E3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27BF6F-27A6-47D3-AAFB-DBF13EBA6BBE"/>
    <ds:schemaRef ds:uri="00c1cf47-8665-4c73-8994-ff3a5e26da0f"/>
    <ds:schemaRef ds:uri="7312d0bd-5bb3-4d44-9c84-f993550bda7e"/>
    <ds:schemaRef ds:uri="3527bf6f-27a6-47d3-aafb-dbf13eba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E08049-E274-49B3-B281-F01D5F11522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3527bf6f-27a6-47d3-aafb-dbf13eba6bbe"/>
    <ds:schemaRef ds:uri="7312d0bd-5bb3-4d44-9c84-f993550bda7e"/>
    <ds:schemaRef ds:uri="00c1cf47-8665-4c73-8994-ff3a5e26da0f"/>
    <ds:schemaRef ds:uri="3527BF6F-27A6-47D3-AAFB-DBF13EBA6BBE"/>
  </ds:schemaRefs>
</ds:datastoreItem>
</file>

<file path=customXml/itemProps3.xml><?xml version="1.0" encoding="utf-8"?>
<ds:datastoreItem xmlns:ds="http://schemas.openxmlformats.org/officeDocument/2006/customXml" ds:itemID="{4A3E6A5F-6AC1-48E5-BEA5-B6E01C2BAD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SAO_OME</vt:lpstr>
      <vt:lpstr>RR-OR</vt:lpstr>
      <vt:lpstr>Int Exp</vt:lpstr>
      <vt:lpstr>Cost of Capital</vt:lpstr>
      <vt:lpstr>Depreciation</vt:lpstr>
      <vt:lpstr>'Cost of Capital'!Print_Area</vt:lpstr>
      <vt:lpstr>'Int Exp'!Print_Area</vt:lpstr>
      <vt:lpstr>'RR-OR'!Print_Area</vt:lpstr>
      <vt:lpstr>SAO_OME!Print_Area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pellocjs</dc:creator>
  <cp:lastModifiedBy>Lindsey Ingram</cp:lastModifiedBy>
  <cp:lastPrinted>2020-06-28T16:10:43Z</cp:lastPrinted>
  <dcterms:created xsi:type="dcterms:W3CDTF">2019-04-17T17:49:56Z</dcterms:created>
  <dcterms:modified xsi:type="dcterms:W3CDTF">2022-01-20T18:27:10Z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iteId">
    <vt:lpwstr>35378cf9-dac0-45f0-84c7-1bfb98207b59</vt:lpwstr>
  </property>
  <property fmtid="{D5CDD505-2E9C-101B-9397-08002B2CF9AE}" pid="4" name="MSIP_Label_846c87f6-c46e-48eb-b7ce-d3a4a7d30611_Owner">
    <vt:lpwstr>Kathryn.Taylor@amwater.com</vt:lpwstr>
  </property>
  <property fmtid="{D5CDD505-2E9C-101B-9397-08002B2CF9AE}" pid="5" name="MSIP_Label_846c87f6-c46e-48eb-b7ce-d3a4a7d30611_SetDate">
    <vt:lpwstr>2021-04-19T08:51:03.7220726Z</vt:lpwstr>
  </property>
  <property fmtid="{D5CDD505-2E9C-101B-9397-08002B2CF9AE}" pid="6" name="MSIP_Label_846c87f6-c46e-48eb-b7ce-d3a4a7d30611_Name">
    <vt:lpwstr>General</vt:lpwstr>
  </property>
  <property fmtid="{D5CDD505-2E9C-101B-9397-08002B2CF9AE}" pid="7" name="MSIP_Label_846c87f6-c46e-48eb-b7ce-d3a4a7d30611_Application">
    <vt:lpwstr>Microsoft Azure Information Protection</vt:lpwstr>
  </property>
  <property fmtid="{D5CDD505-2E9C-101B-9397-08002B2CF9AE}" pid="8" name="MSIP_Label_846c87f6-c46e-48eb-b7ce-d3a4a7d30611_ActionId">
    <vt:lpwstr>205696b1-88f1-41f0-8583-4c103ba97116</vt:lpwstr>
  </property>
  <property fmtid="{D5CDD505-2E9C-101B-9397-08002B2CF9AE}" pid="9" name="MSIP_Label_846c87f6-c46e-48eb-b7ce-d3a4a7d30611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0x01010004E0505336475743B548BB3731556CC4</vt:lpwstr>
  </property>
</Properties>
</file>