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South Kentucky Electric Cooperative/Revenue Requirement/Analysis Provided by Michelle/"/>
    </mc:Choice>
  </mc:AlternateContent>
  <xr:revisionPtr revIDLastSave="4" documentId="8_{9C28B7D3-2ABC-4BEE-AFED-67864E3B7B94}" xr6:coauthVersionLast="47" xr6:coauthVersionMax="47" xr10:uidLastSave="{0977DDCD-139D-46F4-99DC-F161D0087132}"/>
  <bookViews>
    <workbookView xWindow="-108" yWindow="-108" windowWidth="23256" windowHeight="12456" firstSheet="4" activeTab="19" xr2:uid="{00000000-000D-0000-FFFF-FFFF00000000}"/>
  </bookViews>
  <sheets>
    <sheet name="Test year 0419 to 0320" sheetId="12" r:id="rId1"/>
    <sheet name="Income Statement" sheetId="1" r:id="rId2"/>
    <sheet name="Pro Forma Analysis" sheetId="2" r:id="rId3"/>
    <sheet name="2.01" sheetId="3" r:id="rId4"/>
    <sheet name="2.02" sheetId="4" r:id="rId5"/>
    <sheet name="2.03" sheetId="5" r:id="rId6"/>
    <sheet name="2.04" sheetId="6" r:id="rId7"/>
    <sheet name="2.05" sheetId="7" r:id="rId8"/>
    <sheet name="2.06" sheetId="8" r:id="rId9"/>
    <sheet name="2.07" sheetId="9" r:id="rId10"/>
    <sheet name="2.08" sheetId="10" r:id="rId11"/>
    <sheet name="2.09" sheetId="11" r:id="rId12"/>
    <sheet name="2.10" sheetId="22" r:id="rId13"/>
    <sheet name="2.11" sheetId="15" r:id="rId14"/>
    <sheet name="2.12" sheetId="16" r:id="rId15"/>
    <sheet name="2.13" sheetId="17" r:id="rId16"/>
    <sheet name="2.14" sheetId="18" r:id="rId17"/>
    <sheet name="2.15" sheetId="19" r:id="rId18"/>
    <sheet name="2.16" sheetId="20" r:id="rId19"/>
    <sheet name="2.17" sheetId="21" r:id="rId20"/>
  </sheets>
  <definedNames>
    <definedName name="_MailOriginal" localSheetId="0">'Test year 0419 to 0320'!#REF!</definedName>
    <definedName name="_xlnm.Print_Area" localSheetId="3">'2.01'!$A$1:$L$17</definedName>
    <definedName name="_xlnm.Print_Area" localSheetId="4">'2.02'!$A$1:$L$14</definedName>
    <definedName name="_xlnm.Print_Area" localSheetId="5">'2.03'!$A$1:$L$15</definedName>
    <definedName name="_xlnm.Print_Area" localSheetId="6">'2.04'!$A$1:$L$13</definedName>
    <definedName name="_xlnm.Print_Area" localSheetId="7">'2.05'!$A$1:$L$16</definedName>
    <definedName name="_xlnm.Print_Area" localSheetId="9">'2.07'!$A$1:$L$32</definedName>
    <definedName name="_xlnm.Print_Area" localSheetId="10">'2.08'!$A$1:$L$13</definedName>
    <definedName name="_xlnm.Print_Area" localSheetId="11">'2.09'!$A$1:$L$20</definedName>
    <definedName name="_xlnm.Print_Area" localSheetId="12">'2.10'!$A$1:$L$63</definedName>
    <definedName name="_xlnm.Print_Area" localSheetId="13">'2.11'!$A$1:$M$42</definedName>
    <definedName name="_xlnm.Print_Area" localSheetId="14">'2.12'!$A$1:$L$12</definedName>
    <definedName name="_xlnm.Print_Area" localSheetId="15">'2.13'!$A$1:$L$12</definedName>
    <definedName name="_xlnm.Print_Area" localSheetId="16">'2.14'!$A$1:$L$19</definedName>
    <definedName name="_xlnm.Print_Area" localSheetId="17">'2.15'!$A$1:$L$22</definedName>
    <definedName name="_xlnm.Print_Area" localSheetId="18">'2.16'!$A$1:$L$14</definedName>
    <definedName name="_xlnm.Print_Area" localSheetId="19">'2.17'!$A$1:$L$14</definedName>
    <definedName name="_xlnm.Print_Area" localSheetId="1">'Income Statement'!$A$1:$F$39</definedName>
    <definedName name="_xlnm.Print_Area" localSheetId="2">'Pro Forma Analysis'!$A$1:$N$57</definedName>
    <definedName name="_xlnm.Print_Area" localSheetId="0">'Test year 0419 to 0320'!$A$1:$H$47</definedName>
    <definedName name="Untitled" localSheetId="12">#REF!</definedName>
    <definedName name="Untitl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D18" i="12"/>
  <c r="E45" i="12"/>
  <c r="C44" i="12"/>
  <c r="E44" i="12" s="1"/>
  <c r="C43" i="12"/>
  <c r="E43" i="12" s="1"/>
  <c r="C42" i="12"/>
  <c r="E42" i="12" s="1"/>
  <c r="C41" i="12"/>
  <c r="E41" i="12" s="1"/>
  <c r="C33" i="12"/>
  <c r="E33" i="12" s="1"/>
  <c r="C32" i="12"/>
  <c r="E32" i="12" s="1"/>
  <c r="C31" i="12"/>
  <c r="E31" i="12" s="1"/>
  <c r="C30" i="12"/>
  <c r="E30" i="12" s="1"/>
  <c r="C29" i="12"/>
  <c r="E29" i="12" s="1"/>
  <c r="C28" i="12"/>
  <c r="E28" i="12" s="1"/>
  <c r="D22" i="12"/>
  <c r="C22" i="12"/>
  <c r="C21" i="12"/>
  <c r="E21" i="12" s="1"/>
  <c r="C20" i="12"/>
  <c r="E20" i="12" s="1"/>
  <c r="D19" i="12"/>
  <c r="C19" i="12"/>
  <c r="C18" i="12"/>
  <c r="D17" i="12"/>
  <c r="C17" i="12"/>
  <c r="C16" i="12"/>
  <c r="D14" i="12"/>
  <c r="E13" i="12"/>
  <c r="E12" i="12"/>
  <c r="C11" i="12"/>
  <c r="E11" i="12" s="1"/>
  <c r="E18" i="12" l="1"/>
  <c r="E14" i="12"/>
  <c r="C25" i="12"/>
  <c r="C35" i="12" s="1"/>
  <c r="D25" i="12"/>
  <c r="D35" i="12" s="1"/>
  <c r="D38" i="12" s="1"/>
  <c r="D47" i="12" s="1"/>
  <c r="E19" i="12"/>
  <c r="E22" i="12"/>
  <c r="E17" i="12"/>
  <c r="C14" i="12"/>
  <c r="E16" i="12"/>
  <c r="C38" i="12" l="1"/>
  <c r="C47" i="12" s="1"/>
  <c r="E25" i="12"/>
  <c r="E35" i="12" s="1"/>
  <c r="E38" i="12" s="1"/>
  <c r="E47" i="12" s="1"/>
  <c r="J10" i="10" l="1"/>
  <c r="D64" i="2" l="1"/>
  <c r="C20" i="9"/>
  <c r="C18" i="1"/>
  <c r="C20" i="1" s="1"/>
  <c r="D13" i="2" l="1"/>
  <c r="A27" i="15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9" i="15" s="1"/>
  <c r="A42" i="15" s="1"/>
  <c r="K28" i="15"/>
  <c r="K32" i="15"/>
  <c r="K33" i="15"/>
  <c r="K34" i="15"/>
  <c r="K36" i="15"/>
  <c r="J35" i="15"/>
  <c r="J28" i="15"/>
  <c r="H28" i="15"/>
  <c r="H29" i="15"/>
  <c r="K29" i="15" s="1"/>
  <c r="H30" i="15"/>
  <c r="K30" i="15" s="1"/>
  <c r="H31" i="15"/>
  <c r="K31" i="15" s="1"/>
  <c r="H32" i="15"/>
  <c r="H33" i="15"/>
  <c r="H34" i="15"/>
  <c r="H35" i="15"/>
  <c r="K35" i="15" s="1"/>
  <c r="H36" i="15"/>
  <c r="H37" i="15"/>
  <c r="K37" i="15" s="1"/>
  <c r="H27" i="15"/>
  <c r="K27" i="15" s="1"/>
  <c r="K39" i="15" l="1"/>
  <c r="L13" i="2"/>
  <c r="K13" i="2"/>
  <c r="J13" i="2"/>
  <c r="G13" i="2"/>
  <c r="F54" i="22" l="1"/>
  <c r="F58" i="22" s="1"/>
  <c r="F63" i="22" s="1"/>
  <c r="E47" i="22" s="1"/>
  <c r="D45" i="22"/>
  <c r="C45" i="22"/>
  <c r="J43" i="22"/>
  <c r="G43" i="22"/>
  <c r="E43" i="22"/>
  <c r="J41" i="22"/>
  <c r="G41" i="22"/>
  <c r="E41" i="22"/>
  <c r="J39" i="22"/>
  <c r="G39" i="22"/>
  <c r="H39" i="22" s="1"/>
  <c r="E39" i="22"/>
  <c r="I37" i="22"/>
  <c r="J37" i="22" s="1"/>
  <c r="G37" i="22"/>
  <c r="E37" i="22"/>
  <c r="I35" i="22"/>
  <c r="J35" i="22" s="1"/>
  <c r="G35" i="22"/>
  <c r="H35" i="22" s="1"/>
  <c r="E35" i="22"/>
  <c r="J33" i="22"/>
  <c r="G33" i="22"/>
  <c r="E33" i="22"/>
  <c r="J31" i="22"/>
  <c r="G31" i="22"/>
  <c r="E31" i="22"/>
  <c r="J29" i="22"/>
  <c r="G29" i="22"/>
  <c r="E29" i="22"/>
  <c r="J27" i="22"/>
  <c r="G27" i="22"/>
  <c r="E27" i="22"/>
  <c r="J25" i="22"/>
  <c r="G25" i="22"/>
  <c r="E25" i="22"/>
  <c r="J23" i="22"/>
  <c r="G23" i="22"/>
  <c r="E23" i="22"/>
  <c r="J21" i="22"/>
  <c r="G21" i="22"/>
  <c r="E21" i="22"/>
  <c r="J19" i="22"/>
  <c r="G19" i="22"/>
  <c r="H19" i="22" s="1"/>
  <c r="E19" i="22"/>
  <c r="J17" i="22"/>
  <c r="G17" i="22"/>
  <c r="E17" i="22"/>
  <c r="J15" i="22"/>
  <c r="G15" i="22"/>
  <c r="E15" i="22"/>
  <c r="J13" i="22"/>
  <c r="G13" i="22"/>
  <c r="E13" i="22"/>
  <c r="F11" i="22"/>
  <c r="F45" i="22" s="1"/>
  <c r="E11" i="22"/>
  <c r="J9" i="22"/>
  <c r="G9" i="22"/>
  <c r="E9" i="22"/>
  <c r="D5" i="22"/>
  <c r="E7" i="22" s="1"/>
  <c r="H27" i="22" l="1"/>
  <c r="K27" i="22" s="1"/>
  <c r="H33" i="22"/>
  <c r="E5" i="22"/>
  <c r="F5" i="22" s="1"/>
  <c r="G5" i="22" s="1"/>
  <c r="K39" i="22"/>
  <c r="H13" i="22"/>
  <c r="K13" i="22" s="1"/>
  <c r="K35" i="22"/>
  <c r="H29" i="22"/>
  <c r="K29" i="22" s="1"/>
  <c r="H43" i="22"/>
  <c r="K43" i="22" s="1"/>
  <c r="H15" i="22"/>
  <c r="K15" i="22" s="1"/>
  <c r="H9" i="22"/>
  <c r="K9" i="22" s="1"/>
  <c r="I45" i="22"/>
  <c r="J11" i="22"/>
  <c r="K19" i="22"/>
  <c r="H41" i="22"/>
  <c r="K41" i="22" s="1"/>
  <c r="H21" i="22"/>
  <c r="H37" i="22"/>
  <c r="K37" i="22" s="1"/>
  <c r="H23" i="22"/>
  <c r="K23" i="22" s="1"/>
  <c r="H31" i="22"/>
  <c r="K31" i="22" s="1"/>
  <c r="H17" i="22"/>
  <c r="K17" i="22" s="1"/>
  <c r="H25" i="22"/>
  <c r="K25" i="22" s="1"/>
  <c r="G7" i="22"/>
  <c r="K33" i="22"/>
  <c r="K21" i="22"/>
  <c r="G11" i="22"/>
  <c r="H11" i="22" s="1"/>
  <c r="K11" i="22" l="1"/>
  <c r="K45" i="22" s="1"/>
  <c r="K47" i="22" s="1"/>
  <c r="K49" i="22" s="1"/>
  <c r="H5" i="22"/>
  <c r="I5" i="22" s="1"/>
  <c r="H7" i="22"/>
  <c r="J7" i="22"/>
  <c r="J5" i="22"/>
  <c r="K7" i="22" l="1"/>
  <c r="K5" i="22"/>
  <c r="H10" i="21" l="1"/>
  <c r="J10" i="21" s="1"/>
  <c r="J12" i="21" s="1"/>
  <c r="J14" i="21" s="1"/>
  <c r="F55" i="2" s="1"/>
  <c r="J19" i="19" l="1"/>
  <c r="J20" i="19" s="1"/>
  <c r="J13" i="19"/>
  <c r="J22" i="19" s="1"/>
  <c r="D45" i="2" s="1"/>
  <c r="J8" i="18" l="1"/>
  <c r="J14" i="20"/>
  <c r="L47" i="2" s="1"/>
  <c r="K15" i="15" l="1"/>
  <c r="J12" i="17" l="1"/>
  <c r="F41" i="2" s="1"/>
  <c r="J19" i="18"/>
  <c r="F43" i="2" s="1"/>
  <c r="D11" i="15" l="1"/>
  <c r="K11" i="15" s="1"/>
  <c r="K20" i="15" s="1"/>
  <c r="K42" i="15" s="1"/>
  <c r="G37" i="2" s="1"/>
  <c r="J12" i="16"/>
  <c r="F39" i="2" s="1"/>
  <c r="J13" i="10" l="1"/>
  <c r="B21" i="9" l="1"/>
  <c r="C21" i="9" s="1"/>
  <c r="J16" i="7"/>
  <c r="J8" i="7"/>
  <c r="C32" i="1"/>
  <c r="H13" i="2" s="1"/>
  <c r="J12" i="5" l="1"/>
  <c r="B22" i="9" l="1"/>
  <c r="C22" i="9" s="1"/>
  <c r="D59" i="2" l="1"/>
  <c r="B23" i="9" l="1"/>
  <c r="C23" i="9" s="1"/>
  <c r="I29" i="2"/>
  <c r="I31" i="2"/>
  <c r="I35" i="2"/>
  <c r="M35" i="2" s="1"/>
  <c r="I37" i="2"/>
  <c r="M37" i="2" s="1"/>
  <c r="I39" i="2"/>
  <c r="M39" i="2" s="1"/>
  <c r="I41" i="2"/>
  <c r="M41" i="2" s="1"/>
  <c r="I43" i="2"/>
  <c r="M43" i="2" s="1"/>
  <c r="I45" i="2"/>
  <c r="M45" i="2" s="1"/>
  <c r="I47" i="2"/>
  <c r="M47" i="2" s="1"/>
  <c r="E49" i="2"/>
  <c r="E51" i="2" s="1"/>
  <c r="E57" i="2" s="1"/>
  <c r="G49" i="2"/>
  <c r="G51" i="2" s="1"/>
  <c r="G57" i="2" s="1"/>
  <c r="K49" i="2"/>
  <c r="K51" i="2" s="1"/>
  <c r="K57" i="2" s="1"/>
  <c r="L49" i="2"/>
  <c r="L51" i="2" s="1"/>
  <c r="L57" i="2" s="1"/>
  <c r="J16" i="11"/>
  <c r="J20" i="11" s="1"/>
  <c r="F33" i="2" s="1"/>
  <c r="I33" i="2" s="1"/>
  <c r="M33" i="2" s="1"/>
  <c r="J31" i="2"/>
  <c r="J49" i="2" s="1"/>
  <c r="J51" i="2" s="1"/>
  <c r="J57" i="2" s="1"/>
  <c r="H27" i="2"/>
  <c r="I27" i="2" s="1"/>
  <c r="M27" i="2" s="1"/>
  <c r="F25" i="2"/>
  <c r="J12" i="6"/>
  <c r="F23" i="2" s="1"/>
  <c r="F21" i="2"/>
  <c r="J12" i="4"/>
  <c r="J14" i="4" s="1"/>
  <c r="F19" i="2" s="1"/>
  <c r="I19" i="2" s="1"/>
  <c r="M19" i="2" s="1"/>
  <c r="I23" i="2" l="1"/>
  <c r="M23" i="2" s="1"/>
  <c r="I21" i="2"/>
  <c r="M21" i="2" s="1"/>
  <c r="B24" i="9"/>
  <c r="C24" i="9" s="1"/>
  <c r="I25" i="2"/>
  <c r="M25" i="2" s="1"/>
  <c r="D49" i="2"/>
  <c r="D51" i="2" s="1"/>
  <c r="D57" i="2" s="1"/>
  <c r="M31" i="2"/>
  <c r="H49" i="2"/>
  <c r="H51" i="2" s="1"/>
  <c r="H57" i="2" s="1"/>
  <c r="J14" i="3"/>
  <c r="C28" i="1"/>
  <c r="J16" i="3" l="1"/>
  <c r="F17" i="2" s="1"/>
  <c r="C36" i="1"/>
  <c r="C39" i="1" s="1"/>
  <c r="I13" i="2"/>
  <c r="M13" i="2" s="1"/>
  <c r="N13" i="2" s="1"/>
  <c r="B25" i="9"/>
  <c r="C25" i="9" s="1"/>
  <c r="F49" i="2" l="1"/>
  <c r="I49" i="2" s="1"/>
  <c r="M49" i="2" s="1"/>
  <c r="I17" i="2"/>
  <c r="M17" i="2" s="1"/>
  <c r="B26" i="9"/>
  <c r="C26" i="9" s="1"/>
  <c r="F51" i="2" l="1"/>
  <c r="B27" i="9"/>
  <c r="C27" i="9" s="1"/>
  <c r="F57" i="2" l="1"/>
  <c r="I57" i="2" s="1"/>
  <c r="M57" i="2" s="1"/>
  <c r="N57" i="2" s="1"/>
  <c r="I51" i="2"/>
  <c r="M51" i="2" s="1"/>
  <c r="N51" i="2" s="1"/>
  <c r="B28" i="9"/>
  <c r="C28" i="9" s="1"/>
  <c r="B29" i="9" l="1"/>
  <c r="C29" i="9" s="1"/>
  <c r="B30" i="9" l="1"/>
  <c r="C30" i="9" s="1"/>
  <c r="B31" i="9" l="1"/>
  <c r="C31" i="9" s="1"/>
  <c r="C32" i="9" l="1"/>
  <c r="J13" i="9" s="1"/>
  <c r="M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Michelle Herrman</author>
  </authors>
  <commentList>
    <comment ref="F6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From Prime Group Reconciiled Revenue &amp; KWH to Books</t>
        </r>
      </text>
    </comment>
    <comment ref="I35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Subtract out net metering payback</t>
        </r>
      </text>
    </comment>
    <comment ref="I37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Subtract out net metering payback</t>
        </r>
      </text>
    </comment>
    <comment ref="F55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Michelle Herrman:</t>
        </r>
        <r>
          <rPr>
            <sz val="9"/>
            <color indexed="81"/>
            <rFont val="Tahoma"/>
            <family val="2"/>
          </rPr>
          <t xml:space="preserve">
Per Labor distribution report 04/19-03/20</t>
        </r>
      </text>
    </comment>
  </commentList>
</comments>
</file>

<file path=xl/sharedStrings.xml><?xml version="1.0" encoding="utf-8"?>
<sst xmlns="http://schemas.openxmlformats.org/spreadsheetml/2006/main" count="371" uniqueCount="304">
  <si>
    <t>Operating Revenue and Patronage Capital</t>
  </si>
  <si>
    <t>Less:  Cost of Purchased Power</t>
  </si>
  <si>
    <t>Net Revenue</t>
  </si>
  <si>
    <t>Distribution Expense - Operation</t>
  </si>
  <si>
    <t>Distribution Expense - Maintenance</t>
  </si>
  <si>
    <t>Consumer Accounts Expense</t>
  </si>
  <si>
    <t>Customer Service and Informational Expenses</t>
  </si>
  <si>
    <t>Sales Expense</t>
  </si>
  <si>
    <t>Administrative &amp; General Expense</t>
  </si>
  <si>
    <t>Total Operation &amp; Maintenance Expense</t>
  </si>
  <si>
    <t xml:space="preserve">    (Less Power Cost)</t>
  </si>
  <si>
    <t>Depreciation and Amortization Expense</t>
  </si>
  <si>
    <t>Tax Expense-PSC/Property/Sales Tax Assess.</t>
  </si>
  <si>
    <t>Interest on Long Term Debt</t>
  </si>
  <si>
    <t>Interest Expense - Other</t>
  </si>
  <si>
    <t>Other Deductions</t>
  </si>
  <si>
    <t>Total Cost of Electric Service</t>
  </si>
  <si>
    <t>Patronage Capital &amp; Operating Margins</t>
  </si>
  <si>
    <t>Test Year</t>
  </si>
  <si>
    <t>Unadjusted</t>
  </si>
  <si>
    <t>Expenses</t>
  </si>
  <si>
    <t>Maintenance</t>
  </si>
  <si>
    <t>Operation and</t>
  </si>
  <si>
    <t>Revenue</t>
  </si>
  <si>
    <t>Purchased</t>
  </si>
  <si>
    <t xml:space="preserve">Power </t>
  </si>
  <si>
    <t>Net</t>
  </si>
  <si>
    <t>Depreciation</t>
  </si>
  <si>
    <t>Operating</t>
  </si>
  <si>
    <t>Interest</t>
  </si>
  <si>
    <t xml:space="preserve">Other </t>
  </si>
  <si>
    <t>Taxes</t>
  </si>
  <si>
    <t>Utility</t>
  </si>
  <si>
    <t xml:space="preserve">Operating </t>
  </si>
  <si>
    <t>Margin</t>
  </si>
  <si>
    <t>Debt</t>
  </si>
  <si>
    <t>Interest on</t>
  </si>
  <si>
    <t>Long-Term</t>
  </si>
  <si>
    <t>Reference</t>
  </si>
  <si>
    <t>Other</t>
  </si>
  <si>
    <t>Deductions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</si>
  <si>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</si>
  <si>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</si>
  <si>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</si>
  <si>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</si>
  <si>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</si>
  <si>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</si>
  <si>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</si>
  <si>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</si>
  <si>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</si>
  <si>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</si>
  <si>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Pro-Forma Adjustments:</t>
  </si>
  <si>
    <t>Schedule</t>
  </si>
  <si>
    <t>(11)</t>
  </si>
  <si>
    <t>South Kentucky Rural Electric Cooperative Corporation</t>
  </si>
  <si>
    <t>Adjustments to Operating Revenues, Operating Expenses and Net Operating Margins</t>
  </si>
  <si>
    <t>Salaries and Wages</t>
  </si>
  <si>
    <t>Non-recurring back tax payment</t>
  </si>
  <si>
    <t>Reduction in annual energy assistance from EKPC</t>
  </si>
  <si>
    <t>Annual audit fees</t>
  </si>
  <si>
    <t>Bad debt expense recapture</t>
  </si>
  <si>
    <t>Annualization of Board of Director Elections</t>
  </si>
  <si>
    <t>Amortization of rate case expenses</t>
  </si>
  <si>
    <t>Annual Wages and Salaries</t>
  </si>
  <si>
    <t>&lt;--- 12 Months Ended March 2020</t>
  </si>
  <si>
    <t>Adjustment to Annualize Wages and Salaries</t>
  </si>
  <si>
    <t>Adjustment to Normalize Board of Director Elections</t>
  </si>
  <si>
    <t>Annual Cost of Board of Directors Election</t>
  </si>
  <si>
    <t>Amount Incurred During Test Year</t>
  </si>
  <si>
    <t>Bad Debt Recapture</t>
  </si>
  <si>
    <r>
      <t xml:space="preserve">Annual Bad-Debt Recapture Included in </t>
    </r>
    <r>
      <rPr>
        <sz val="11"/>
        <rFont val="Calibri"/>
        <family val="2"/>
        <scheme val="minor"/>
      </rPr>
      <t>Margins</t>
    </r>
  </si>
  <si>
    <t xml:space="preserve">Going Level of Bad-Debt Recapture </t>
  </si>
  <si>
    <t>Adjustment to Reflect Known Increase in Annual Audit Fees</t>
  </si>
  <si>
    <t>Audit Fees Included in Test Year</t>
  </si>
  <si>
    <t>Adjustment to Reflect Reduction in Annual Energy Assistance from EKPC</t>
  </si>
  <si>
    <t>Adjustment to Eliminate Non-Recurring Back Tax Payment</t>
  </si>
  <si>
    <t>Eliminate Non-Recurring Back Tax Payment</t>
  </si>
  <si>
    <t>Adjustment to Reflect Reduction in Cushion of Credit</t>
  </si>
  <si>
    <t>Adjustment to Reflect New Loans</t>
  </si>
  <si>
    <t>Additional Borrowing in First Half of 2020</t>
  </si>
  <si>
    <t>Annual Increase in Interest Expenses</t>
  </si>
  <si>
    <t>Exp - Other</t>
  </si>
  <si>
    <t>Legal Expenses</t>
  </si>
  <si>
    <t>Newspaper Notices</t>
  </si>
  <si>
    <t>Rate Consulting Expenses</t>
  </si>
  <si>
    <t>Total Rate Case Expenses</t>
  </si>
  <si>
    <t>Amortization Period (Years)</t>
  </si>
  <si>
    <t>Rate Case Adjustment</t>
  </si>
  <si>
    <t>Adjustment to Reflect Rate Case Expenses</t>
  </si>
  <si>
    <t>Year-End Revenue Adjustment</t>
  </si>
  <si>
    <t>Total Adjustments</t>
  </si>
  <si>
    <t>TIER</t>
  </si>
  <si>
    <t>Without</t>
  </si>
  <si>
    <t>Gen and Other</t>
  </si>
  <si>
    <t>Credits</t>
  </si>
  <si>
    <t>Test-Year as Adjusted</t>
  </si>
  <si>
    <t>Revenue Increase</t>
  </si>
  <si>
    <t>PSC Assessment Fee</t>
  </si>
  <si>
    <t>Percentage Revenue Increase</t>
  </si>
  <si>
    <t>Test-Year as Adjusted for Revenue Increase</t>
  </si>
  <si>
    <t>(12)</t>
  </si>
  <si>
    <t>Test-Year Actual per Books</t>
  </si>
  <si>
    <t>Adjustment (2) less (1)</t>
  </si>
  <si>
    <t>Adjustment (3) - (2)</t>
  </si>
  <si>
    <t>Adjustment Total  (2) + (3)</t>
  </si>
  <si>
    <t>Energystar Appliance</t>
  </si>
  <si>
    <t>Energy Star Appliance- program terminated</t>
  </si>
  <si>
    <t>April 1, 2019- March 31, 2020</t>
  </si>
  <si>
    <t>South Kentucky RECC</t>
  </si>
  <si>
    <t>Adjustment</t>
  </si>
  <si>
    <t>Distribution Exp. - Operations</t>
  </si>
  <si>
    <t>Distribution Exp. - Maintenance</t>
  </si>
  <si>
    <t>Consumer Service &amp; Info. Expense</t>
  </si>
  <si>
    <t>TOTAL OPERATION &amp; MAINT. EXPENSE</t>
  </si>
  <si>
    <t>Tax Expense - Property</t>
  </si>
  <si>
    <t>Tax Expense - Other</t>
  </si>
  <si>
    <t>Interest on Long-Term Debt</t>
  </si>
  <si>
    <t>TOTAL COST OF ELECTRIC SERVICE</t>
  </si>
  <si>
    <t>PATRONAGE CAP. &amp; OPERATING MARGINS</t>
  </si>
  <si>
    <t>Non-Operating Margins-Interest</t>
  </si>
  <si>
    <t>Non-Operating Margins-Other</t>
  </si>
  <si>
    <t xml:space="preserve">G. &amp; T. Capital Credits         </t>
  </si>
  <si>
    <t xml:space="preserve">Other Cap. Credits &amp; Dividends  </t>
  </si>
  <si>
    <t>Extraordinary Items</t>
  </si>
  <si>
    <t>PATRONAGE CAPITAL OR MARGINS</t>
  </si>
  <si>
    <t>For the test year April 1, 2019 to March 31,2020</t>
  </si>
  <si>
    <t>Annualized Increase for CEO ($52,000 for 8 months)</t>
  </si>
  <si>
    <t>( No OT, Base Salary)</t>
  </si>
  <si>
    <t>MPRL 69</t>
  </si>
  <si>
    <t>April 1, 2019-March 31, 2020</t>
  </si>
  <si>
    <t>DSM Rebates- program terminated</t>
  </si>
  <si>
    <t>MPRL  61</t>
  </si>
  <si>
    <t>Reduction in  incentive programs</t>
  </si>
  <si>
    <t>Energy Incentives addition to expenses</t>
  </si>
  <si>
    <t>Interest Earned</t>
  </si>
  <si>
    <t>RUS reducing the interest rate on Cushion of Credit to 1 year treasury rate 10/1/2021</t>
  </si>
  <si>
    <t>COC Balance 3/31/2020</t>
  </si>
  <si>
    <t>Computation</t>
  </si>
  <si>
    <t>Balance</t>
  </si>
  <si>
    <t xml:space="preserve">Reduction in interest rate on Cushion of Credit </t>
  </si>
  <si>
    <t>February 2020 (FFB 5-6)</t>
  </si>
  <si>
    <t>March 2020 (FFB 5-7)</t>
  </si>
  <si>
    <t>Plus Sec 9 int</t>
  </si>
  <si>
    <t>2020 RUS loans</t>
  </si>
  <si>
    <t xml:space="preserve"> </t>
  </si>
  <si>
    <t>Year End Revenue Adjustment</t>
  </si>
  <si>
    <t>Fixed Asset Balance at March 31, 2020</t>
  </si>
  <si>
    <t>Removal of 401k match</t>
  </si>
  <si>
    <t>401k match</t>
  </si>
  <si>
    <t>Employer match to 401k</t>
  </si>
  <si>
    <t>Removal of match to 401k- disallowed</t>
  </si>
  <si>
    <t>Gen Plant</t>
  </si>
  <si>
    <t>Dist Plant</t>
  </si>
  <si>
    <t>TUP</t>
  </si>
  <si>
    <t>Depreciation Expense April 1, 2019- March 31,2020</t>
  </si>
  <si>
    <t>Depreciation Expense Annualized based on TUP at March 31, 2020</t>
  </si>
  <si>
    <t>Normalized Depreciation Expense</t>
  </si>
  <si>
    <t xml:space="preserve">Normalized Depreciation Expenses </t>
  </si>
  <si>
    <t>Life insurance premiums for coverage above the lesser of an employee's annual salary or $50,000</t>
  </si>
  <si>
    <t>Life Insurance Premiums over $50,000</t>
  </si>
  <si>
    <t>Excluded Board of Director Expenses</t>
  </si>
  <si>
    <t>Per Diems for attendng industry association meetings</t>
  </si>
  <si>
    <t>Cost of post-retirement benefits</t>
  </si>
  <si>
    <t>Costs of Christmas gifts</t>
  </si>
  <si>
    <t>Cost of insurance for spouses of deceased directors</t>
  </si>
  <si>
    <t>April 1, 2019 - March 31 2020</t>
  </si>
  <si>
    <t>Any costs for a director's spouse</t>
  </si>
  <si>
    <t>Cost of Business travel Insurance</t>
  </si>
  <si>
    <t>Life insurance premiums included April 1, 2019- March 31, 2020</t>
  </si>
  <si>
    <t>Excess premiums over $50,000 coverage</t>
  </si>
  <si>
    <t>Less Premium cost for coverage up to $50,000</t>
  </si>
  <si>
    <t>Amort</t>
  </si>
  <si>
    <t>FAC/ES Revenues and Expenses</t>
  </si>
  <si>
    <t>Fuel Adjustment Clause and Environmental Surcharge Revenues and Expenses</t>
  </si>
  <si>
    <t>Fuel Adjustment Expenses April 1, 2019 to March 31, 2020</t>
  </si>
  <si>
    <t>Fuel Adjustment Receivable recognized in test year as of March 31, 2020</t>
  </si>
  <si>
    <t>Net FAC and ES impact to test-year</t>
  </si>
  <si>
    <t>Environmental Surcharge  Expenses April 1, 2019 to March 31, 2020</t>
  </si>
  <si>
    <t>Environmental Surcharge Receivable recognized in test year as of March 31, 2020</t>
  </si>
  <si>
    <t>Charitable and political contributions</t>
  </si>
  <si>
    <t>Donations (Charitable, Social or community)</t>
  </si>
  <si>
    <t>Donations - Rogers Scholars Golf</t>
  </si>
  <si>
    <t>Expenses for civic, Political or public relations</t>
  </si>
  <si>
    <t>Total charitable and political contributions in test year</t>
  </si>
  <si>
    <t>Excluded expenses for Board of directors</t>
  </si>
  <si>
    <t>Fuel Adjustment Revenues April 1, 2019 to March 31, 2020</t>
  </si>
  <si>
    <t>Environmental Surcharge Revenues April 1, 2019 to March 31, 2020</t>
  </si>
  <si>
    <t>408.11 SJOU  26</t>
  </si>
  <si>
    <t>Total PSC Assessment fees in test year</t>
  </si>
  <si>
    <t>Increase in assessment fee due to increase in revenues</t>
  </si>
  <si>
    <t>PSC Assessment Fee for Test Year 04/19-03/20</t>
  </si>
  <si>
    <t>x .02</t>
  </si>
  <si>
    <t>Impact to test year (increase)</t>
  </si>
  <si>
    <r>
      <t xml:space="preserve">Normalization for Election Being Held Every Three out of Four Years  [(1) x 3 years] </t>
    </r>
    <r>
      <rPr>
        <sz val="11"/>
        <color theme="1"/>
        <rFont val="Calibri"/>
        <family val="2"/>
      </rPr>
      <t xml:space="preserve">÷ </t>
    </r>
    <r>
      <rPr>
        <sz val="11"/>
        <color theme="1"/>
        <rFont val="Calibri"/>
        <family val="2"/>
        <scheme val="minor"/>
      </rPr>
      <t xml:space="preserve">4 years </t>
    </r>
  </si>
  <si>
    <t>Energy Efficiency Program Assistance Payment from EKPC included in Test Year</t>
  </si>
  <si>
    <t>Rate</t>
  </si>
  <si>
    <t>Average Number of Members, 12 Months Ended March 31, 2020</t>
  </si>
  <si>
    <t>Number of Customers Served at March 31, 2020</t>
  </si>
  <si>
    <t>Year-End Over/ (Under) Average</t>
  </si>
  <si>
    <t>Actual kWhs</t>
  </si>
  <si>
    <t>Average kWh per Customer per year</t>
  </si>
  <si>
    <t>Year-End kWh Adjustment</t>
  </si>
  <si>
    <t>Current Rates Net Revenue (Base Rates + FAC)</t>
  </si>
  <si>
    <t>Average Revenue per kWh</t>
  </si>
  <si>
    <t>Revenue Adjustment</t>
  </si>
  <si>
    <t xml:space="preserve">Residential Rate </t>
  </si>
  <si>
    <t xml:space="preserve">Small Commercial </t>
  </si>
  <si>
    <t>Residential- Other</t>
  </si>
  <si>
    <t>Large Power</t>
  </si>
  <si>
    <t>Optional Power Service</t>
  </si>
  <si>
    <t>Residential ETS</t>
  </si>
  <si>
    <t>Small Commercial ETS</t>
  </si>
  <si>
    <t>Lighting</t>
  </si>
  <si>
    <t>LP-1</t>
  </si>
  <si>
    <t>LP-2</t>
  </si>
  <si>
    <t>LP-3 (Kroger)</t>
  </si>
  <si>
    <t>LP-3</t>
  </si>
  <si>
    <t>All Electric Schoools</t>
  </si>
  <si>
    <t>Net Metering- Residential</t>
  </si>
  <si>
    <t>Net Metering- Small Commercial</t>
  </si>
  <si>
    <t>PrepayMetering- Residential</t>
  </si>
  <si>
    <t>PrepayMetering- Residential ETS</t>
  </si>
  <si>
    <t>ETS Residential - No Contract</t>
  </si>
  <si>
    <t xml:space="preserve">   Total</t>
  </si>
  <si>
    <t>Expenses at an Operating Ratio of</t>
  </si>
  <si>
    <t xml:space="preserve">   ADJUSTMENT TO NET OPERATING INCOME BEFORE TAXES</t>
  </si>
  <si>
    <t>CALCULATION OF ELECTRIC OPERATING RATIO</t>
  </si>
  <si>
    <t>TOTAL ELECTRIC OPERATING EXPENSES</t>
  </si>
  <si>
    <t>all amounts, per cost of service includes power cost</t>
  </si>
  <si>
    <t xml:space="preserve">   LESS WAGES AND SALARIES</t>
  </si>
  <si>
    <t xml:space="preserve">   LESS PENSIONS AND BENEFITS</t>
  </si>
  <si>
    <t>includes payroll taxes- correct?</t>
  </si>
  <si>
    <t xml:space="preserve">   LESS REGULATORY COMMISSION EXPENSE</t>
  </si>
  <si>
    <t xml:space="preserve">      NET EXPENSES</t>
  </si>
  <si>
    <t>TOTAL ELECTRIC OPERATIONS REVENUES (AS BILLED)</t>
  </si>
  <si>
    <t>OPERATING RATIO</t>
  </si>
  <si>
    <t>Account</t>
  </si>
  <si>
    <t>Description</t>
  </si>
  <si>
    <t>Station Equipment</t>
  </si>
  <si>
    <t>Poles Towers &amp; Fixtures</t>
  </si>
  <si>
    <t>Overhead Conductor &amp; Devices</t>
  </si>
  <si>
    <t>Underground Conduit</t>
  </si>
  <si>
    <t>Underground Conductor &amp; Devices</t>
  </si>
  <si>
    <t>Line Transformers</t>
  </si>
  <si>
    <t>Services</t>
  </si>
  <si>
    <t>Installations of Consumer Premises</t>
  </si>
  <si>
    <t>Street Lighting &amp; Signal Systems</t>
  </si>
  <si>
    <t>Structures and Improvements</t>
  </si>
  <si>
    <t>Meters</t>
  </si>
  <si>
    <t>Current</t>
  </si>
  <si>
    <t>Proposed</t>
  </si>
  <si>
    <t>Difference</t>
  </si>
  <si>
    <t>Plant Balance</t>
  </si>
  <si>
    <t>March 31, 2020</t>
  </si>
  <si>
    <t>for Change in</t>
  </si>
  <si>
    <t>Depr Rates</t>
  </si>
  <si>
    <t>Depr</t>
  </si>
  <si>
    <t>Total Adjustment for Change in Rates (Based on Plant as of March 31, 2020)</t>
  </si>
  <si>
    <t>Increase(decrease) in depreciation Expense  at Current Depreciation Rates to Reflect Year-End Balance</t>
  </si>
  <si>
    <t>Total Adjustment</t>
  </si>
  <si>
    <t>Less: Environmental Surcharge Revenue</t>
  </si>
  <si>
    <t>Less: Environmental Surcharge Monthly Adjustment</t>
  </si>
  <si>
    <t>Test Year Revenue</t>
  </si>
  <si>
    <t>Position reductions due to attrition</t>
  </si>
  <si>
    <t>Annual Wage and Salary Increase to reflect 2020 and 2021 increases</t>
  </si>
  <si>
    <t>COC Balance 07/31/2021</t>
  </si>
  <si>
    <t>Interest @.07%</t>
  </si>
  <si>
    <t>Based upon actual from 2021 Bad Debt recapture</t>
  </si>
  <si>
    <t>Miscellaneous (Deliveries, outside copying expenses, etc)</t>
  </si>
  <si>
    <t>Exhibit WSS-2</t>
  </si>
  <si>
    <t>Exhibit WSS-3</t>
  </si>
  <si>
    <t>Schedule 1.0</t>
  </si>
  <si>
    <t>Page 1 of 2</t>
  </si>
  <si>
    <t>SOUTH KENTUCKY RECC</t>
  </si>
  <si>
    <t>Income Statesment</t>
  </si>
  <si>
    <t>Page 2 of 2</t>
  </si>
  <si>
    <t>Exhibit WSS-4</t>
  </si>
  <si>
    <t>Schedule 2.01</t>
  </si>
  <si>
    <t>Schedule 2.03</t>
  </si>
  <si>
    <t>Schedule 2.04</t>
  </si>
  <si>
    <t>Schedule 2.05</t>
  </si>
  <si>
    <t>Schedule 2.06</t>
  </si>
  <si>
    <t>Schedule 2.07</t>
  </si>
  <si>
    <t>Schedule 2.08</t>
  </si>
  <si>
    <t>Schedule 2.09</t>
  </si>
  <si>
    <t>Schedule 2.10</t>
  </si>
  <si>
    <t>Schedule 2.11</t>
  </si>
  <si>
    <t>Schedule 2.12</t>
  </si>
  <si>
    <t>Schedule 2.13</t>
  </si>
  <si>
    <t>Schedule 2.14</t>
  </si>
  <si>
    <t>Schedule 2.15</t>
  </si>
  <si>
    <t>Schedule 2.16</t>
  </si>
  <si>
    <t>Current On-Going Audit Fees</t>
  </si>
  <si>
    <t>Interest on cushion of credit</t>
  </si>
  <si>
    <t>(Estimated at  0.05%)</t>
  </si>
  <si>
    <t>OPERATING REPORT - R.U.S. FORM 7</t>
  </si>
  <si>
    <t>April 2019- March 2020</t>
  </si>
  <si>
    <t>April 2019-March 2020</t>
  </si>
  <si>
    <t>Adjusted</t>
  </si>
  <si>
    <t>Operating Revenue &amp; Patronage Capital</t>
  </si>
  <si>
    <t>Cost of Purchased Power</t>
  </si>
  <si>
    <t>Depreciation/ Amortization Expense</t>
  </si>
  <si>
    <t>Schedule 2.02</t>
  </si>
  <si>
    <t>Schedule 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</si>
</sst>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"/>
    <numFmt numFmtId="167" formatCode="0.00_);\(0.00\)"/>
    <numFmt numFmtId="168" formatCode="[$-409]mmmm\-yy;@"/>
    <numFmt numFmtId="169" formatCode="0_);\(0\)"/>
    <numFmt numFmtId="170" formatCode="_(&quot;$&quot;* #,##0.0000_);_(&quot;$&quot;* \(#,##0.0000\);_(&quot;$&quot;* &quot;-&quot;??_);_(@_)"/>
    <numFmt numFmtId="171" formatCode="_(* #,##0.000000000_);_(* \(#,##0.000000000\);_(* &quot;-&quot;_);_(@_)"/>
    <numFmt numFmtId="172" formatCode="0.000%"/>
    <numFmt numFmtId="173" formatCode="[$-F800]dddd\,\ mmmm\ dd\,\ yyyy"/>
    <numFmt numFmtId="174" formatCode="[$-409]d\-mmm;@"/>
    <numFmt numFmtId="175" formatCode="&quot;$&quot;#,##0"/>
    <numFmt numFmtId="17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7" fontId="14" fillId="0" borderId="0"/>
    <xf numFmtId="43" fontId="13" fillId="0" borderId="0" applyFont="0" applyFill="0" applyBorder="0" applyAlignment="0" applyProtection="0"/>
    <xf numFmtId="168" fontId="4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1" fontId="18" fillId="0" borderId="0"/>
    <xf numFmtId="43" fontId="4" fillId="0" borderId="0" applyFont="0" applyFill="0" applyBorder="0" applyAlignment="0" applyProtection="0"/>
    <xf numFmtId="0" fontId="4" fillId="0" borderId="0"/>
  </cellStyleXfs>
  <cellXfs count="16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5" fontId="3" fillId="0" borderId="0" xfId="0" applyNumberFormat="1" applyFont="1" applyBorder="1" applyProtection="1">
      <protection locked="0"/>
    </xf>
    <xf numFmtId="5" fontId="3" fillId="0" borderId="1" xfId="0" applyNumberFormat="1" applyFont="1" applyBorder="1"/>
    <xf numFmtId="10" fontId="5" fillId="0" borderId="1" xfId="3" applyNumberFormat="1" applyFont="1" applyFill="1" applyBorder="1"/>
    <xf numFmtId="5" fontId="3" fillId="0" borderId="2" xfId="0" applyNumberFormat="1" applyFont="1" applyBorder="1"/>
    <xf numFmtId="5" fontId="3" fillId="0" borderId="0" xfId="0" applyNumberFormat="1" applyFont="1" applyBorder="1"/>
    <xf numFmtId="5" fontId="3" fillId="0" borderId="3" xfId="0" applyNumberFormat="1" applyFont="1" applyBorder="1" applyProtection="1">
      <protection locked="0"/>
    </xf>
    <xf numFmtId="0" fontId="4" fillId="0" borderId="0" xfId="0" applyFont="1" applyBorder="1"/>
    <xf numFmtId="0" fontId="0" fillId="0" borderId="0" xfId="0" applyBorder="1"/>
    <xf numFmtId="0" fontId="2" fillId="0" borderId="0" xfId="0" applyFont="1" applyAlignment="1">
      <alignment horizontal="right"/>
    </xf>
    <xf numFmtId="0" fontId="6" fillId="0" borderId="0" xfId="0" applyFont="1"/>
    <xf numFmtId="5" fontId="6" fillId="0" borderId="0" xfId="0" applyNumberFormat="1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2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7" fillId="0" borderId="0" xfId="0" applyFont="1"/>
    <xf numFmtId="0" fontId="6" fillId="0" borderId="0" xfId="0" applyFont="1" applyAlignment="1"/>
    <xf numFmtId="164" fontId="0" fillId="0" borderId="2" xfId="0" applyNumberFormat="1" applyBorder="1"/>
    <xf numFmtId="10" fontId="0" fillId="0" borderId="0" xfId="3" applyNumberFormat="1" applyFont="1"/>
    <xf numFmtId="44" fontId="6" fillId="0" borderId="0" xfId="0" applyNumberFormat="1" applyFont="1"/>
    <xf numFmtId="165" fontId="0" fillId="0" borderId="0" xfId="1" applyNumberFormat="1" applyFont="1"/>
    <xf numFmtId="164" fontId="6" fillId="0" borderId="2" xfId="2" applyNumberFormat="1" applyFont="1" applyBorder="1"/>
    <xf numFmtId="10" fontId="6" fillId="0" borderId="0" xfId="3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5" fontId="12" fillId="0" borderId="0" xfId="0" applyNumberFormat="1" applyFont="1" applyBorder="1" applyProtection="1">
      <protection locked="0"/>
    </xf>
    <xf numFmtId="0" fontId="8" fillId="0" borderId="0" xfId="0" applyFont="1" applyAlignment="1">
      <alignment horizontal="center"/>
    </xf>
    <xf numFmtId="0" fontId="13" fillId="0" borderId="0" xfId="4"/>
    <xf numFmtId="166" fontId="15" fillId="0" borderId="0" xfId="5" quotePrefix="1" applyNumberFormat="1" applyFont="1" applyAlignment="1" applyProtection="1">
      <alignment horizontal="center"/>
    </xf>
    <xf numFmtId="5" fontId="6" fillId="0" borderId="0" xfId="2" applyNumberFormat="1" applyFont="1"/>
    <xf numFmtId="5" fontId="3" fillId="0" borderId="0" xfId="0" applyNumberFormat="1" applyFont="1" applyFill="1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3" xfId="2" applyNumberFormat="1" applyFont="1" applyBorder="1"/>
    <xf numFmtId="0" fontId="6" fillId="0" borderId="0" xfId="0" applyFont="1" applyFill="1"/>
    <xf numFmtId="43" fontId="0" fillId="0" borderId="0" xfId="1" applyFont="1"/>
    <xf numFmtId="43" fontId="0" fillId="0" borderId="3" xfId="1" applyFont="1" applyBorder="1"/>
    <xf numFmtId="43" fontId="0" fillId="0" borderId="0" xfId="1" applyFont="1" applyBorder="1"/>
    <xf numFmtId="0" fontId="8" fillId="0" borderId="0" xfId="0" applyFont="1"/>
    <xf numFmtId="0" fontId="8" fillId="0" borderId="0" xfId="0" applyFont="1" applyBorder="1"/>
    <xf numFmtId="43" fontId="0" fillId="0" borderId="0" xfId="0" applyNumberFormat="1"/>
    <xf numFmtId="43" fontId="0" fillId="0" borderId="3" xfId="0" applyNumberFormat="1" applyBorder="1"/>
    <xf numFmtId="43" fontId="6" fillId="0" borderId="0" xfId="1" applyFont="1"/>
    <xf numFmtId="6" fontId="0" fillId="0" borderId="0" xfId="0" applyNumberFormat="1"/>
    <xf numFmtId="10" fontId="0" fillId="0" borderId="0" xfId="0" applyNumberFormat="1"/>
    <xf numFmtId="44" fontId="0" fillId="0" borderId="3" xfId="2" applyFont="1" applyBorder="1"/>
    <xf numFmtId="44" fontId="0" fillId="0" borderId="0" xfId="2" applyFont="1"/>
    <xf numFmtId="44" fontId="0" fillId="0" borderId="5" xfId="0" applyNumberForma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/>
    <xf numFmtId="44" fontId="0" fillId="0" borderId="0" xfId="2" applyNumberFormat="1" applyFont="1" applyBorder="1"/>
    <xf numFmtId="44" fontId="0" fillId="0" borderId="0" xfId="0" applyNumberFormat="1"/>
    <xf numFmtId="44" fontId="0" fillId="0" borderId="0" xfId="1" applyNumberFormat="1" applyFont="1"/>
    <xf numFmtId="44" fontId="0" fillId="0" borderId="2" xfId="0" applyNumberFormat="1" applyBorder="1"/>
    <xf numFmtId="164" fontId="0" fillId="0" borderId="0" xfId="2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0" fontId="6" fillId="0" borderId="0" xfId="0" applyFont="1" applyAlignment="1">
      <alignment horizontal="center"/>
    </xf>
    <xf numFmtId="43" fontId="0" fillId="0" borderId="3" xfId="1" applyNumberFormat="1" applyFont="1" applyBorder="1"/>
    <xf numFmtId="164" fontId="0" fillId="0" borderId="3" xfId="0" applyNumberFormat="1" applyBorder="1"/>
    <xf numFmtId="5" fontId="0" fillId="0" borderId="0" xfId="0" applyNumberFormat="1"/>
    <xf numFmtId="44" fontId="0" fillId="0" borderId="3" xfId="0" applyNumberFormat="1" applyBorder="1"/>
    <xf numFmtId="44" fontId="3" fillId="0" borderId="0" xfId="0" applyNumberFormat="1" applyFont="1" applyFill="1" applyBorder="1" applyProtection="1">
      <protection locked="0"/>
    </xf>
    <xf numFmtId="168" fontId="16" fillId="0" borderId="0" xfId="7" applyFont="1"/>
    <xf numFmtId="169" fontId="16" fillId="0" borderId="0" xfId="7" applyNumberFormat="1" applyFont="1" applyAlignment="1">
      <alignment horizontal="center"/>
    </xf>
    <xf numFmtId="168" fontId="16" fillId="0" borderId="6" xfId="7" applyFont="1" applyBorder="1"/>
    <xf numFmtId="168" fontId="16" fillId="0" borderId="6" xfId="7" quotePrefix="1" applyFont="1" applyFill="1" applyBorder="1" applyAlignment="1">
      <alignment horizontal="center" wrapText="1"/>
    </xf>
    <xf numFmtId="168" fontId="16" fillId="0" borderId="6" xfId="7" applyFont="1" applyFill="1" applyBorder="1" applyAlignment="1">
      <alignment horizontal="center" wrapText="1"/>
    </xf>
    <xf numFmtId="168" fontId="16" fillId="0" borderId="6" xfId="7" applyFont="1" applyBorder="1" applyAlignment="1">
      <alignment horizontal="center" wrapText="1"/>
    </xf>
    <xf numFmtId="168" fontId="16" fillId="0" borderId="0" xfId="7" applyFont="1" applyBorder="1"/>
    <xf numFmtId="168" fontId="16" fillId="0" borderId="0" xfId="7" quotePrefix="1" applyFont="1" applyBorder="1" applyAlignment="1">
      <alignment horizontal="center" wrapText="1"/>
    </xf>
    <xf numFmtId="168" fontId="17" fillId="0" borderId="0" xfId="7" applyFont="1" applyAlignment="1">
      <alignment horizontal="center"/>
    </xf>
    <xf numFmtId="1" fontId="16" fillId="0" borderId="0" xfId="7" applyNumberFormat="1" applyFont="1"/>
    <xf numFmtId="165" fontId="16" fillId="0" borderId="0" xfId="8" applyNumberFormat="1" applyFont="1"/>
    <xf numFmtId="164" fontId="16" fillId="0" borderId="0" xfId="9" applyNumberFormat="1" applyFont="1"/>
    <xf numFmtId="170" fontId="16" fillId="0" borderId="0" xfId="9" applyNumberFormat="1" applyFont="1"/>
    <xf numFmtId="37" fontId="16" fillId="0" borderId="0" xfId="7" applyNumberFormat="1" applyFont="1" applyBorder="1"/>
    <xf numFmtId="165" fontId="16" fillId="0" borderId="0" xfId="7" applyNumberFormat="1" applyFont="1"/>
    <xf numFmtId="43" fontId="16" fillId="0" borderId="0" xfId="8" applyFont="1"/>
    <xf numFmtId="168" fontId="16" fillId="0" borderId="0" xfId="7" quotePrefix="1" applyFont="1" applyAlignment="1">
      <alignment horizontal="left"/>
    </xf>
    <xf numFmtId="1" fontId="16" fillId="0" borderId="0" xfId="7" quotePrefix="1" applyNumberFormat="1" applyFont="1" applyAlignment="1">
      <alignment horizontal="right"/>
    </xf>
    <xf numFmtId="1" fontId="16" fillId="0" borderId="0" xfId="7" quotePrefix="1" applyNumberFormat="1" applyFont="1" applyAlignment="1">
      <alignment horizontal="left"/>
    </xf>
    <xf numFmtId="165" fontId="16" fillId="0" borderId="3" xfId="8" applyNumberFormat="1" applyFont="1" applyBorder="1"/>
    <xf numFmtId="170" fontId="16" fillId="0" borderId="3" xfId="9" applyNumberFormat="1" applyFont="1" applyBorder="1"/>
    <xf numFmtId="165" fontId="16" fillId="0" borderId="0" xfId="8" applyNumberFormat="1" applyFont="1" applyFill="1"/>
    <xf numFmtId="165" fontId="19" fillId="0" borderId="0" xfId="8" applyNumberFormat="1" applyFont="1"/>
    <xf numFmtId="41" fontId="16" fillId="0" borderId="0" xfId="10" applyFont="1"/>
    <xf numFmtId="41" fontId="16" fillId="0" borderId="0" xfId="10" quotePrefix="1" applyFont="1" applyAlignment="1">
      <alignment horizontal="right"/>
    </xf>
    <xf numFmtId="171" fontId="16" fillId="0" borderId="0" xfId="10" applyNumberFormat="1" applyFont="1"/>
    <xf numFmtId="41" fontId="16" fillId="0" borderId="0" xfId="10" applyFont="1" applyAlignment="1">
      <alignment horizontal="center"/>
    </xf>
    <xf numFmtId="41" fontId="16" fillId="0" borderId="0" xfId="10" applyFont="1" applyBorder="1"/>
    <xf numFmtId="164" fontId="16" fillId="0" borderId="4" xfId="9" applyNumberFormat="1" applyFont="1" applyBorder="1"/>
    <xf numFmtId="44" fontId="16" fillId="0" borderId="0" xfId="9" applyFont="1" applyBorder="1"/>
    <xf numFmtId="41" fontId="20" fillId="0" borderId="0" xfId="10" quotePrefix="1" applyFont="1" applyAlignment="1">
      <alignment horizontal="left"/>
    </xf>
    <xf numFmtId="41" fontId="16" fillId="0" borderId="0" xfId="10" applyFont="1" applyFill="1"/>
    <xf numFmtId="41" fontId="16" fillId="0" borderId="0" xfId="10" quotePrefix="1" applyFont="1" applyFill="1" applyAlignment="1">
      <alignment horizontal="left"/>
    </xf>
    <xf numFmtId="41" fontId="20" fillId="0" borderId="0" xfId="10" applyFont="1" applyFill="1" applyAlignment="1">
      <alignment horizontal="left"/>
    </xf>
    <xf numFmtId="41" fontId="20" fillId="0" borderId="0" xfId="10" applyFont="1" applyFill="1"/>
    <xf numFmtId="41" fontId="16" fillId="0" borderId="3" xfId="10" applyFont="1" applyFill="1" applyBorder="1"/>
    <xf numFmtId="41" fontId="16" fillId="0" borderId="0" xfId="10" applyFont="1" applyAlignment="1">
      <alignment horizontal="right"/>
    </xf>
    <xf numFmtId="10" fontId="16" fillId="0" borderId="7" xfId="3" applyNumberFormat="1" applyFont="1" applyBorder="1"/>
    <xf numFmtId="168" fontId="20" fillId="0" borderId="0" xfId="7" applyFont="1"/>
    <xf numFmtId="0" fontId="2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2" fontId="0" fillId="0" borderId="0" xfId="3" applyNumberFormat="1" applyFont="1"/>
    <xf numFmtId="173" fontId="0" fillId="0" borderId="0" xfId="0" quotePrefix="1" applyNumberFormat="1" applyAlignment="1">
      <alignment horizontal="right"/>
    </xf>
    <xf numFmtId="164" fontId="2" fillId="0" borderId="8" xfId="0" applyNumberFormat="1" applyFont="1" applyBorder="1"/>
    <xf numFmtId="0" fontId="2" fillId="0" borderId="0" xfId="0" applyFont="1" applyBorder="1" applyAlignment="1">
      <alignment horizontal="center"/>
    </xf>
    <xf numFmtId="174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/>
    <xf numFmtId="0" fontId="11" fillId="0" borderId="0" xfId="0" applyFont="1" applyAlignment="1">
      <alignment horizontal="right"/>
    </xf>
    <xf numFmtId="0" fontId="4" fillId="0" borderId="0" xfId="4" applyFont="1"/>
    <xf numFmtId="166" fontId="4" fillId="0" borderId="0" xfId="4" applyNumberFormat="1" applyFont="1" applyAlignment="1"/>
    <xf numFmtId="166" fontId="13" fillId="0" borderId="0" xfId="4" applyNumberFormat="1" applyAlignment="1"/>
    <xf numFmtId="0" fontId="24" fillId="0" borderId="0" xfId="4" applyFont="1"/>
    <xf numFmtId="0" fontId="4" fillId="0" borderId="0" xfId="4" applyFont="1" applyAlignment="1">
      <alignment horizontal="right"/>
    </xf>
    <xf numFmtId="0" fontId="24" fillId="0" borderId="0" xfId="4" applyFont="1" applyAlignment="1">
      <alignment horizontal="right"/>
    </xf>
    <xf numFmtId="0" fontId="8" fillId="0" borderId="0" xfId="0" applyFont="1" applyAlignment="1"/>
    <xf numFmtId="175" fontId="6" fillId="0" borderId="0" xfId="2" applyNumberFormat="1" applyFont="1"/>
    <xf numFmtId="175" fontId="6" fillId="0" borderId="0" xfId="0" applyNumberFormat="1" applyFont="1"/>
    <xf numFmtId="175" fontId="6" fillId="0" borderId="0" xfId="1" applyNumberFormat="1" applyFont="1"/>
    <xf numFmtId="5" fontId="6" fillId="0" borderId="0" xfId="1" applyNumberFormat="1" applyFont="1"/>
    <xf numFmtId="176" fontId="6" fillId="0" borderId="0" xfId="0" applyNumberFormat="1" applyFont="1" applyAlignment="1">
      <alignment horizontal="center"/>
    </xf>
    <xf numFmtId="5" fontId="3" fillId="0" borderId="4" xfId="0" applyNumberFormat="1" applyFont="1" applyBorder="1"/>
    <xf numFmtId="0" fontId="4" fillId="0" borderId="0" xfId="12"/>
    <xf numFmtId="0" fontId="24" fillId="0" borderId="0" xfId="12" applyFont="1"/>
    <xf numFmtId="166" fontId="4" fillId="0" borderId="0" xfId="12" applyNumberFormat="1" applyAlignment="1"/>
    <xf numFmtId="166" fontId="4" fillId="0" borderId="0" xfId="12" applyNumberFormat="1" applyFont="1" applyAlignment="1"/>
    <xf numFmtId="166" fontId="4" fillId="0" borderId="0" xfId="12" applyNumberFormat="1"/>
    <xf numFmtId="166" fontId="4" fillId="0" borderId="0" xfId="5" applyNumberFormat="1" applyFont="1" applyBorder="1" applyAlignment="1" applyProtection="1">
      <alignment horizontal="center"/>
    </xf>
    <xf numFmtId="0" fontId="4" fillId="0" borderId="0" xfId="12" applyFont="1" applyAlignment="1">
      <alignment horizontal="center"/>
    </xf>
    <xf numFmtId="0" fontId="4" fillId="0" borderId="3" xfId="12" applyFont="1" applyBorder="1" applyAlignment="1">
      <alignment horizontal="center"/>
    </xf>
    <xf numFmtId="166" fontId="4" fillId="0" borderId="0" xfId="12" applyNumberFormat="1" applyAlignment="1">
      <alignment horizontal="left"/>
    </xf>
    <xf numFmtId="166" fontId="4" fillId="0" borderId="0" xfId="12" applyNumberFormat="1" applyFont="1"/>
    <xf numFmtId="5" fontId="4" fillId="0" borderId="0" xfId="5" applyNumberFormat="1" applyFont="1" applyProtection="1"/>
    <xf numFmtId="5" fontId="4" fillId="0" borderId="0" xfId="12" applyNumberFormat="1"/>
    <xf numFmtId="5" fontId="4" fillId="0" borderId="0" xfId="1" applyNumberFormat="1" applyFont="1" applyProtection="1"/>
    <xf numFmtId="43" fontId="4" fillId="0" borderId="0" xfId="1" applyFont="1"/>
    <xf numFmtId="5" fontId="4" fillId="0" borderId="3" xfId="1" applyNumberFormat="1" applyFont="1" applyBorder="1" applyProtection="1"/>
    <xf numFmtId="43" fontId="4" fillId="0" borderId="3" xfId="1" applyFont="1" applyBorder="1"/>
    <xf numFmtId="5" fontId="4" fillId="0" borderId="3" xfId="12" applyNumberFormat="1" applyBorder="1"/>
    <xf numFmtId="5" fontId="4" fillId="0" borderId="0" xfId="1" applyNumberFormat="1" applyFont="1" applyBorder="1" applyProtection="1"/>
    <xf numFmtId="5" fontId="4" fillId="0" borderId="1" xfId="12" applyNumberFormat="1" applyBorder="1"/>
    <xf numFmtId="7" fontId="4" fillId="0" borderId="0" xfId="1" applyNumberFormat="1" applyFont="1" applyBorder="1" applyProtection="1"/>
    <xf numFmtId="3" fontId="4" fillId="0" borderId="0" xfId="1" applyNumberFormat="1" applyFont="1" applyBorder="1"/>
    <xf numFmtId="7" fontId="4" fillId="0" borderId="0" xfId="12" applyNumberFormat="1" applyBorder="1"/>
    <xf numFmtId="5" fontId="0" fillId="0" borderId="0" xfId="11" applyNumberFormat="1" applyFont="1"/>
    <xf numFmtId="5" fontId="4" fillId="0" borderId="1" xfId="5" applyNumberFormat="1" applyFont="1" applyBorder="1" applyAlignment="1" applyProtection="1">
      <alignment horizontal="right"/>
    </xf>
    <xf numFmtId="5" fontId="4" fillId="0" borderId="0" xfId="5" applyNumberFormat="1" applyFont="1" applyAlignment="1" applyProtection="1">
      <alignment horizontal="right"/>
    </xf>
    <xf numFmtId="5" fontId="4" fillId="0" borderId="3" xfId="5" applyNumberFormat="1" applyFont="1" applyBorder="1" applyProtection="1"/>
    <xf numFmtId="43" fontId="4" fillId="0" borderId="3" xfId="1" applyFont="1" applyBorder="1" applyProtection="1"/>
    <xf numFmtId="0" fontId="4" fillId="0" borderId="0" xfId="5" applyNumberFormat="1" applyFont="1" applyBorder="1" applyAlignment="1" applyProtection="1">
      <alignment horizontal="right"/>
    </xf>
    <xf numFmtId="3" fontId="4" fillId="0" borderId="0" xfId="12" applyNumberFormat="1"/>
    <xf numFmtId="5" fontId="4" fillId="0" borderId="4" xfId="5" applyNumberFormat="1" applyFont="1" applyBorder="1" applyProtection="1"/>
    <xf numFmtId="165" fontId="4" fillId="0" borderId="0" xfId="1" applyNumberFormat="1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3">
    <cellStyle name="Comma" xfId="1" builtinId="3"/>
    <cellStyle name="Comma 2" xfId="6" xr:uid="{00000000-0005-0000-0000-000001000000}"/>
    <cellStyle name="Comma 2 2" xfId="11" xr:uid="{00000000-0005-0000-0000-000002000000}"/>
    <cellStyle name="Comma 3" xfId="8" xr:uid="{00000000-0005-0000-0000-000003000000}"/>
    <cellStyle name="Currency" xfId="2" builtinId="4"/>
    <cellStyle name="Currency 2" xfId="9" xr:uid="{00000000-0005-0000-0000-000005000000}"/>
    <cellStyle name="Normal" xfId="0" builtinId="0"/>
    <cellStyle name="Normal 2" xfId="4" xr:uid="{00000000-0005-0000-0000-000007000000}"/>
    <cellStyle name="Normal 2 2" xfId="12" xr:uid="{00000000-0005-0000-0000-000008000000}"/>
    <cellStyle name="Normal_F712MR99" xfId="5" xr:uid="{00000000-0005-0000-0000-000009000000}"/>
    <cellStyle name="Normal_KUBillingDeterminants20080331WorkingCopy" xfId="10" xr:uid="{00000000-0005-0000-0000-00000A000000}"/>
    <cellStyle name="Normal_LGE Filed Test Period Billing Exhibits - SBR Summary" xfId="7" xr:uid="{00000000-0005-0000-0000-00000B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workbookViewId="0">
      <selection activeCell="F42" sqref="F42"/>
    </sheetView>
  </sheetViews>
  <sheetFormatPr defaultColWidth="9.109375" defaultRowHeight="13.2" x14ac:dyDescent="0.25"/>
  <cols>
    <col min="1" max="1" width="3.5546875" style="33" customWidth="1"/>
    <col min="2" max="2" width="40.5546875" style="33" customWidth="1"/>
    <col min="3" max="3" width="20.5546875" style="33" customWidth="1"/>
    <col min="4" max="4" width="15" style="33" bestFit="1" customWidth="1"/>
    <col min="5" max="5" width="18.33203125" style="33" customWidth="1"/>
    <col min="6" max="16384" width="9.109375" style="33"/>
  </cols>
  <sheetData>
    <row r="1" spans="1:8" x14ac:dyDescent="0.25">
      <c r="H1" s="127" t="s">
        <v>270</v>
      </c>
    </row>
    <row r="2" spans="1:8" x14ac:dyDescent="0.25">
      <c r="H2" s="126" t="s">
        <v>271</v>
      </c>
    </row>
    <row r="3" spans="1:8" x14ac:dyDescent="0.25">
      <c r="B3" s="124"/>
      <c r="H3" s="126" t="s">
        <v>272</v>
      </c>
    </row>
    <row r="4" spans="1:8" x14ac:dyDescent="0.25">
      <c r="A4" s="135"/>
      <c r="B4" s="136" t="s">
        <v>273</v>
      </c>
      <c r="C4" s="135"/>
      <c r="D4" s="135"/>
      <c r="E4" s="135"/>
      <c r="G4" s="122"/>
    </row>
    <row r="5" spans="1:8" x14ac:dyDescent="0.25">
      <c r="A5" s="135"/>
      <c r="B5" s="137" t="s">
        <v>295</v>
      </c>
      <c r="C5" s="135"/>
      <c r="D5" s="135"/>
      <c r="E5" s="135"/>
      <c r="G5" s="122"/>
    </row>
    <row r="6" spans="1:8" x14ac:dyDescent="0.25">
      <c r="A6" s="135"/>
      <c r="B6" s="138" t="s">
        <v>107</v>
      </c>
      <c r="C6" s="135"/>
      <c r="D6" s="135"/>
      <c r="E6" s="135"/>
    </row>
    <row r="7" spans="1:8" x14ac:dyDescent="0.25">
      <c r="A7" s="139"/>
      <c r="B7" s="139"/>
      <c r="C7" s="140" t="s">
        <v>296</v>
      </c>
      <c r="D7" s="135"/>
      <c r="E7" s="141" t="s">
        <v>297</v>
      </c>
    </row>
    <row r="8" spans="1:8" x14ac:dyDescent="0.25">
      <c r="A8" s="139"/>
      <c r="B8" s="139" t="s">
        <v>108</v>
      </c>
      <c r="C8" s="141" t="s">
        <v>18</v>
      </c>
      <c r="D8" s="135"/>
      <c r="E8" s="141" t="s">
        <v>18</v>
      </c>
    </row>
    <row r="9" spans="1:8" x14ac:dyDescent="0.25">
      <c r="A9" s="139"/>
      <c r="B9" s="139"/>
      <c r="C9" s="142" t="s">
        <v>19</v>
      </c>
      <c r="D9" s="142" t="s">
        <v>109</v>
      </c>
      <c r="E9" s="142" t="s">
        <v>298</v>
      </c>
    </row>
    <row r="10" spans="1:8" x14ac:dyDescent="0.25">
      <c r="A10" s="139"/>
      <c r="B10" s="139"/>
      <c r="C10" s="34"/>
      <c r="D10" s="135"/>
      <c r="E10" s="135"/>
    </row>
    <row r="11" spans="1:8" x14ac:dyDescent="0.25">
      <c r="A11" s="143">
        <v>1</v>
      </c>
      <c r="B11" s="144" t="s">
        <v>299</v>
      </c>
      <c r="C11" s="145">
        <f>90567116.06+31775903.07</f>
        <v>122343019.13</v>
      </c>
      <c r="D11" s="146">
        <v>533835</v>
      </c>
      <c r="E11" s="146">
        <f>C11+D11</f>
        <v>122876854.13</v>
      </c>
    </row>
    <row r="12" spans="1:8" x14ac:dyDescent="0.25">
      <c r="A12" s="143">
        <v>2</v>
      </c>
      <c r="B12" s="144" t="s">
        <v>260</v>
      </c>
      <c r="C12" s="147">
        <v>-12128322</v>
      </c>
      <c r="D12" s="148">
        <v>0</v>
      </c>
      <c r="E12" s="146">
        <f t="shared" ref="E12:E13" si="0">C12+D12</f>
        <v>-12128322</v>
      </c>
    </row>
    <row r="13" spans="1:8" x14ac:dyDescent="0.25">
      <c r="A13" s="143">
        <v>3</v>
      </c>
      <c r="B13" s="144" t="s">
        <v>261</v>
      </c>
      <c r="C13" s="149">
        <v>-443401</v>
      </c>
      <c r="D13" s="150">
        <v>0</v>
      </c>
      <c r="E13" s="151">
        <f t="shared" si="0"/>
        <v>-443401</v>
      </c>
    </row>
    <row r="14" spans="1:8" x14ac:dyDescent="0.25">
      <c r="A14" s="143">
        <v>4</v>
      </c>
      <c r="B14" s="144" t="s">
        <v>262</v>
      </c>
      <c r="C14" s="152">
        <f>SUM(C11:C13)</f>
        <v>109771296.13</v>
      </c>
      <c r="D14" s="152">
        <f>SUM(D11:D13)</f>
        <v>533835</v>
      </c>
      <c r="E14" s="153">
        <f>SUM(E11:E13)</f>
        <v>110305131.13</v>
      </c>
    </row>
    <row r="15" spans="1:8" x14ac:dyDescent="0.25">
      <c r="A15" s="143"/>
      <c r="B15" s="144"/>
      <c r="C15" s="154"/>
      <c r="D15" s="155"/>
      <c r="E15" s="156"/>
    </row>
    <row r="16" spans="1:8" x14ac:dyDescent="0.25">
      <c r="A16" s="143">
        <v>5</v>
      </c>
      <c r="B16" s="144" t="s">
        <v>300</v>
      </c>
      <c r="C16" s="145">
        <f>64302004+22516663+C12+C13</f>
        <v>74246944</v>
      </c>
      <c r="D16" s="148">
        <v>0</v>
      </c>
      <c r="E16" s="146">
        <f t="shared" ref="E16:E22" si="1">C16+D16</f>
        <v>74246944</v>
      </c>
    </row>
    <row r="17" spans="1:5" x14ac:dyDescent="0.25">
      <c r="A17" s="143">
        <v>6</v>
      </c>
      <c r="B17" s="139" t="s">
        <v>110</v>
      </c>
      <c r="C17" s="145">
        <f>3070131.2+1189341.78</f>
        <v>4259472.9800000004</v>
      </c>
      <c r="D17" s="146">
        <f>41732-8100</f>
        <v>33632</v>
      </c>
      <c r="E17" s="146">
        <f t="shared" si="1"/>
        <v>4293104.9800000004</v>
      </c>
    </row>
    <row r="18" spans="1:5" x14ac:dyDescent="0.25">
      <c r="A18" s="143">
        <v>7</v>
      </c>
      <c r="B18" s="139" t="s">
        <v>111</v>
      </c>
      <c r="C18" s="145">
        <f>6465231.26+1945115.26</f>
        <v>8410346.5199999996</v>
      </c>
      <c r="D18" s="146">
        <f>125196-24300+451946</f>
        <v>552842</v>
      </c>
      <c r="E18" s="146">
        <f t="shared" si="1"/>
        <v>8963188.5199999996</v>
      </c>
    </row>
    <row r="19" spans="1:5" ht="14.4" x14ac:dyDescent="0.3">
      <c r="A19" s="143">
        <v>8</v>
      </c>
      <c r="B19" s="139" t="s">
        <v>5</v>
      </c>
      <c r="C19" s="145">
        <f>2888574.93-468827.46</f>
        <v>2419747.4700000002</v>
      </c>
      <c r="D19" s="157">
        <f>20866+1427442+100906-4050</f>
        <v>1545164</v>
      </c>
      <c r="E19" s="146">
        <f t="shared" si="1"/>
        <v>3964911.47</v>
      </c>
    </row>
    <row r="20" spans="1:5" x14ac:dyDescent="0.25">
      <c r="A20" s="143">
        <v>9</v>
      </c>
      <c r="B20" s="139" t="s">
        <v>112</v>
      </c>
      <c r="C20" s="145">
        <f>518561.4+171047.8</f>
        <v>689609.2</v>
      </c>
      <c r="D20" s="148">
        <v>0</v>
      </c>
      <c r="E20" s="146">
        <f t="shared" si="1"/>
        <v>689609.2</v>
      </c>
    </row>
    <row r="21" spans="1:5" x14ac:dyDescent="0.25">
      <c r="A21" s="143">
        <v>10</v>
      </c>
      <c r="B21" s="139" t="s">
        <v>7</v>
      </c>
      <c r="C21" s="145">
        <f>2190.12+10113.61</f>
        <v>12303.73</v>
      </c>
      <c r="D21" s="148">
        <v>0</v>
      </c>
      <c r="E21" s="146">
        <f t="shared" si="1"/>
        <v>12303.73</v>
      </c>
    </row>
    <row r="22" spans="1:5" x14ac:dyDescent="0.25">
      <c r="A22" s="143">
        <v>11</v>
      </c>
      <c r="B22" s="139" t="s">
        <v>8</v>
      </c>
      <c r="C22" s="145">
        <f>2983474.66+1099785.09</f>
        <v>4083259.75</v>
      </c>
      <c r="D22" s="151">
        <f>34667+20866+45000+13290+62000-186211-4050-24586</f>
        <v>-39024</v>
      </c>
      <c r="E22" s="151">
        <f t="shared" si="1"/>
        <v>4044235.75</v>
      </c>
    </row>
    <row r="23" spans="1:5" x14ac:dyDescent="0.25">
      <c r="A23" s="139"/>
      <c r="B23" s="139"/>
      <c r="C23" s="158"/>
      <c r="D23" s="146"/>
      <c r="E23" s="146"/>
    </row>
    <row r="24" spans="1:5" x14ac:dyDescent="0.25">
      <c r="A24" s="139"/>
      <c r="B24" s="139"/>
      <c r="C24" s="159"/>
      <c r="D24" s="146"/>
      <c r="E24" s="146"/>
    </row>
    <row r="25" spans="1:5" x14ac:dyDescent="0.25">
      <c r="A25" s="143">
        <v>12</v>
      </c>
      <c r="B25" s="139" t="s">
        <v>113</v>
      </c>
      <c r="C25" s="160">
        <f>SUM(C16:C22)</f>
        <v>94121683.650000006</v>
      </c>
      <c r="D25" s="160">
        <f>SUM(D16:D22)</f>
        <v>2092614</v>
      </c>
      <c r="E25" s="160">
        <f>SUM(E16:E22)</f>
        <v>96214297.650000006</v>
      </c>
    </row>
    <row r="26" spans="1:5" x14ac:dyDescent="0.25">
      <c r="A26" s="139"/>
      <c r="B26" s="139"/>
      <c r="C26" s="159"/>
      <c r="D26" s="146"/>
      <c r="E26" s="146"/>
    </row>
    <row r="27" spans="1:5" x14ac:dyDescent="0.25">
      <c r="A27" s="139"/>
      <c r="B27" s="139"/>
      <c r="C27" s="159"/>
      <c r="D27" s="146"/>
      <c r="E27" s="146"/>
    </row>
    <row r="28" spans="1:5" x14ac:dyDescent="0.25">
      <c r="A28" s="139">
        <v>13</v>
      </c>
      <c r="B28" s="144" t="s">
        <v>301</v>
      </c>
      <c r="C28" s="145">
        <f>6781468.14+2296746.25</f>
        <v>9078214.3900000006</v>
      </c>
      <c r="D28" s="146">
        <v>522000</v>
      </c>
      <c r="E28" s="146">
        <f>C28+D28</f>
        <v>9600214.3900000006</v>
      </c>
    </row>
    <row r="29" spans="1:5" x14ac:dyDescent="0.25">
      <c r="A29" s="139">
        <v>14</v>
      </c>
      <c r="B29" s="139" t="s">
        <v>114</v>
      </c>
      <c r="C29" s="145">
        <f>124223.58+43500</f>
        <v>167723.58000000002</v>
      </c>
      <c r="D29" s="146">
        <v>17370.84</v>
      </c>
      <c r="E29" s="146">
        <f t="shared" ref="E29:E33" si="2">C29+D29</f>
        <v>185094.42</v>
      </c>
    </row>
    <row r="30" spans="1:5" x14ac:dyDescent="0.25">
      <c r="A30" s="139">
        <v>15</v>
      </c>
      <c r="B30" s="139" t="s">
        <v>115</v>
      </c>
      <c r="C30" s="145">
        <f>181483.87+0</f>
        <v>181483.87</v>
      </c>
      <c r="D30" s="146">
        <v>-181483.87</v>
      </c>
      <c r="E30" s="148">
        <f t="shared" si="2"/>
        <v>0</v>
      </c>
    </row>
    <row r="31" spans="1:5" x14ac:dyDescent="0.25">
      <c r="A31" s="139">
        <v>16</v>
      </c>
      <c r="B31" s="139" t="s">
        <v>116</v>
      </c>
      <c r="C31" s="145">
        <f>4169007.37+1360173.82</f>
        <v>5529181.1900000004</v>
      </c>
      <c r="D31" s="146">
        <v>285099</v>
      </c>
      <c r="E31" s="146">
        <f t="shared" si="2"/>
        <v>5814280.1900000004</v>
      </c>
    </row>
    <row r="32" spans="1:5" x14ac:dyDescent="0.25">
      <c r="A32" s="139">
        <v>18</v>
      </c>
      <c r="B32" s="139" t="s">
        <v>14</v>
      </c>
      <c r="C32" s="145">
        <f>43236.31+2216.61</f>
        <v>45452.92</v>
      </c>
      <c r="D32" s="148">
        <v>0</v>
      </c>
      <c r="E32" s="146">
        <f t="shared" si="2"/>
        <v>45452.92</v>
      </c>
    </row>
    <row r="33" spans="1:5" x14ac:dyDescent="0.25">
      <c r="A33" s="139">
        <v>19</v>
      </c>
      <c r="B33" s="139" t="s">
        <v>15</v>
      </c>
      <c r="C33" s="160">
        <f>24006.5+7989.95</f>
        <v>31996.45</v>
      </c>
      <c r="D33" s="151">
        <v>-27307</v>
      </c>
      <c r="E33" s="151">
        <f t="shared" si="2"/>
        <v>4689.4500000000007</v>
      </c>
    </row>
    <row r="34" spans="1:5" x14ac:dyDescent="0.25">
      <c r="A34" s="139"/>
      <c r="B34" s="139"/>
      <c r="C34" s="159"/>
      <c r="D34" s="146"/>
      <c r="E34" s="146"/>
    </row>
    <row r="35" spans="1:5" x14ac:dyDescent="0.25">
      <c r="A35" s="139">
        <v>20</v>
      </c>
      <c r="B35" s="139" t="s">
        <v>117</v>
      </c>
      <c r="C35" s="160">
        <f>SUM(C25:C33)</f>
        <v>109155736.05000001</v>
      </c>
      <c r="D35" s="160">
        <f>SUM(D25:D33)</f>
        <v>2708292.9699999997</v>
      </c>
      <c r="E35" s="160">
        <f>SUM(E25:E33)</f>
        <v>111864029.02000001</v>
      </c>
    </row>
    <row r="36" spans="1:5" x14ac:dyDescent="0.25">
      <c r="A36" s="139"/>
      <c r="B36" s="139"/>
      <c r="C36" s="159"/>
      <c r="D36" s="146"/>
      <c r="E36" s="146"/>
    </row>
    <row r="37" spans="1:5" x14ac:dyDescent="0.25">
      <c r="A37" s="139"/>
      <c r="B37" s="139"/>
      <c r="C37" s="159"/>
      <c r="D37" s="146"/>
      <c r="E37" s="146"/>
    </row>
    <row r="38" spans="1:5" x14ac:dyDescent="0.25">
      <c r="A38" s="139">
        <v>21</v>
      </c>
      <c r="B38" s="139" t="s">
        <v>118</v>
      </c>
      <c r="C38" s="160">
        <f>+C14-C35</f>
        <v>615560.07999998331</v>
      </c>
      <c r="D38" s="160">
        <f>+D14-D35</f>
        <v>-2174457.9699999997</v>
      </c>
      <c r="E38" s="160">
        <f>+E14-E35</f>
        <v>-1558897.8900000155</v>
      </c>
    </row>
    <row r="39" spans="1:5" x14ac:dyDescent="0.25">
      <c r="A39" s="139"/>
      <c r="B39" s="139"/>
      <c r="C39" s="159"/>
      <c r="D39" s="146"/>
      <c r="E39" s="146"/>
    </row>
    <row r="40" spans="1:5" x14ac:dyDescent="0.25">
      <c r="A40" s="139"/>
      <c r="B40" s="139"/>
      <c r="C40" s="159"/>
      <c r="D40" s="146"/>
      <c r="E40" s="146"/>
    </row>
    <row r="41" spans="1:5" x14ac:dyDescent="0.25">
      <c r="A41" s="139">
        <v>22</v>
      </c>
      <c r="B41" s="139" t="s">
        <v>119</v>
      </c>
      <c r="C41" s="145">
        <f>1293406.19+390329.79</f>
        <v>1683735.98</v>
      </c>
      <c r="D41" s="165">
        <v>-1401979</v>
      </c>
      <c r="E41" s="146">
        <f>C41+D41</f>
        <v>281756.98</v>
      </c>
    </row>
    <row r="42" spans="1:5" x14ac:dyDescent="0.25">
      <c r="A42" s="139">
        <v>25</v>
      </c>
      <c r="B42" s="139" t="s">
        <v>120</v>
      </c>
      <c r="C42" s="145">
        <f>128770.87-13564.93</f>
        <v>115205.94</v>
      </c>
      <c r="D42" s="148">
        <v>0</v>
      </c>
      <c r="E42" s="146">
        <f t="shared" ref="E42:E45" si="3">C42+D42</f>
        <v>115205.94</v>
      </c>
    </row>
    <row r="43" spans="1:5" x14ac:dyDescent="0.25">
      <c r="A43" s="139">
        <v>26</v>
      </c>
      <c r="B43" s="139" t="s">
        <v>121</v>
      </c>
      <c r="C43" s="145">
        <f>-19754.35+5108607</f>
        <v>5088852.6500000004</v>
      </c>
      <c r="D43" s="148">
        <v>0</v>
      </c>
      <c r="E43" s="146">
        <f t="shared" si="3"/>
        <v>5088852.6500000004</v>
      </c>
    </row>
    <row r="44" spans="1:5" x14ac:dyDescent="0.25">
      <c r="A44" s="139">
        <v>27</v>
      </c>
      <c r="B44" s="139" t="s">
        <v>122</v>
      </c>
      <c r="C44" s="145">
        <f>59168.63+76383.62</f>
        <v>135552.25</v>
      </c>
      <c r="D44" s="148">
        <v>0</v>
      </c>
      <c r="E44" s="146">
        <f t="shared" si="3"/>
        <v>135552.25</v>
      </c>
    </row>
    <row r="45" spans="1:5" x14ac:dyDescent="0.25">
      <c r="A45" s="139">
        <v>28</v>
      </c>
      <c r="B45" s="139" t="s">
        <v>123</v>
      </c>
      <c r="C45" s="161">
        <v>0</v>
      </c>
      <c r="D45" s="150">
        <v>0</v>
      </c>
      <c r="E45" s="150">
        <f t="shared" si="3"/>
        <v>0</v>
      </c>
    </row>
    <row r="46" spans="1:5" x14ac:dyDescent="0.25">
      <c r="A46" s="139"/>
      <c r="B46" s="139"/>
      <c r="C46" s="162"/>
      <c r="D46" s="163"/>
      <c r="E46" s="135"/>
    </row>
    <row r="47" spans="1:5" ht="13.8" thickBot="1" x14ac:dyDescent="0.3">
      <c r="A47" s="139">
        <v>29</v>
      </c>
      <c r="B47" s="139" t="s">
        <v>124</v>
      </c>
      <c r="C47" s="164">
        <f>SUM(C38:C46)</f>
        <v>7638906.8999999836</v>
      </c>
      <c r="D47" s="164">
        <f>SUM(D38:D46)</f>
        <v>-3576436.9699999997</v>
      </c>
      <c r="E47" s="164">
        <f>SUM(E38:E46)</f>
        <v>4062469.9299999848</v>
      </c>
    </row>
    <row r="48" spans="1:5" ht="13.8" thickTop="1" x14ac:dyDescent="0.25"/>
  </sheetData>
  <pageMargins left="0.7" right="0.7" top="0.75" bottom="0.75" header="0.3" footer="0.3"/>
  <pageSetup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  <pageSetUpPr fitToPage="1"/>
  </sheetPr>
  <dimension ref="A1:N32"/>
  <sheetViews>
    <sheetView workbookViewId="0">
      <selection activeCell="J9" sqref="J9"/>
    </sheetView>
  </sheetViews>
  <sheetFormatPr defaultRowHeight="14.4" x14ac:dyDescent="0.3"/>
  <cols>
    <col min="1" max="1" width="10.6640625" customWidth="1"/>
    <col min="2" max="2" width="14.33203125" bestFit="1" customWidth="1"/>
    <col min="3" max="3" width="11.88671875" customWidth="1"/>
    <col min="4" max="4" width="14.44140625" customWidth="1"/>
    <col min="7" max="7" width="12.109375" customWidth="1"/>
    <col min="8" max="8" width="14.6640625" customWidth="1"/>
    <col min="9" max="9" width="14.109375" customWidth="1"/>
    <col min="10" max="10" width="20.88671875" customWidth="1"/>
  </cols>
  <sheetData>
    <row r="1" spans="1:14" x14ac:dyDescent="0.3">
      <c r="L1" s="127" t="s">
        <v>276</v>
      </c>
    </row>
    <row r="2" spans="1:14" x14ac:dyDescent="0.3">
      <c r="L2" s="126" t="s">
        <v>282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77</v>
      </c>
      <c r="B5" s="168"/>
      <c r="C5" s="168"/>
      <c r="D5" s="168"/>
      <c r="E5" s="168"/>
      <c r="F5" s="168"/>
      <c r="G5" s="168"/>
      <c r="H5" s="168"/>
      <c r="I5" s="168"/>
      <c r="J5" s="168"/>
    </row>
    <row r="7" spans="1:14" x14ac:dyDescent="0.3">
      <c r="I7" t="s">
        <v>134</v>
      </c>
      <c r="J7" s="43">
        <v>1416560.84</v>
      </c>
    </row>
    <row r="8" spans="1:14" x14ac:dyDescent="0.3">
      <c r="F8" t="s">
        <v>136</v>
      </c>
      <c r="H8" s="44">
        <v>29163812.920000002</v>
      </c>
    </row>
    <row r="9" spans="1:14" x14ac:dyDescent="0.3">
      <c r="A9" s="18">
        <v>1</v>
      </c>
      <c r="B9" t="s">
        <v>135</v>
      </c>
      <c r="J9" s="17">
        <v>-14582</v>
      </c>
      <c r="K9" s="20"/>
      <c r="L9" s="20"/>
      <c r="M9" s="20"/>
      <c r="N9" s="20"/>
    </row>
    <row r="10" spans="1:14" x14ac:dyDescent="0.3">
      <c r="A10" s="18"/>
      <c r="B10" t="s">
        <v>294</v>
      </c>
      <c r="F10" t="s">
        <v>265</v>
      </c>
    </row>
    <row r="11" spans="1:14" x14ac:dyDescent="0.3">
      <c r="A11" s="18"/>
      <c r="J11" s="19"/>
      <c r="K11" s="20"/>
    </row>
    <row r="12" spans="1:14" x14ac:dyDescent="0.3">
      <c r="A12" s="18"/>
    </row>
    <row r="13" spans="1:14" x14ac:dyDescent="0.3">
      <c r="A13" s="18"/>
      <c r="B13" t="s">
        <v>139</v>
      </c>
      <c r="J13" s="22">
        <f>SUM(J7:J12)</f>
        <v>1401978.84</v>
      </c>
    </row>
    <row r="14" spans="1:14" x14ac:dyDescent="0.3">
      <c r="A14" s="18"/>
    </row>
    <row r="15" spans="1:14" x14ac:dyDescent="0.3">
      <c r="A15" s="18"/>
    </row>
    <row r="16" spans="1:14" x14ac:dyDescent="0.3">
      <c r="A16" s="18"/>
    </row>
    <row r="17" spans="1:3" x14ac:dyDescent="0.3">
      <c r="A17" s="46" t="s">
        <v>137</v>
      </c>
      <c r="B17" s="45"/>
    </row>
    <row r="19" spans="1:3" x14ac:dyDescent="0.3">
      <c r="A19" s="32" t="s">
        <v>138</v>
      </c>
      <c r="C19" s="45" t="s">
        <v>266</v>
      </c>
    </row>
    <row r="20" spans="1:3" x14ac:dyDescent="0.3">
      <c r="A20" s="118">
        <v>43555</v>
      </c>
      <c r="B20" s="42">
        <v>30877189.09</v>
      </c>
      <c r="C20" s="42">
        <f>(27409536.24+117212.65+106319.07+114394.07) *(0.0007/12)</f>
        <v>1618.6019517499999</v>
      </c>
    </row>
    <row r="21" spans="1:3" x14ac:dyDescent="0.3">
      <c r="A21" s="118">
        <v>43616</v>
      </c>
      <c r="B21" s="47">
        <f>B20+C20</f>
        <v>30878807.691951752</v>
      </c>
      <c r="C21" s="47">
        <f t="shared" ref="C21:C31" si="0">B21*0.0007/12</f>
        <v>1801.2637820305188</v>
      </c>
    </row>
    <row r="22" spans="1:3" x14ac:dyDescent="0.3">
      <c r="A22" s="118">
        <v>43646</v>
      </c>
      <c r="B22" s="47">
        <f t="shared" ref="B22:B31" si="1">B21+C21</f>
        <v>30880608.955733784</v>
      </c>
      <c r="C22" s="47">
        <f t="shared" si="0"/>
        <v>1801.3688557511375</v>
      </c>
    </row>
    <row r="23" spans="1:3" x14ac:dyDescent="0.3">
      <c r="A23" s="118">
        <v>43677</v>
      </c>
      <c r="B23" s="47">
        <f t="shared" si="1"/>
        <v>30882410.324589536</v>
      </c>
      <c r="C23" s="47">
        <f t="shared" si="0"/>
        <v>1801.4739356010562</v>
      </c>
    </row>
    <row r="24" spans="1:3" x14ac:dyDescent="0.3">
      <c r="A24" s="118">
        <v>43708</v>
      </c>
      <c r="B24" s="47">
        <f t="shared" si="1"/>
        <v>30884211.798525136</v>
      </c>
      <c r="C24" s="47">
        <f t="shared" si="0"/>
        <v>1801.5790215806328</v>
      </c>
    </row>
    <row r="25" spans="1:3" x14ac:dyDescent="0.3">
      <c r="A25" s="118">
        <v>43738</v>
      </c>
      <c r="B25" s="47">
        <f t="shared" si="1"/>
        <v>30886013.377546716</v>
      </c>
      <c r="C25" s="47">
        <f t="shared" si="0"/>
        <v>1801.6841136902251</v>
      </c>
    </row>
    <row r="26" spans="1:3" x14ac:dyDescent="0.3">
      <c r="A26" s="118">
        <v>43769</v>
      </c>
      <c r="B26" s="47">
        <f t="shared" si="1"/>
        <v>30887815.061660405</v>
      </c>
      <c r="C26" s="47">
        <f t="shared" si="0"/>
        <v>1801.7892119301903</v>
      </c>
    </row>
    <row r="27" spans="1:3" x14ac:dyDescent="0.3">
      <c r="A27" s="118">
        <v>43799</v>
      </c>
      <c r="B27" s="47">
        <f t="shared" si="1"/>
        <v>30889616.850872334</v>
      </c>
      <c r="C27" s="47">
        <f t="shared" si="0"/>
        <v>1801.8943163008862</v>
      </c>
    </row>
    <row r="28" spans="1:3" x14ac:dyDescent="0.3">
      <c r="A28" s="118">
        <v>43830</v>
      </c>
      <c r="B28" s="47">
        <f t="shared" si="1"/>
        <v>30891418.745188635</v>
      </c>
      <c r="C28" s="47">
        <f t="shared" si="0"/>
        <v>1801.9994268026703</v>
      </c>
    </row>
    <row r="29" spans="1:3" x14ac:dyDescent="0.3">
      <c r="A29" s="118">
        <v>43861</v>
      </c>
      <c r="B29" s="47">
        <f t="shared" si="1"/>
        <v>30893220.744615439</v>
      </c>
      <c r="C29" s="47">
        <f t="shared" si="0"/>
        <v>1802.1045434359005</v>
      </c>
    </row>
    <row r="30" spans="1:3" x14ac:dyDescent="0.3">
      <c r="A30" s="118">
        <v>43890</v>
      </c>
      <c r="B30" s="47">
        <f t="shared" si="1"/>
        <v>30895022.849158876</v>
      </c>
      <c r="C30" s="47">
        <f t="shared" si="0"/>
        <v>1802.2096662009344</v>
      </c>
    </row>
    <row r="31" spans="1:3" x14ac:dyDescent="0.3">
      <c r="A31" s="118">
        <v>43921</v>
      </c>
      <c r="B31" s="47">
        <f t="shared" si="1"/>
        <v>30896825.058825076</v>
      </c>
      <c r="C31" s="48">
        <f t="shared" si="0"/>
        <v>1802.3147950981293</v>
      </c>
    </row>
    <row r="32" spans="1:3" x14ac:dyDescent="0.3">
      <c r="C32" s="47">
        <f>SUM(C20:C31)</f>
        <v>21438.283620172282</v>
      </c>
    </row>
  </sheetData>
  <mergeCells count="2">
    <mergeCell ref="A3:J3"/>
    <mergeCell ref="A5:J5"/>
  </mergeCells>
  <pageMargins left="0.7" right="0.7" top="0.75" bottom="0.75" header="0.3" footer="0.3"/>
  <pageSetup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  <pageSetUpPr fitToPage="1"/>
  </sheetPr>
  <dimension ref="A1:N14"/>
  <sheetViews>
    <sheetView workbookViewId="0">
      <selection activeCell="L12" sqref="L12"/>
    </sheetView>
  </sheetViews>
  <sheetFormatPr defaultRowHeight="14.4" x14ac:dyDescent="0.3"/>
  <cols>
    <col min="1" max="1" width="7.33203125" customWidth="1"/>
    <col min="6" max="6" width="11.88671875" bestFit="1" customWidth="1"/>
    <col min="10" max="10" width="20.88671875" customWidth="1"/>
  </cols>
  <sheetData>
    <row r="1" spans="1:14" x14ac:dyDescent="0.3">
      <c r="L1" s="127" t="s">
        <v>276</v>
      </c>
    </row>
    <row r="2" spans="1:14" x14ac:dyDescent="0.3">
      <c r="L2" s="126" t="s">
        <v>283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78</v>
      </c>
      <c r="B5" s="168"/>
      <c r="C5" s="168"/>
      <c r="D5" s="168"/>
      <c r="E5" s="168"/>
      <c r="F5" s="168"/>
      <c r="G5" s="168"/>
      <c r="H5" s="168"/>
      <c r="I5" s="168"/>
      <c r="J5" s="168"/>
    </row>
    <row r="8" spans="1:14" x14ac:dyDescent="0.3">
      <c r="A8" s="18">
        <v>1</v>
      </c>
      <c r="B8" t="s">
        <v>79</v>
      </c>
      <c r="J8" s="52">
        <v>17000000</v>
      </c>
      <c r="K8" s="20"/>
      <c r="L8" s="20"/>
      <c r="M8" s="20"/>
      <c r="N8" s="20"/>
    </row>
    <row r="9" spans="1:14" x14ac:dyDescent="0.3">
      <c r="A9" s="18"/>
      <c r="C9" t="s">
        <v>140</v>
      </c>
      <c r="F9" s="50">
        <v>5000000</v>
      </c>
      <c r="G9" s="51">
        <v>1.9380000000000001E-2</v>
      </c>
      <c r="H9" t="s">
        <v>142</v>
      </c>
      <c r="J9" s="53">
        <v>116116.08</v>
      </c>
    </row>
    <row r="10" spans="1:14" x14ac:dyDescent="0.3">
      <c r="A10" s="18"/>
      <c r="C10" t="s">
        <v>141</v>
      </c>
      <c r="F10" s="50">
        <v>12000000</v>
      </c>
      <c r="G10" s="51">
        <v>1.1180000000000001E-2</v>
      </c>
      <c r="H10" t="s">
        <v>142</v>
      </c>
      <c r="J10" s="53">
        <f>168982.86</f>
        <v>168982.86</v>
      </c>
    </row>
    <row r="11" spans="1:14" x14ac:dyDescent="0.3">
      <c r="A11" s="18"/>
      <c r="J11" s="23"/>
    </row>
    <row r="12" spans="1:14" x14ac:dyDescent="0.3">
      <c r="A12" s="18"/>
    </row>
    <row r="13" spans="1:14" ht="15" thickBot="1" x14ac:dyDescent="0.35">
      <c r="A13" s="18">
        <v>3</v>
      </c>
      <c r="B13" t="s">
        <v>80</v>
      </c>
      <c r="J13" s="54">
        <f>SUM(J9:J12)</f>
        <v>285098.94</v>
      </c>
    </row>
    <row r="14" spans="1:14" x14ac:dyDescent="0.3">
      <c r="A14" s="18"/>
    </row>
  </sheetData>
  <mergeCells count="2">
    <mergeCell ref="A3:J3"/>
    <mergeCell ref="A5:J5"/>
  </mergeCells>
  <pageMargins left="0.7" right="0.7" top="0.75" bottom="0.75" header="0.3" footer="0.3"/>
  <pageSetup scale="7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  <pageSetUpPr fitToPage="1"/>
  </sheetPr>
  <dimension ref="A1:N20"/>
  <sheetViews>
    <sheetView workbookViewId="0">
      <selection activeCell="G21" sqref="G21"/>
    </sheetView>
  </sheetViews>
  <sheetFormatPr defaultRowHeight="14.4" x14ac:dyDescent="0.3"/>
  <cols>
    <col min="1" max="1" width="7.33203125" customWidth="1"/>
    <col min="10" max="10" width="18.5546875" customWidth="1"/>
  </cols>
  <sheetData>
    <row r="1" spans="1:14" x14ac:dyDescent="0.3">
      <c r="L1" s="127" t="s">
        <v>276</v>
      </c>
    </row>
    <row r="2" spans="1:14" x14ac:dyDescent="0.3">
      <c r="L2" s="126" t="s">
        <v>284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88</v>
      </c>
      <c r="B5" s="168"/>
      <c r="C5" s="168"/>
      <c r="D5" s="168"/>
      <c r="E5" s="168"/>
      <c r="F5" s="168"/>
      <c r="G5" s="168"/>
      <c r="H5" s="168"/>
      <c r="I5" s="168"/>
      <c r="J5" s="168"/>
    </row>
    <row r="8" spans="1:14" x14ac:dyDescent="0.3">
      <c r="A8" s="18">
        <v>1</v>
      </c>
      <c r="B8" t="s">
        <v>82</v>
      </c>
      <c r="J8" s="17">
        <v>100000</v>
      </c>
      <c r="K8" s="20"/>
      <c r="L8" s="20"/>
      <c r="M8" s="20"/>
      <c r="N8" s="20"/>
    </row>
    <row r="9" spans="1:14" x14ac:dyDescent="0.3">
      <c r="A9" s="18"/>
    </row>
    <row r="10" spans="1:14" x14ac:dyDescent="0.3">
      <c r="A10" s="18">
        <v>2</v>
      </c>
      <c r="B10" t="s">
        <v>84</v>
      </c>
      <c r="J10" s="25">
        <v>84000</v>
      </c>
    </row>
    <row r="11" spans="1:14" x14ac:dyDescent="0.3">
      <c r="A11" s="18"/>
    </row>
    <row r="12" spans="1:14" x14ac:dyDescent="0.3">
      <c r="A12" s="18">
        <v>3</v>
      </c>
      <c r="B12" t="s">
        <v>83</v>
      </c>
      <c r="J12" s="25">
        <v>0</v>
      </c>
    </row>
    <row r="13" spans="1:14" x14ac:dyDescent="0.3">
      <c r="A13" s="18"/>
    </row>
    <row r="14" spans="1:14" x14ac:dyDescent="0.3">
      <c r="A14" s="18">
        <v>4</v>
      </c>
      <c r="B14" t="s">
        <v>268</v>
      </c>
      <c r="J14" s="25">
        <v>2000</v>
      </c>
    </row>
    <row r="15" spans="1:14" x14ac:dyDescent="0.3">
      <c r="A15" s="18"/>
    </row>
    <row r="16" spans="1:14" x14ac:dyDescent="0.3">
      <c r="A16" s="18">
        <v>5</v>
      </c>
      <c r="B16" t="s">
        <v>85</v>
      </c>
      <c r="J16" s="22">
        <f>SUM(J8:J14)</f>
        <v>186000</v>
      </c>
    </row>
    <row r="17" spans="1:10" x14ac:dyDescent="0.3">
      <c r="A17" s="18"/>
    </row>
    <row r="18" spans="1:10" x14ac:dyDescent="0.3">
      <c r="A18" s="18">
        <v>6</v>
      </c>
      <c r="B18" t="s">
        <v>86</v>
      </c>
      <c r="J18">
        <v>3</v>
      </c>
    </row>
    <row r="19" spans="1:10" x14ac:dyDescent="0.3">
      <c r="A19" s="18"/>
    </row>
    <row r="20" spans="1:10" x14ac:dyDescent="0.3">
      <c r="A20" s="18">
        <v>7</v>
      </c>
      <c r="B20" t="s">
        <v>87</v>
      </c>
      <c r="J20" s="22">
        <f>J16/J18</f>
        <v>62000</v>
      </c>
    </row>
  </sheetData>
  <mergeCells count="2">
    <mergeCell ref="A3:J3"/>
    <mergeCell ref="A5:J5"/>
  </mergeCells>
  <pageMargins left="0.7" right="0.7" top="0.75" bottom="0.75" header="0.3" footer="0.3"/>
  <pageSetup scale="7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85"/>
  <sheetViews>
    <sheetView workbookViewId="0">
      <selection activeCell="L1" sqref="L1:L2"/>
    </sheetView>
  </sheetViews>
  <sheetFormatPr defaultColWidth="8.44140625" defaultRowHeight="13.2" x14ac:dyDescent="0.25"/>
  <cols>
    <col min="1" max="1" width="27.5546875" style="72" customWidth="1"/>
    <col min="2" max="2" width="4.44140625" style="72" customWidth="1"/>
    <col min="3" max="4" width="12.5546875" style="72" bestFit="1" customWidth="1"/>
    <col min="5" max="5" width="13.5546875" style="72" bestFit="1" customWidth="1"/>
    <col min="6" max="6" width="16.44140625" style="72" bestFit="1" customWidth="1"/>
    <col min="7" max="8" width="12.88671875" style="72" bestFit="1" customWidth="1"/>
    <col min="9" max="10" width="15" style="72" bestFit="1" customWidth="1"/>
    <col min="11" max="11" width="13" style="72" bestFit="1" customWidth="1"/>
    <col min="12" max="14" width="11.6640625" style="72" customWidth="1"/>
    <col min="15" max="15" width="14.44140625" style="72" customWidth="1"/>
    <col min="16" max="27" width="11.6640625" style="72" customWidth="1"/>
    <col min="28" max="28" width="14.44140625" style="72" customWidth="1"/>
    <col min="29" max="16384" width="8.44140625" style="72"/>
  </cols>
  <sheetData>
    <row r="1" spans="1:14" x14ac:dyDescent="0.25">
      <c r="L1" s="127" t="s">
        <v>276</v>
      </c>
    </row>
    <row r="2" spans="1:14" x14ac:dyDescent="0.25">
      <c r="L2" s="126" t="s">
        <v>285</v>
      </c>
    </row>
    <row r="3" spans="1:14" ht="15" x14ac:dyDescent="0.25">
      <c r="A3" s="21" t="s">
        <v>54</v>
      </c>
      <c r="B3" s="21"/>
      <c r="C3" s="21"/>
      <c r="D3" s="21"/>
      <c r="E3" s="21"/>
      <c r="F3" s="21"/>
      <c r="G3" s="21"/>
      <c r="H3" s="21"/>
      <c r="I3" s="21"/>
      <c r="J3" s="21"/>
    </row>
    <row r="4" spans="1:14" x14ac:dyDescent="0.25">
      <c r="A4" s="110" t="s">
        <v>145</v>
      </c>
    </row>
    <row r="5" spans="1:14" x14ac:dyDescent="0.25">
      <c r="C5" s="73">
        <v>-1</v>
      </c>
      <c r="D5" s="73">
        <f>C5-1</f>
        <v>-2</v>
      </c>
      <c r="E5" s="73">
        <f>D5-1</f>
        <v>-3</v>
      </c>
      <c r="F5" s="73">
        <f t="shared" ref="F5:K5" si="0">E5-1</f>
        <v>-4</v>
      </c>
      <c r="G5" s="73">
        <f t="shared" si="0"/>
        <v>-5</v>
      </c>
      <c r="H5" s="73">
        <f t="shared" si="0"/>
        <v>-6</v>
      </c>
      <c r="I5" s="73">
        <f t="shared" si="0"/>
        <v>-7</v>
      </c>
      <c r="J5" s="73">
        <f t="shared" si="0"/>
        <v>-8</v>
      </c>
      <c r="K5" s="73">
        <f t="shared" si="0"/>
        <v>-9</v>
      </c>
    </row>
    <row r="6" spans="1:14" ht="79.8" thickBot="1" x14ac:dyDescent="0.3">
      <c r="B6" s="74" t="s">
        <v>195</v>
      </c>
      <c r="C6" s="75" t="s">
        <v>196</v>
      </c>
      <c r="D6" s="75" t="s">
        <v>197</v>
      </c>
      <c r="E6" s="76" t="s">
        <v>198</v>
      </c>
      <c r="F6" s="76" t="s">
        <v>199</v>
      </c>
      <c r="G6" s="75" t="s">
        <v>200</v>
      </c>
      <c r="H6" s="76" t="s">
        <v>201</v>
      </c>
      <c r="I6" s="76" t="s">
        <v>202</v>
      </c>
      <c r="J6" s="77" t="s">
        <v>203</v>
      </c>
      <c r="K6" s="77" t="s">
        <v>204</v>
      </c>
      <c r="M6" s="78"/>
      <c r="N6" s="79"/>
    </row>
    <row r="7" spans="1:14" x14ac:dyDescent="0.25">
      <c r="E7" s="80" t="str">
        <f>"("&amp;D$5*-1&amp;") - ("&amp;C$5*-1&amp;")"</f>
        <v>(2) - (1)</v>
      </c>
      <c r="G7" s="80" t="str">
        <f>"("&amp;F$5*-1&amp;") / ("&amp;C$5*-1&amp;")"</f>
        <v>(4) / (1)</v>
      </c>
      <c r="H7" s="80" t="str">
        <f>"("&amp;E$5*-1&amp;") * ("&amp;G$5*-1&amp;")"</f>
        <v>(3) * (5)</v>
      </c>
      <c r="J7" s="80" t="str">
        <f>"("&amp;I$5*-1&amp;") / ("&amp;F$5*-1&amp;")"</f>
        <v>(7) / (4)</v>
      </c>
      <c r="K7" s="80" t="str">
        <f>"("&amp;J$5*-1&amp;") * ("&amp;H$5*-1&amp;")"</f>
        <v>(8) * (6)</v>
      </c>
      <c r="M7" s="78"/>
      <c r="N7" s="78"/>
    </row>
    <row r="8" spans="1:14" x14ac:dyDescent="0.25">
      <c r="M8" s="78"/>
      <c r="N8" s="78"/>
    </row>
    <row r="9" spans="1:14" x14ac:dyDescent="0.25">
      <c r="A9" s="72" t="s">
        <v>205</v>
      </c>
      <c r="B9" s="81">
        <v>1</v>
      </c>
      <c r="C9" s="82">
        <v>58244</v>
      </c>
      <c r="D9" s="82">
        <v>58217</v>
      </c>
      <c r="E9" s="82">
        <f>D9-C9</f>
        <v>-27</v>
      </c>
      <c r="F9" s="82">
        <v>704222950</v>
      </c>
      <c r="G9" s="82">
        <f>F9/C9</f>
        <v>12090.909793283428</v>
      </c>
      <c r="H9" s="82">
        <f>G9*E9</f>
        <v>-326454.56441865256</v>
      </c>
      <c r="I9" s="83">
        <v>63917975.920000002</v>
      </c>
      <c r="J9" s="84">
        <f>I9/F9</f>
        <v>9.076383540184256E-2</v>
      </c>
      <c r="K9" s="83">
        <f>J9*H9</f>
        <v>-29630.268351074788</v>
      </c>
      <c r="M9" s="78"/>
      <c r="N9" s="85"/>
    </row>
    <row r="10" spans="1:14" x14ac:dyDescent="0.25">
      <c r="B10" s="81"/>
      <c r="M10" s="78"/>
      <c r="N10" s="78"/>
    </row>
    <row r="11" spans="1:14" x14ac:dyDescent="0.25">
      <c r="A11" s="72" t="s">
        <v>206</v>
      </c>
      <c r="B11" s="81">
        <v>2</v>
      </c>
      <c r="C11" s="82">
        <v>4548</v>
      </c>
      <c r="D11" s="82">
        <v>4530</v>
      </c>
      <c r="E11" s="82">
        <f>D11-C11</f>
        <v>-18</v>
      </c>
      <c r="F11" s="82">
        <f>69173961</f>
        <v>69173961</v>
      </c>
      <c r="G11" s="82">
        <f>F11/C11</f>
        <v>15209.753957783641</v>
      </c>
      <c r="H11" s="82">
        <f>G11*E11</f>
        <v>-273775.57124010555</v>
      </c>
      <c r="I11" s="82">
        <v>7488505.2300000004</v>
      </c>
      <c r="J11" s="84">
        <f>I11/F11</f>
        <v>0.10825612877654932</v>
      </c>
      <c r="K11" s="82">
        <f>J11*H11</f>
        <v>-29637.883496042217</v>
      </c>
      <c r="M11" s="78"/>
      <c r="N11" s="85"/>
    </row>
    <row r="12" spans="1:14" x14ac:dyDescent="0.25">
      <c r="B12" s="81"/>
      <c r="E12" s="82"/>
      <c r="G12" s="82"/>
      <c r="H12" s="82"/>
      <c r="J12" s="84"/>
      <c r="K12" s="82"/>
      <c r="M12" s="78"/>
      <c r="N12" s="78"/>
    </row>
    <row r="13" spans="1:14" x14ac:dyDescent="0.25">
      <c r="A13" s="72" t="s">
        <v>207</v>
      </c>
      <c r="B13" s="81">
        <v>3</v>
      </c>
      <c r="C13" s="86">
        <v>908</v>
      </c>
      <c r="D13" s="86">
        <v>908</v>
      </c>
      <c r="E13" s="82">
        <f t="shared" ref="E13" si="1">D13-C13</f>
        <v>0</v>
      </c>
      <c r="F13" s="86">
        <v>12393719</v>
      </c>
      <c r="G13" s="82">
        <f t="shared" ref="G13" si="2">F13/C13</f>
        <v>13649.47026431718</v>
      </c>
      <c r="H13" s="82">
        <f t="shared" ref="H13" si="3">G13*E13</f>
        <v>0</v>
      </c>
      <c r="I13" s="86">
        <v>1108419.1200000001</v>
      </c>
      <c r="J13" s="84">
        <f t="shared" ref="J13" si="4">I13/F13</f>
        <v>8.9433939885195088E-2</v>
      </c>
      <c r="K13" s="82">
        <f t="shared" ref="K13" si="5">J13*H13</f>
        <v>0</v>
      </c>
      <c r="M13" s="78"/>
      <c r="N13" s="78"/>
    </row>
    <row r="14" spans="1:14" x14ac:dyDescent="0.25">
      <c r="B14" s="81"/>
      <c r="M14" s="78"/>
      <c r="N14" s="78"/>
    </row>
    <row r="15" spans="1:14" ht="12.75" customHeight="1" x14ac:dyDescent="0.25">
      <c r="A15" s="72" t="s">
        <v>208</v>
      </c>
      <c r="B15" s="81">
        <v>4</v>
      </c>
      <c r="C15" s="82">
        <v>432</v>
      </c>
      <c r="D15" s="82">
        <v>443</v>
      </c>
      <c r="E15" s="82">
        <f>D15-C15</f>
        <v>11</v>
      </c>
      <c r="F15" s="82">
        <v>192207412</v>
      </c>
      <c r="G15" s="82">
        <f>F15/C15</f>
        <v>444924.56481481483</v>
      </c>
      <c r="H15" s="82">
        <f>G15*E15</f>
        <v>4894170.2129629627</v>
      </c>
      <c r="I15" s="82">
        <v>14847018.529999999</v>
      </c>
      <c r="J15" s="84">
        <f>I15/F15</f>
        <v>7.7244776231626275E-2</v>
      </c>
      <c r="K15" s="82">
        <f>J15*H15</f>
        <v>378049.08293981478</v>
      </c>
      <c r="M15" s="78"/>
      <c r="N15" s="85"/>
    </row>
    <row r="16" spans="1:14" x14ac:dyDescent="0.25">
      <c r="B16" s="81"/>
      <c r="M16" s="78"/>
      <c r="N16" s="78"/>
    </row>
    <row r="17" spans="1:14" ht="14.25" customHeight="1" x14ac:dyDescent="0.25">
      <c r="A17" s="72" t="s">
        <v>209</v>
      </c>
      <c r="B17" s="81">
        <v>5</v>
      </c>
      <c r="C17" s="82">
        <v>166</v>
      </c>
      <c r="D17" s="82">
        <v>167</v>
      </c>
      <c r="E17" s="82">
        <f>D17-C17</f>
        <v>1</v>
      </c>
      <c r="F17" s="82">
        <v>13613706</v>
      </c>
      <c r="G17" s="82">
        <f>F17/C17</f>
        <v>82010.277108433729</v>
      </c>
      <c r="H17" s="82">
        <f>G17*E17</f>
        <v>82010.277108433729</v>
      </c>
      <c r="I17" s="82">
        <v>1426203.08</v>
      </c>
      <c r="J17" s="84">
        <f>I17/F17</f>
        <v>0.10476229470505681</v>
      </c>
      <c r="K17" s="82">
        <f>J17*H17</f>
        <v>8591.5848192771082</v>
      </c>
      <c r="M17" s="78"/>
      <c r="N17" s="85"/>
    </row>
    <row r="18" spans="1:14" x14ac:dyDescent="0.25">
      <c r="B18" s="81"/>
      <c r="C18" s="82"/>
      <c r="D18" s="82"/>
      <c r="E18" s="82"/>
      <c r="F18" s="82"/>
      <c r="G18" s="82"/>
      <c r="H18" s="82"/>
      <c r="I18" s="82"/>
      <c r="J18" s="84"/>
      <c r="K18" s="82"/>
      <c r="M18" s="78"/>
      <c r="N18" s="85"/>
    </row>
    <row r="19" spans="1:14" x14ac:dyDescent="0.25">
      <c r="A19" s="72" t="s">
        <v>210</v>
      </c>
      <c r="B19" s="81">
        <v>6</v>
      </c>
      <c r="C19" s="82">
        <v>537</v>
      </c>
      <c r="D19" s="82">
        <v>543</v>
      </c>
      <c r="E19" s="82">
        <f>D19-C19</f>
        <v>6</v>
      </c>
      <c r="F19" s="82">
        <v>2393104</v>
      </c>
      <c r="G19" s="82">
        <f>F19/C19</f>
        <v>4456.4320297951581</v>
      </c>
      <c r="H19" s="82">
        <f>G19*E19</f>
        <v>26738.592178770949</v>
      </c>
      <c r="I19" s="82">
        <v>133563.20000000001</v>
      </c>
      <c r="J19" s="84">
        <f>I19/F19</f>
        <v>5.5811698948311485E-2</v>
      </c>
      <c r="K19" s="82">
        <f>J19*H19</f>
        <v>1492.3262569832402</v>
      </c>
      <c r="M19" s="78"/>
      <c r="N19" s="85"/>
    </row>
    <row r="20" spans="1:14" x14ac:dyDescent="0.25">
      <c r="B20" s="81"/>
      <c r="M20" s="78"/>
      <c r="N20" s="78"/>
    </row>
    <row r="21" spans="1:14" x14ac:dyDescent="0.25">
      <c r="A21" s="72" t="s">
        <v>211</v>
      </c>
      <c r="B21" s="81">
        <v>7</v>
      </c>
      <c r="C21" s="82">
        <v>6</v>
      </c>
      <c r="D21" s="82">
        <v>3</v>
      </c>
      <c r="E21" s="82">
        <f>D21-C21</f>
        <v>-3</v>
      </c>
      <c r="F21" s="82">
        <v>20478</v>
      </c>
      <c r="G21" s="82">
        <f>F21/C21</f>
        <v>3413</v>
      </c>
      <c r="H21" s="82">
        <f>G21*E21</f>
        <v>-10239</v>
      </c>
      <c r="I21" s="82">
        <v>1273.55</v>
      </c>
      <c r="J21" s="84">
        <f>I21/F21</f>
        <v>6.2191131946479149E-2</v>
      </c>
      <c r="K21" s="82">
        <f>J21*H21</f>
        <v>-636.77499999999998</v>
      </c>
      <c r="M21" s="78"/>
      <c r="N21" s="85"/>
    </row>
    <row r="22" spans="1:14" x14ac:dyDescent="0.25">
      <c r="B22" s="81"/>
      <c r="C22" s="82"/>
      <c r="D22" s="82"/>
      <c r="E22" s="82"/>
      <c r="F22" s="82"/>
      <c r="G22" s="82"/>
      <c r="H22" s="82"/>
      <c r="I22" s="82"/>
      <c r="J22" s="84"/>
      <c r="K22" s="82"/>
      <c r="M22" s="78"/>
      <c r="N22" s="85"/>
    </row>
    <row r="23" spans="1:14" x14ac:dyDescent="0.25">
      <c r="A23" s="72" t="s">
        <v>212</v>
      </c>
      <c r="B23" s="81">
        <v>8</v>
      </c>
      <c r="C23" s="82">
        <v>25306.75</v>
      </c>
      <c r="D23" s="82">
        <v>25332</v>
      </c>
      <c r="E23" s="82">
        <f t="shared" ref="E23" si="6">D23-C23</f>
        <v>25.25</v>
      </c>
      <c r="F23" s="82">
        <v>15998338</v>
      </c>
      <c r="G23" s="82">
        <f t="shared" ref="G23" si="7">F23/C23</f>
        <v>632.17671174686598</v>
      </c>
      <c r="H23" s="82">
        <f t="shared" ref="H23" si="8">G23*E23</f>
        <v>15962.461971608365</v>
      </c>
      <c r="I23" s="82">
        <v>247051.81</v>
      </c>
      <c r="J23" s="84">
        <f t="shared" ref="J23" si="9">I23/F23</f>
        <v>1.5442342198295848E-2</v>
      </c>
      <c r="K23" s="82">
        <f t="shared" ref="K23" si="10">J23*H23</f>
        <v>246.49780009286059</v>
      </c>
      <c r="M23" s="78"/>
      <c r="N23" s="85"/>
    </row>
    <row r="24" spans="1:14" x14ac:dyDescent="0.25">
      <c r="B24" s="81"/>
      <c r="C24" s="82"/>
      <c r="D24" s="82"/>
      <c r="E24" s="82"/>
      <c r="F24" s="82"/>
      <c r="G24" s="82"/>
      <c r="H24" s="82"/>
      <c r="I24" s="82"/>
      <c r="J24" s="84"/>
      <c r="K24" s="82"/>
      <c r="M24" s="78"/>
      <c r="N24" s="85"/>
    </row>
    <row r="25" spans="1:14" x14ac:dyDescent="0.25">
      <c r="A25" s="72" t="s">
        <v>213</v>
      </c>
      <c r="B25" s="81">
        <v>9</v>
      </c>
      <c r="C25" s="82">
        <v>1</v>
      </c>
      <c r="D25" s="82">
        <v>1</v>
      </c>
      <c r="E25" s="82">
        <f>D25-C25</f>
        <v>0</v>
      </c>
      <c r="F25" s="82">
        <v>26017497</v>
      </c>
      <c r="G25" s="82">
        <f>F25/C25</f>
        <v>26017497</v>
      </c>
      <c r="H25" s="82">
        <f>G25*E25</f>
        <v>0</v>
      </c>
      <c r="I25" s="82">
        <v>1606842.09</v>
      </c>
      <c r="J25" s="84">
        <f>I25/F25</f>
        <v>6.1760056703379272E-2</v>
      </c>
      <c r="K25" s="82">
        <f>J25*H25</f>
        <v>0</v>
      </c>
      <c r="M25" s="78"/>
      <c r="N25" s="85"/>
    </row>
    <row r="26" spans="1:14" x14ac:dyDescent="0.25">
      <c r="B26" s="81"/>
      <c r="M26" s="78"/>
      <c r="N26" s="78"/>
    </row>
    <row r="27" spans="1:14" x14ac:dyDescent="0.25">
      <c r="A27" s="72" t="s">
        <v>214</v>
      </c>
      <c r="B27" s="81">
        <v>10</v>
      </c>
      <c r="C27" s="82">
        <v>2</v>
      </c>
      <c r="D27" s="82">
        <v>2</v>
      </c>
      <c r="E27" s="82">
        <f>D27-C27</f>
        <v>0</v>
      </c>
      <c r="F27" s="82">
        <v>71941616</v>
      </c>
      <c r="G27" s="82">
        <f>F27/C27</f>
        <v>35970808</v>
      </c>
      <c r="H27" s="82">
        <f>G27*E27</f>
        <v>0</v>
      </c>
      <c r="I27" s="82">
        <v>4014990.53</v>
      </c>
      <c r="J27" s="84">
        <f>I27/F27</f>
        <v>5.5809012269059953E-2</v>
      </c>
      <c r="K27" s="82">
        <f>J27*H27</f>
        <v>0</v>
      </c>
      <c r="M27" s="78"/>
      <c r="N27" s="85"/>
    </row>
    <row r="28" spans="1:14" x14ac:dyDescent="0.25">
      <c r="B28" s="81"/>
      <c r="C28" s="82"/>
      <c r="D28" s="82"/>
      <c r="E28" s="82"/>
      <c r="F28" s="82"/>
      <c r="G28" s="82"/>
      <c r="H28" s="82"/>
      <c r="I28" s="82"/>
      <c r="J28" s="84"/>
      <c r="K28" s="82"/>
      <c r="M28" s="78"/>
      <c r="N28" s="85"/>
    </row>
    <row r="29" spans="1:14" x14ac:dyDescent="0.25">
      <c r="A29" s="72" t="s">
        <v>215</v>
      </c>
      <c r="B29" s="81">
        <v>14</v>
      </c>
      <c r="C29" s="82">
        <v>1</v>
      </c>
      <c r="D29" s="82">
        <v>1</v>
      </c>
      <c r="E29" s="82">
        <f>D29-C29</f>
        <v>0</v>
      </c>
      <c r="F29" s="82">
        <v>3515015</v>
      </c>
      <c r="G29" s="82">
        <f>F29/C29</f>
        <v>3515015</v>
      </c>
      <c r="H29" s="82">
        <f>G29*E29</f>
        <v>0</v>
      </c>
      <c r="I29" s="82">
        <v>187990.57</v>
      </c>
      <c r="J29" s="84">
        <f>I29/F29</f>
        <v>5.3482152992234744E-2</v>
      </c>
      <c r="K29" s="82">
        <f>J29*H29</f>
        <v>0</v>
      </c>
      <c r="M29" s="78"/>
      <c r="N29" s="85"/>
    </row>
    <row r="30" spans="1:14" x14ac:dyDescent="0.25">
      <c r="B30" s="81"/>
      <c r="C30" s="82"/>
      <c r="D30" s="82"/>
      <c r="E30" s="82"/>
      <c r="F30" s="82"/>
      <c r="G30" s="82"/>
      <c r="H30" s="82"/>
      <c r="J30" s="84"/>
      <c r="K30" s="82"/>
      <c r="M30" s="78"/>
      <c r="N30" s="78"/>
    </row>
    <row r="31" spans="1:14" x14ac:dyDescent="0.25">
      <c r="A31" s="72" t="s">
        <v>216</v>
      </c>
      <c r="B31" s="81">
        <v>15</v>
      </c>
      <c r="C31" s="82">
        <v>7</v>
      </c>
      <c r="D31" s="82">
        <v>7</v>
      </c>
      <c r="E31" s="82">
        <f t="shared" ref="E31:E39" si="11">D31-C31</f>
        <v>0</v>
      </c>
      <c r="F31" s="82">
        <v>63812348</v>
      </c>
      <c r="G31" s="82">
        <f t="shared" ref="G31:G39" si="12">F31/C31</f>
        <v>9116049.7142857146</v>
      </c>
      <c r="H31" s="82">
        <f t="shared" ref="H31:H39" si="13">G31*E31</f>
        <v>0</v>
      </c>
      <c r="I31" s="86">
        <v>3687614.89</v>
      </c>
      <c r="J31" s="84">
        <f t="shared" ref="J31:J39" si="14">I31/F31</f>
        <v>5.7788421921099037E-2</v>
      </c>
      <c r="K31" s="82">
        <f t="shared" ref="K31:K39" si="15">J31*H31</f>
        <v>0</v>
      </c>
      <c r="M31" s="78"/>
      <c r="N31" s="78"/>
    </row>
    <row r="32" spans="1:14" x14ac:dyDescent="0.25">
      <c r="B32" s="81"/>
      <c r="C32" s="82"/>
      <c r="D32" s="82"/>
      <c r="E32" s="82"/>
      <c r="F32" s="82"/>
      <c r="G32" s="82"/>
      <c r="H32" s="82"/>
      <c r="I32" s="86"/>
      <c r="J32" s="84"/>
      <c r="K32" s="82"/>
      <c r="M32" s="78"/>
      <c r="N32" s="78"/>
    </row>
    <row r="33" spans="1:14" x14ac:dyDescent="0.25">
      <c r="A33" s="72" t="s">
        <v>217</v>
      </c>
      <c r="B33" s="81">
        <v>17</v>
      </c>
      <c r="C33" s="82">
        <v>16</v>
      </c>
      <c r="D33" s="82">
        <v>17</v>
      </c>
      <c r="E33" s="82">
        <f t="shared" si="11"/>
        <v>1</v>
      </c>
      <c r="F33" s="82">
        <v>10779640</v>
      </c>
      <c r="G33" s="82">
        <f t="shared" si="12"/>
        <v>673727.5</v>
      </c>
      <c r="H33" s="82">
        <f t="shared" si="13"/>
        <v>673727.5</v>
      </c>
      <c r="I33" s="86">
        <v>797929.89</v>
      </c>
      <c r="J33" s="84">
        <f t="shared" si="14"/>
        <v>7.4021942291208245E-2</v>
      </c>
      <c r="K33" s="82">
        <f t="shared" si="15"/>
        <v>49870.618125000001</v>
      </c>
      <c r="M33" s="78"/>
      <c r="N33" s="78"/>
    </row>
    <row r="34" spans="1:14" x14ac:dyDescent="0.25">
      <c r="B34" s="81"/>
      <c r="C34" s="82"/>
      <c r="D34" s="82"/>
      <c r="E34" s="82"/>
      <c r="F34" s="82"/>
      <c r="G34" s="82"/>
      <c r="H34" s="82"/>
      <c r="I34" s="86"/>
      <c r="J34" s="84"/>
      <c r="K34" s="82"/>
      <c r="M34" s="78"/>
      <c r="N34" s="78"/>
    </row>
    <row r="35" spans="1:14" x14ac:dyDescent="0.25">
      <c r="A35" s="72" t="s">
        <v>218</v>
      </c>
      <c r="B35" s="81">
        <v>20</v>
      </c>
      <c r="C35" s="82">
        <v>24</v>
      </c>
      <c r="D35" s="82">
        <v>29</v>
      </c>
      <c r="E35" s="82">
        <f t="shared" si="11"/>
        <v>5</v>
      </c>
      <c r="F35" s="82">
        <v>130704</v>
      </c>
      <c r="G35" s="82">
        <f t="shared" si="12"/>
        <v>5446</v>
      </c>
      <c r="H35" s="82">
        <f t="shared" si="13"/>
        <v>27230</v>
      </c>
      <c r="I35" s="86">
        <f>21754.48-8784.48</f>
        <v>12970</v>
      </c>
      <c r="J35" s="84">
        <f t="shared" si="14"/>
        <v>9.9231852123882969E-2</v>
      </c>
      <c r="K35" s="82">
        <f t="shared" si="15"/>
        <v>2702.083333333333</v>
      </c>
      <c r="M35" s="78"/>
      <c r="N35" s="78"/>
    </row>
    <row r="36" spans="1:14" x14ac:dyDescent="0.25">
      <c r="B36" s="81"/>
      <c r="C36" s="82"/>
      <c r="D36" s="82"/>
      <c r="E36" s="82"/>
      <c r="F36" s="82"/>
      <c r="G36" s="82"/>
      <c r="H36" s="82"/>
      <c r="I36" s="86"/>
      <c r="J36" s="84"/>
      <c r="K36" s="82"/>
      <c r="M36" s="78"/>
      <c r="N36" s="78"/>
    </row>
    <row r="37" spans="1:14" x14ac:dyDescent="0.25">
      <c r="A37" s="72" t="s">
        <v>219</v>
      </c>
      <c r="B37" s="81">
        <v>22</v>
      </c>
      <c r="C37" s="82">
        <v>3</v>
      </c>
      <c r="D37" s="82">
        <v>4</v>
      </c>
      <c r="E37" s="82">
        <f t="shared" si="11"/>
        <v>1</v>
      </c>
      <c r="F37" s="82">
        <v>75404</v>
      </c>
      <c r="G37" s="82">
        <f t="shared" si="12"/>
        <v>25134.666666666668</v>
      </c>
      <c r="H37" s="82">
        <f t="shared" si="13"/>
        <v>25134.666666666668</v>
      </c>
      <c r="I37" s="86">
        <f>10989.55-3318.98</f>
        <v>7670.57</v>
      </c>
      <c r="J37" s="84">
        <f t="shared" si="14"/>
        <v>0.10172630099198982</v>
      </c>
      <c r="K37" s="82">
        <f t="shared" si="15"/>
        <v>2556.856666666667</v>
      </c>
      <c r="L37" s="87"/>
      <c r="M37" s="78"/>
      <c r="N37" s="78"/>
    </row>
    <row r="38" spans="1:14" x14ac:dyDescent="0.25">
      <c r="B38" s="81"/>
      <c r="C38" s="82"/>
      <c r="D38" s="82"/>
      <c r="E38" s="82"/>
      <c r="F38" s="82"/>
      <c r="G38" s="82"/>
      <c r="H38" s="82"/>
      <c r="I38" s="86"/>
      <c r="J38" s="84"/>
      <c r="K38" s="82"/>
      <c r="M38" s="78"/>
      <c r="N38" s="78"/>
    </row>
    <row r="39" spans="1:14" x14ac:dyDescent="0.25">
      <c r="A39" s="72" t="s">
        <v>220</v>
      </c>
      <c r="B39" s="81">
        <v>30</v>
      </c>
      <c r="C39" s="82">
        <v>3944</v>
      </c>
      <c r="D39" s="82">
        <v>4055</v>
      </c>
      <c r="E39" s="82">
        <f t="shared" si="11"/>
        <v>111</v>
      </c>
      <c r="F39" s="82">
        <v>54777287</v>
      </c>
      <c r="G39" s="82">
        <f t="shared" si="12"/>
        <v>13888.764452332658</v>
      </c>
      <c r="H39" s="82">
        <f t="shared" si="13"/>
        <v>1541652.854208925</v>
      </c>
      <c r="I39" s="86">
        <v>5298929.0599999996</v>
      </c>
      <c r="J39" s="84">
        <f t="shared" si="14"/>
        <v>9.6735879964263277E-2</v>
      </c>
      <c r="K39" s="82">
        <f t="shared" si="15"/>
        <v>149133.14545131844</v>
      </c>
      <c r="M39" s="78"/>
      <c r="N39" s="78"/>
    </row>
    <row r="40" spans="1:14" x14ac:dyDescent="0.25">
      <c r="B40" s="81"/>
      <c r="M40" s="78"/>
      <c r="N40" s="78"/>
    </row>
    <row r="41" spans="1:14" x14ac:dyDescent="0.25">
      <c r="A41" s="88" t="s">
        <v>221</v>
      </c>
      <c r="B41" s="89">
        <v>36</v>
      </c>
      <c r="C41" s="82">
        <v>12</v>
      </c>
      <c r="D41" s="82">
        <v>19</v>
      </c>
      <c r="E41" s="82">
        <f>D41-C41</f>
        <v>7</v>
      </c>
      <c r="F41" s="82">
        <v>92136</v>
      </c>
      <c r="G41" s="82">
        <f>F41/C41</f>
        <v>7678</v>
      </c>
      <c r="H41" s="82">
        <f>G41*E41</f>
        <v>53746</v>
      </c>
      <c r="I41" s="82">
        <v>6146.26</v>
      </c>
      <c r="J41" s="84">
        <f>I41/F41</f>
        <v>6.6708561257271856E-2</v>
      </c>
      <c r="K41" s="82">
        <f>J41*H41</f>
        <v>3585.3183333333332</v>
      </c>
      <c r="M41" s="78"/>
      <c r="N41" s="85"/>
    </row>
    <row r="42" spans="1:14" x14ac:dyDescent="0.25">
      <c r="A42" s="88"/>
      <c r="B42" s="90"/>
      <c r="C42" s="82"/>
      <c r="D42" s="82"/>
      <c r="E42" s="82"/>
      <c r="F42" s="82"/>
      <c r="G42" s="82"/>
      <c r="H42" s="82"/>
      <c r="I42" s="82"/>
      <c r="J42" s="84"/>
      <c r="K42" s="82"/>
      <c r="M42" s="78"/>
      <c r="N42" s="85"/>
    </row>
    <row r="43" spans="1:14" x14ac:dyDescent="0.25">
      <c r="A43" s="72" t="s">
        <v>222</v>
      </c>
      <c r="B43" s="81">
        <v>66</v>
      </c>
      <c r="C43" s="91">
        <v>749</v>
      </c>
      <c r="D43" s="91">
        <v>737</v>
      </c>
      <c r="E43" s="91">
        <f>D43-C43</f>
        <v>-12</v>
      </c>
      <c r="F43" s="91">
        <v>2781017</v>
      </c>
      <c r="G43" s="91">
        <f>F43/C43</f>
        <v>3712.973297730307</v>
      </c>
      <c r="H43" s="91">
        <f>G43*E43</f>
        <v>-44555.679572763685</v>
      </c>
      <c r="I43" s="91">
        <v>155274.96</v>
      </c>
      <c r="J43" s="92">
        <f>I43/F43</f>
        <v>5.5833876599819414E-2</v>
      </c>
      <c r="K43" s="91">
        <f>J43*H43</f>
        <v>-2487.7163150867823</v>
      </c>
      <c r="L43" s="87"/>
      <c r="M43" s="78"/>
      <c r="N43" s="85"/>
    </row>
    <row r="44" spans="1:14" x14ac:dyDescent="0.25">
      <c r="C44" s="82"/>
      <c r="D44" s="82"/>
      <c r="E44" s="82"/>
      <c r="F44" s="82"/>
      <c r="G44" s="82"/>
      <c r="H44" s="82"/>
      <c r="I44" s="82"/>
      <c r="J44" s="84"/>
      <c r="K44" s="82"/>
      <c r="M44" s="78"/>
      <c r="N44" s="78"/>
    </row>
    <row r="45" spans="1:14" x14ac:dyDescent="0.25">
      <c r="A45" s="88" t="s">
        <v>223</v>
      </c>
      <c r="B45" s="88"/>
      <c r="C45" s="93">
        <f>SUM(C9:C44)</f>
        <v>94906.75</v>
      </c>
      <c r="D45" s="93">
        <f>SUM(D9:D44)</f>
        <v>95015</v>
      </c>
      <c r="E45" s="83"/>
      <c r="F45" s="82">
        <f>SUM(F9:F44)</f>
        <v>1243946332</v>
      </c>
      <c r="G45" s="83"/>
      <c r="H45" s="83"/>
      <c r="I45" s="83">
        <f>SUM(I9:I44)</f>
        <v>104946369.26000001</v>
      </c>
      <c r="J45" s="83"/>
      <c r="K45" s="83">
        <f>SUM(K9:K44)</f>
        <v>533834.87056361593</v>
      </c>
      <c r="M45" s="78"/>
      <c r="N45" s="78"/>
    </row>
    <row r="46" spans="1:14" x14ac:dyDescent="0.25">
      <c r="C46" s="94"/>
      <c r="D46" s="94"/>
      <c r="E46" s="94"/>
      <c r="F46" s="94"/>
      <c r="G46" s="94"/>
      <c r="H46" s="94"/>
      <c r="I46" s="94"/>
      <c r="J46" s="94"/>
      <c r="K46" s="94"/>
      <c r="M46" s="78"/>
      <c r="N46" s="78"/>
    </row>
    <row r="47" spans="1:14" x14ac:dyDescent="0.25">
      <c r="A47" s="95"/>
      <c r="B47" s="95"/>
      <c r="D47" s="96" t="s">
        <v>224</v>
      </c>
      <c r="E47" s="97">
        <f>F63</f>
        <v>0.84660219133549419</v>
      </c>
      <c r="F47" s="95"/>
      <c r="G47" s="95"/>
      <c r="H47" s="95"/>
      <c r="I47" s="95"/>
      <c r="J47" s="95"/>
      <c r="K47" s="107">
        <f>K45*E47</f>
        <v>451945.77123045718</v>
      </c>
      <c r="L47" s="98"/>
      <c r="M47" s="99"/>
      <c r="N47" s="78"/>
    </row>
    <row r="48" spans="1:14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8"/>
      <c r="M48" s="99"/>
      <c r="N48" s="78"/>
    </row>
    <row r="49" spans="1:14" ht="13.8" thickBot="1" x14ac:dyDescent="0.3">
      <c r="A49" s="95"/>
      <c r="B49" s="95"/>
      <c r="C49" s="95" t="s">
        <v>225</v>
      </c>
      <c r="D49" s="95"/>
      <c r="E49" s="95"/>
      <c r="F49" s="95"/>
      <c r="G49" s="95"/>
      <c r="H49" s="95"/>
      <c r="I49" s="95"/>
      <c r="J49" s="95"/>
      <c r="K49" s="100">
        <f>+K45-K47</f>
        <v>81889.099333158752</v>
      </c>
      <c r="L49" s="98"/>
      <c r="M49" s="101"/>
      <c r="N49" s="78"/>
    </row>
    <row r="50" spans="1:14" ht="13.8" thickTop="1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8"/>
      <c r="M50" s="99"/>
      <c r="N50" s="78"/>
    </row>
    <row r="51" spans="1:14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8"/>
      <c r="M51" s="95"/>
    </row>
    <row r="52" spans="1:14" x14ac:dyDescent="0.25">
      <c r="A52" s="95"/>
      <c r="B52" s="95"/>
      <c r="C52" s="102" t="s">
        <v>226</v>
      </c>
      <c r="D52" s="95"/>
      <c r="E52" s="95"/>
      <c r="F52" s="95"/>
      <c r="G52" s="95"/>
      <c r="H52" s="95"/>
      <c r="I52" s="95"/>
      <c r="J52" s="95"/>
      <c r="K52" s="95"/>
      <c r="L52" s="98"/>
      <c r="M52" s="95"/>
    </row>
    <row r="53" spans="1:14" x14ac:dyDescent="0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8"/>
      <c r="M53" s="95"/>
    </row>
    <row r="54" spans="1:14" x14ac:dyDescent="0.25">
      <c r="A54" s="95"/>
      <c r="B54" s="95"/>
      <c r="C54" s="95" t="s">
        <v>227</v>
      </c>
      <c r="D54" s="95"/>
      <c r="E54" s="95"/>
      <c r="F54" s="103">
        <f>86818667+19874740+9078214+349207+5529181+45453+31996</f>
        <v>121727458</v>
      </c>
      <c r="G54" s="104" t="s">
        <v>228</v>
      </c>
      <c r="H54" s="103"/>
      <c r="I54" s="95"/>
      <c r="J54" s="95"/>
      <c r="K54" s="95"/>
      <c r="L54" s="98"/>
      <c r="M54" s="95"/>
    </row>
    <row r="55" spans="1:14" x14ac:dyDescent="0.25">
      <c r="A55" s="95"/>
      <c r="B55" s="95"/>
      <c r="C55" s="95" t="s">
        <v>229</v>
      </c>
      <c r="D55" s="95"/>
      <c r="E55" s="95"/>
      <c r="F55" s="103">
        <v>11611079.039999999</v>
      </c>
      <c r="G55" s="105"/>
      <c r="H55" s="106"/>
      <c r="I55" s="95"/>
      <c r="J55" s="95"/>
      <c r="K55" s="95"/>
      <c r="L55" s="98"/>
      <c r="M55" s="95"/>
    </row>
    <row r="56" spans="1:14" x14ac:dyDescent="0.25">
      <c r="A56" s="95"/>
      <c r="B56" s="95"/>
      <c r="C56" s="95" t="s">
        <v>230</v>
      </c>
      <c r="D56" s="95"/>
      <c r="E56" s="95"/>
      <c r="F56" s="103">
        <v>6540510.9800000004</v>
      </c>
      <c r="G56" s="103" t="s">
        <v>231</v>
      </c>
      <c r="H56" s="103"/>
      <c r="I56" s="95"/>
      <c r="J56" s="95"/>
      <c r="K56" s="95"/>
      <c r="L56" s="98"/>
      <c r="M56" s="95"/>
    </row>
    <row r="57" spans="1:14" x14ac:dyDescent="0.25">
      <c r="A57" s="95"/>
      <c r="B57" s="95"/>
      <c r="C57" s="95" t="s">
        <v>232</v>
      </c>
      <c r="D57" s="95"/>
      <c r="E57" s="95"/>
      <c r="F57" s="107">
        <v>0</v>
      </c>
      <c r="G57" s="103"/>
      <c r="H57" s="103"/>
      <c r="I57" s="95"/>
      <c r="J57" s="95"/>
      <c r="K57" s="95"/>
      <c r="L57" s="98"/>
      <c r="M57" s="95"/>
    </row>
    <row r="58" spans="1:14" x14ac:dyDescent="0.25">
      <c r="A58" s="95"/>
      <c r="B58" s="95"/>
      <c r="C58" s="95" t="s">
        <v>233</v>
      </c>
      <c r="D58" s="95"/>
      <c r="E58" s="95"/>
      <c r="F58" s="103">
        <f>F54-SUM(F55:F57)</f>
        <v>103575867.98</v>
      </c>
      <c r="G58" s="103"/>
      <c r="H58" s="103"/>
      <c r="I58" s="95"/>
      <c r="J58" s="95"/>
      <c r="K58" s="95"/>
      <c r="L58" s="98"/>
      <c r="M58" s="95"/>
    </row>
    <row r="59" spans="1:14" x14ac:dyDescent="0.25">
      <c r="A59" s="95"/>
      <c r="B59" s="95"/>
      <c r="C59" s="95"/>
      <c r="D59" s="95"/>
      <c r="E59" s="95"/>
      <c r="F59" s="103"/>
      <c r="G59" s="103"/>
      <c r="H59" s="103"/>
      <c r="I59" s="95"/>
      <c r="J59" s="95"/>
      <c r="K59" s="95"/>
      <c r="L59" s="98"/>
      <c r="M59" s="95"/>
    </row>
    <row r="60" spans="1:14" x14ac:dyDescent="0.25">
      <c r="A60" s="95"/>
      <c r="B60" s="95"/>
      <c r="C60" s="95"/>
      <c r="D60" s="95"/>
      <c r="E60" s="95"/>
      <c r="F60" s="103"/>
      <c r="G60" s="103"/>
      <c r="H60" s="103"/>
      <c r="I60" s="95"/>
      <c r="J60" s="95"/>
      <c r="K60" s="95"/>
      <c r="L60" s="98"/>
      <c r="M60" s="95"/>
    </row>
    <row r="61" spans="1:14" x14ac:dyDescent="0.25">
      <c r="A61" s="95"/>
      <c r="B61" s="95"/>
      <c r="D61" s="95"/>
      <c r="E61" s="108" t="s">
        <v>234</v>
      </c>
      <c r="F61" s="103">
        <v>122343019</v>
      </c>
      <c r="G61" s="103"/>
      <c r="H61" s="103"/>
      <c r="I61" s="95"/>
      <c r="J61" s="95"/>
      <c r="K61" s="95"/>
      <c r="L61" s="98"/>
      <c r="M61" s="95"/>
    </row>
    <row r="62" spans="1:14" x14ac:dyDescent="0.25">
      <c r="A62" s="95"/>
      <c r="B62" s="95"/>
      <c r="C62" s="95"/>
      <c r="D62" s="95"/>
      <c r="E62" s="95"/>
      <c r="F62" s="103"/>
      <c r="G62" s="103"/>
      <c r="H62" s="103"/>
      <c r="I62" s="95"/>
      <c r="J62" s="95"/>
      <c r="K62" s="95"/>
      <c r="L62" s="98"/>
      <c r="M62" s="95"/>
    </row>
    <row r="63" spans="1:14" x14ac:dyDescent="0.25">
      <c r="A63" s="95"/>
      <c r="B63" s="95"/>
      <c r="C63" s="108" t="s">
        <v>235</v>
      </c>
      <c r="D63" s="95"/>
      <c r="E63" s="95"/>
      <c r="F63" s="109">
        <f>+F58/F61</f>
        <v>0.84660219133549419</v>
      </c>
      <c r="G63" s="95"/>
      <c r="H63" s="95"/>
      <c r="I63" s="95"/>
      <c r="J63" s="95"/>
      <c r="K63" s="95"/>
      <c r="L63" s="98"/>
      <c r="M63" s="95"/>
    </row>
    <row r="64" spans="1:14" x14ac:dyDescent="0.2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8"/>
      <c r="M64" s="95"/>
    </row>
    <row r="65" spans="1:13" x14ac:dyDescent="0.2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8"/>
      <c r="M65" s="95"/>
    </row>
    <row r="66" spans="1:13" x14ac:dyDescent="0.2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8"/>
      <c r="M66" s="95"/>
    </row>
    <row r="67" spans="1:13" x14ac:dyDescent="0.2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8"/>
      <c r="M67" s="95"/>
    </row>
    <row r="68" spans="1:13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8"/>
      <c r="M68" s="95"/>
    </row>
    <row r="69" spans="1:13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8"/>
      <c r="M69" s="95"/>
    </row>
    <row r="70" spans="1:13" x14ac:dyDescent="0.25">
      <c r="A70" s="95"/>
      <c r="B70" s="95"/>
      <c r="C70" s="95"/>
      <c r="D70" s="95"/>
      <c r="E70" s="95"/>
      <c r="F70" s="95"/>
      <c r="G70" s="95"/>
      <c r="H70" s="95"/>
      <c r="I70" s="98"/>
      <c r="J70" s="95"/>
    </row>
    <row r="71" spans="1:13" x14ac:dyDescent="0.25">
      <c r="A71" s="95"/>
      <c r="B71" s="95"/>
      <c r="C71" s="95"/>
      <c r="D71" s="95"/>
      <c r="E71" s="95"/>
      <c r="F71" s="95"/>
      <c r="G71" s="95"/>
      <c r="H71" s="95"/>
      <c r="I71" s="98"/>
      <c r="J71" s="95"/>
    </row>
    <row r="72" spans="1:13" x14ac:dyDescent="0.25">
      <c r="A72" s="95"/>
      <c r="B72" s="95"/>
      <c r="C72" s="95"/>
      <c r="D72" s="95"/>
      <c r="E72" s="95"/>
      <c r="F72" s="95"/>
      <c r="G72" s="95"/>
      <c r="H72" s="95"/>
      <c r="I72" s="98"/>
      <c r="J72" s="95"/>
    </row>
    <row r="73" spans="1:13" x14ac:dyDescent="0.25">
      <c r="A73" s="95"/>
      <c r="B73" s="95"/>
      <c r="C73" s="95"/>
      <c r="D73" s="95"/>
      <c r="E73" s="95"/>
      <c r="F73" s="95"/>
      <c r="G73" s="95"/>
      <c r="H73" s="95"/>
      <c r="I73" s="98"/>
      <c r="J73" s="95"/>
    </row>
    <row r="74" spans="1:13" x14ac:dyDescent="0.25">
      <c r="A74" s="95"/>
      <c r="B74" s="95"/>
      <c r="C74" s="95"/>
      <c r="D74" s="95"/>
      <c r="E74" s="95"/>
      <c r="F74" s="95"/>
      <c r="G74" s="95"/>
      <c r="H74" s="95"/>
      <c r="I74" s="98"/>
      <c r="J74" s="95"/>
    </row>
    <row r="75" spans="1:13" x14ac:dyDescent="0.25">
      <c r="A75" s="95"/>
      <c r="B75" s="95"/>
      <c r="C75" s="95"/>
      <c r="D75" s="95"/>
      <c r="E75" s="95"/>
      <c r="F75" s="95"/>
      <c r="G75" s="95"/>
      <c r="H75" s="95"/>
      <c r="I75" s="98"/>
      <c r="J75" s="95"/>
    </row>
    <row r="76" spans="1:13" x14ac:dyDescent="0.25">
      <c r="A76" s="95"/>
      <c r="B76" s="95"/>
      <c r="C76" s="95"/>
      <c r="D76" s="95"/>
      <c r="E76" s="95"/>
      <c r="F76" s="95"/>
      <c r="G76" s="95"/>
      <c r="H76" s="95"/>
      <c r="I76" s="98"/>
      <c r="J76" s="95"/>
    </row>
    <row r="77" spans="1:13" x14ac:dyDescent="0.25">
      <c r="A77" s="95"/>
      <c r="B77" s="95"/>
      <c r="C77" s="95"/>
      <c r="D77" s="95"/>
      <c r="E77" s="95"/>
      <c r="F77" s="95"/>
      <c r="G77" s="95"/>
      <c r="H77" s="95"/>
      <c r="I77" s="98"/>
      <c r="J77" s="95"/>
    </row>
    <row r="78" spans="1:13" x14ac:dyDescent="0.25">
      <c r="A78" s="95"/>
      <c r="B78" s="95"/>
      <c r="C78" s="95"/>
      <c r="D78" s="95"/>
      <c r="E78" s="95"/>
      <c r="F78" s="95"/>
      <c r="G78" s="95"/>
      <c r="H78" s="95"/>
      <c r="I78" s="98"/>
      <c r="J78" s="95"/>
    </row>
    <row r="79" spans="1:13" x14ac:dyDescent="0.25">
      <c r="A79" s="95"/>
      <c r="B79" s="95"/>
      <c r="C79" s="95"/>
      <c r="D79" s="95"/>
      <c r="E79" s="95"/>
      <c r="F79" s="95"/>
      <c r="G79" s="95"/>
      <c r="H79" s="95"/>
      <c r="I79" s="98"/>
      <c r="J79" s="95"/>
    </row>
    <row r="80" spans="1:13" x14ac:dyDescent="0.25">
      <c r="A80" s="95"/>
      <c r="B80" s="95"/>
      <c r="C80" s="95"/>
      <c r="D80" s="95"/>
      <c r="E80" s="95"/>
      <c r="F80" s="95"/>
      <c r="G80" s="95"/>
      <c r="H80" s="95"/>
      <c r="I80" s="98"/>
      <c r="J80" s="95"/>
    </row>
    <row r="81" spans="1:10" x14ac:dyDescent="0.25">
      <c r="A81" s="95"/>
      <c r="B81" s="95"/>
      <c r="C81" s="95"/>
      <c r="D81" s="95"/>
      <c r="E81" s="95"/>
      <c r="F81" s="95"/>
      <c r="G81" s="95"/>
      <c r="H81" s="95"/>
      <c r="I81" s="98"/>
      <c r="J81" s="95"/>
    </row>
    <row r="82" spans="1:10" x14ac:dyDescent="0.25">
      <c r="A82" s="95"/>
      <c r="B82" s="95"/>
      <c r="C82" s="95"/>
      <c r="D82" s="95"/>
      <c r="E82" s="95"/>
      <c r="F82" s="95"/>
      <c r="G82" s="95"/>
      <c r="H82" s="95"/>
      <c r="I82" s="98"/>
      <c r="J82" s="95"/>
    </row>
    <row r="83" spans="1:10" x14ac:dyDescent="0.25">
      <c r="A83" s="95"/>
      <c r="B83" s="95"/>
      <c r="C83" s="95"/>
      <c r="D83" s="95"/>
      <c r="E83" s="95"/>
      <c r="F83" s="95"/>
      <c r="G83" s="95"/>
      <c r="H83" s="95"/>
      <c r="I83" s="98"/>
      <c r="J83" s="95"/>
    </row>
    <row r="84" spans="1:10" x14ac:dyDescent="0.25">
      <c r="A84" s="95"/>
      <c r="B84" s="95"/>
      <c r="C84" s="95"/>
      <c r="D84" s="95"/>
      <c r="E84" s="95"/>
      <c r="F84" s="95"/>
      <c r="G84" s="95"/>
      <c r="H84" s="95"/>
      <c r="I84" s="98"/>
      <c r="J84" s="95"/>
    </row>
    <row r="85" spans="1:10" x14ac:dyDescent="0.25">
      <c r="A85" s="95"/>
      <c r="B85" s="95"/>
      <c r="C85" s="95"/>
      <c r="D85" s="95"/>
      <c r="E85" s="95"/>
      <c r="F85" s="95"/>
      <c r="G85" s="95"/>
      <c r="H85" s="95"/>
      <c r="I85" s="98"/>
      <c r="J85" s="95"/>
    </row>
  </sheetData>
  <pageMargins left="0.25" right="0.25" top="0.75" bottom="0.75" header="0.3" footer="0.3"/>
  <pageSetup scale="61" orientation="portrait" r:id="rId1"/>
  <headerFooter alignWithMargins="0">
    <oddHeader>&amp;L&amp;14SOUTH KENTUCKY RURAL ELECTRIC COOPERATIVE
Adjustment to Reflect Year End Number of Customers
12 Months Ended March 31, 2020</oddHeader>
  </headerFooter>
  <rowBreaks count="1" manualBreakCount="1">
    <brk id="49" max="9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U48"/>
  <sheetViews>
    <sheetView workbookViewId="0">
      <selection activeCell="M1" sqref="M1:M2"/>
    </sheetView>
  </sheetViews>
  <sheetFormatPr defaultRowHeight="14.4" x14ac:dyDescent="0.3"/>
  <cols>
    <col min="1" max="1" width="7.33203125" customWidth="1"/>
    <col min="4" max="4" width="14.33203125" bestFit="1" customWidth="1"/>
    <col min="8" max="8" width="11.33203125" customWidth="1"/>
    <col min="10" max="10" width="18.5546875" customWidth="1"/>
    <col min="11" max="11" width="18.6640625" customWidth="1"/>
    <col min="15" max="15" width="14.33203125" bestFit="1" customWidth="1"/>
  </cols>
  <sheetData>
    <row r="1" spans="1:21" x14ac:dyDescent="0.3">
      <c r="M1" s="127" t="s">
        <v>276</v>
      </c>
    </row>
    <row r="2" spans="1:21" x14ac:dyDescent="0.3">
      <c r="M2" s="126" t="s">
        <v>286</v>
      </c>
    </row>
    <row r="3" spans="1:21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21" x14ac:dyDescent="0.3">
      <c r="A5" s="168" t="s">
        <v>156</v>
      </c>
      <c r="B5" s="168"/>
      <c r="C5" s="168"/>
      <c r="D5" s="168"/>
      <c r="E5" s="168"/>
      <c r="F5" s="168"/>
      <c r="G5" s="168"/>
      <c r="H5" s="168"/>
      <c r="I5" s="168"/>
      <c r="J5" s="168"/>
    </row>
    <row r="7" spans="1:21" ht="15.6" x14ac:dyDescent="0.3"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x14ac:dyDescent="0.3">
      <c r="A8" s="18">
        <v>1</v>
      </c>
      <c r="B8" t="s">
        <v>146</v>
      </c>
      <c r="J8" t="s">
        <v>153</v>
      </c>
      <c r="K8" s="40">
        <v>279111021.17000002</v>
      </c>
    </row>
    <row r="9" spans="1:21" x14ac:dyDescent="0.3">
      <c r="A9" s="1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x14ac:dyDescent="0.3">
      <c r="A10" s="18">
        <v>2</v>
      </c>
      <c r="B10" t="s">
        <v>154</v>
      </c>
    </row>
    <row r="11" spans="1:21" x14ac:dyDescent="0.3">
      <c r="B11">
        <v>403.7</v>
      </c>
      <c r="C11" t="s">
        <v>151</v>
      </c>
      <c r="D11" s="53">
        <f>951459.47-2774.91</f>
        <v>948684.55999999994</v>
      </c>
      <c r="K11" s="25">
        <f>SUM(D11:D13)</f>
        <v>9078214.3900000006</v>
      </c>
    </row>
    <row r="12" spans="1:21" x14ac:dyDescent="0.3">
      <c r="A12" s="18"/>
      <c r="B12">
        <v>403.6</v>
      </c>
      <c r="C12" t="s">
        <v>152</v>
      </c>
      <c r="D12" s="53">
        <v>7942300.9100000001</v>
      </c>
      <c r="L12" s="18"/>
      <c r="U12" s="62"/>
    </row>
    <row r="13" spans="1:21" x14ac:dyDescent="0.3">
      <c r="A13" s="18"/>
      <c r="B13">
        <v>407.1</v>
      </c>
      <c r="C13" t="s">
        <v>171</v>
      </c>
      <c r="D13" s="53">
        <v>187228.92</v>
      </c>
      <c r="L13" s="18"/>
    </row>
    <row r="14" spans="1:21" x14ac:dyDescent="0.3">
      <c r="A14" s="18"/>
      <c r="D14" s="53"/>
      <c r="L14" s="18"/>
    </row>
    <row r="15" spans="1:21" x14ac:dyDescent="0.3">
      <c r="A15" s="18">
        <v>3</v>
      </c>
      <c r="B15" t="s">
        <v>155</v>
      </c>
      <c r="K15" s="25">
        <f>SUM(D16:D18)</f>
        <v>9206933.040000001</v>
      </c>
      <c r="O15" s="53"/>
      <c r="U15" s="25"/>
    </row>
    <row r="16" spans="1:21" x14ac:dyDescent="0.3">
      <c r="A16" s="18"/>
      <c r="B16">
        <v>403.7</v>
      </c>
      <c r="C16" t="s">
        <v>151</v>
      </c>
      <c r="D16" s="60">
        <v>962778</v>
      </c>
      <c r="K16" s="25"/>
      <c r="L16" s="18"/>
      <c r="O16" s="53"/>
    </row>
    <row r="17" spans="1:21" x14ac:dyDescent="0.3">
      <c r="A17" s="18"/>
      <c r="B17">
        <v>403.6</v>
      </c>
      <c r="C17" t="s">
        <v>152</v>
      </c>
      <c r="D17" s="53">
        <v>8056926.1200000001</v>
      </c>
      <c r="K17" s="25"/>
      <c r="L17" s="18"/>
      <c r="O17" s="53"/>
    </row>
    <row r="18" spans="1:21" x14ac:dyDescent="0.3">
      <c r="A18" s="18"/>
      <c r="B18">
        <v>407.1</v>
      </c>
      <c r="C18" t="s">
        <v>171</v>
      </c>
      <c r="D18" s="53">
        <v>187228.92</v>
      </c>
      <c r="K18" s="25"/>
      <c r="L18" s="18"/>
      <c r="O18" s="53"/>
    </row>
    <row r="19" spans="1:21" x14ac:dyDescent="0.3">
      <c r="A19" s="18"/>
      <c r="L19" s="18"/>
      <c r="O19" s="53"/>
    </row>
    <row r="20" spans="1:21" x14ac:dyDescent="0.3">
      <c r="A20" s="18">
        <v>5</v>
      </c>
      <c r="B20" t="s">
        <v>258</v>
      </c>
      <c r="K20" s="22">
        <f>SUM(-K11+K15)</f>
        <v>128718.65000000037</v>
      </c>
      <c r="L20" s="18"/>
      <c r="O20" s="53"/>
    </row>
    <row r="21" spans="1:21" x14ac:dyDescent="0.3">
      <c r="A21" s="18"/>
      <c r="L21" s="18"/>
      <c r="U21" s="25"/>
    </row>
    <row r="22" spans="1:21" x14ac:dyDescent="0.3">
      <c r="L22" s="18"/>
      <c r="O22" s="53"/>
      <c r="U22" s="25"/>
    </row>
    <row r="23" spans="1:21" x14ac:dyDescent="0.3">
      <c r="F23" s="3" t="s">
        <v>249</v>
      </c>
      <c r="G23" s="3" t="s">
        <v>250</v>
      </c>
      <c r="H23" s="3"/>
      <c r="K23" s="3" t="s">
        <v>109</v>
      </c>
      <c r="L23" s="18"/>
      <c r="O23" s="53"/>
      <c r="U23" s="25"/>
    </row>
    <row r="24" spans="1:21" x14ac:dyDescent="0.3">
      <c r="F24" s="3" t="s">
        <v>256</v>
      </c>
      <c r="G24" s="3" t="s">
        <v>256</v>
      </c>
      <c r="H24" s="3"/>
      <c r="J24" s="3" t="s">
        <v>252</v>
      </c>
      <c r="K24" s="3" t="s">
        <v>254</v>
      </c>
      <c r="L24" s="18"/>
      <c r="O24" s="53"/>
      <c r="U24" s="25"/>
    </row>
    <row r="25" spans="1:21" x14ac:dyDescent="0.3">
      <c r="B25" s="113" t="s">
        <v>236</v>
      </c>
      <c r="C25" s="113" t="s">
        <v>237</v>
      </c>
      <c r="F25" s="3" t="s">
        <v>195</v>
      </c>
      <c r="G25" s="3" t="s">
        <v>195</v>
      </c>
      <c r="H25" s="3" t="s">
        <v>251</v>
      </c>
      <c r="J25" s="115" t="s">
        <v>253</v>
      </c>
      <c r="K25" s="3" t="s">
        <v>255</v>
      </c>
      <c r="L25" s="18"/>
      <c r="O25" s="53"/>
    </row>
    <row r="26" spans="1:21" x14ac:dyDescent="0.3">
      <c r="B26" s="112"/>
      <c r="L26" s="18"/>
      <c r="O26" s="53"/>
    </row>
    <row r="27" spans="1:21" x14ac:dyDescent="0.3">
      <c r="A27" s="18">
        <f>A20+1</f>
        <v>6</v>
      </c>
      <c r="B27" s="112">
        <v>361</v>
      </c>
      <c r="C27" t="s">
        <v>247</v>
      </c>
      <c r="F27" s="114">
        <v>2.9750000000000002E-2</v>
      </c>
      <c r="G27" s="114">
        <v>2.9750000000000002E-2</v>
      </c>
      <c r="H27" s="51">
        <f t="shared" ref="H27:H37" si="0">G27-F27</f>
        <v>0</v>
      </c>
      <c r="J27" s="42">
        <v>17823.849999999999</v>
      </c>
      <c r="K27" s="47">
        <f t="shared" ref="K27:K37" si="1">H27*J27</f>
        <v>0</v>
      </c>
      <c r="L27" s="18"/>
    </row>
    <row r="28" spans="1:21" x14ac:dyDescent="0.3">
      <c r="A28" s="18">
        <f t="shared" ref="A28:A37" si="2">A27+1</f>
        <v>7</v>
      </c>
      <c r="B28" s="112">
        <v>362</v>
      </c>
      <c r="C28" t="s">
        <v>238</v>
      </c>
      <c r="F28" s="114">
        <v>3.0750000000000003E-2</v>
      </c>
      <c r="G28" s="114">
        <v>3.3669999999999999E-2</v>
      </c>
      <c r="H28" s="51">
        <f t="shared" si="0"/>
        <v>2.9199999999999955E-3</v>
      </c>
      <c r="J28" s="42">
        <f>138936.07+665741.72</f>
        <v>804677.79</v>
      </c>
      <c r="K28" s="47">
        <f t="shared" si="1"/>
        <v>2349.6591467999965</v>
      </c>
      <c r="L28" s="18"/>
      <c r="U28" s="63"/>
    </row>
    <row r="29" spans="1:21" x14ac:dyDescent="0.3">
      <c r="A29" s="18">
        <f t="shared" si="2"/>
        <v>8</v>
      </c>
      <c r="B29" s="112">
        <v>364</v>
      </c>
      <c r="C29" t="s">
        <v>239</v>
      </c>
      <c r="F29" s="114">
        <v>3.7499999999999999E-2</v>
      </c>
      <c r="G29" s="114">
        <v>3.6999999999999998E-2</v>
      </c>
      <c r="H29" s="51">
        <f t="shared" si="0"/>
        <v>-5.0000000000000044E-4</v>
      </c>
      <c r="J29" s="42">
        <v>64682568.649999999</v>
      </c>
      <c r="K29" s="47">
        <f t="shared" si="1"/>
        <v>-32341.28432500003</v>
      </c>
      <c r="L29" s="18"/>
    </row>
    <row r="30" spans="1:21" x14ac:dyDescent="0.3">
      <c r="A30" s="18">
        <f t="shared" si="2"/>
        <v>9</v>
      </c>
      <c r="B30" s="112">
        <v>365</v>
      </c>
      <c r="C30" t="s">
        <v>240</v>
      </c>
      <c r="F30" s="114">
        <v>2.6749999999999999E-2</v>
      </c>
      <c r="G30" s="114">
        <v>2.6419999999999999E-2</v>
      </c>
      <c r="H30" s="51">
        <f t="shared" si="0"/>
        <v>-3.3000000000000043E-4</v>
      </c>
      <c r="J30" s="42">
        <v>66367201.479999997</v>
      </c>
      <c r="K30" s="47">
        <f t="shared" si="1"/>
        <v>-21901.176488400026</v>
      </c>
    </row>
    <row r="31" spans="1:21" x14ac:dyDescent="0.3">
      <c r="A31" s="18">
        <f t="shared" si="2"/>
        <v>10</v>
      </c>
      <c r="B31" s="112">
        <v>366</v>
      </c>
      <c r="C31" t="s">
        <v>241</v>
      </c>
      <c r="F31" s="114">
        <v>2.1749999999999999E-2</v>
      </c>
      <c r="G31" s="114">
        <v>2.0830000000000001E-2</v>
      </c>
      <c r="H31" s="51">
        <f t="shared" si="0"/>
        <v>-9.1999999999999721E-4</v>
      </c>
      <c r="J31" s="42">
        <v>634716.06999999995</v>
      </c>
      <c r="K31" s="47">
        <f t="shared" si="1"/>
        <v>-583.93878439999821</v>
      </c>
    </row>
    <row r="32" spans="1:21" x14ac:dyDescent="0.3">
      <c r="A32" s="18">
        <f t="shared" si="2"/>
        <v>11</v>
      </c>
      <c r="B32" s="112">
        <v>367</v>
      </c>
      <c r="C32" t="s">
        <v>242</v>
      </c>
      <c r="F32" s="114">
        <v>2.775E-2</v>
      </c>
      <c r="G32" s="114">
        <v>3.0880000000000001E-2</v>
      </c>
      <c r="H32" s="51">
        <f t="shared" si="0"/>
        <v>3.1300000000000008E-3</v>
      </c>
      <c r="J32" s="42">
        <v>8799636.5800000001</v>
      </c>
      <c r="K32" s="47">
        <f t="shared" si="1"/>
        <v>27542.862495400008</v>
      </c>
    </row>
    <row r="33" spans="1:11" x14ac:dyDescent="0.3">
      <c r="A33" s="18">
        <f t="shared" si="2"/>
        <v>12</v>
      </c>
      <c r="B33" s="112">
        <v>368</v>
      </c>
      <c r="C33" t="s">
        <v>243</v>
      </c>
      <c r="F33" s="114">
        <v>2.9750000000000002E-2</v>
      </c>
      <c r="G33" s="114">
        <v>3.0259999999999999E-2</v>
      </c>
      <c r="H33" s="51">
        <f t="shared" si="0"/>
        <v>5.0999999999999657E-4</v>
      </c>
      <c r="J33" s="42">
        <v>42438200.770000003</v>
      </c>
      <c r="K33" s="47">
        <f t="shared" si="1"/>
        <v>21643.482392699854</v>
      </c>
    </row>
    <row r="34" spans="1:11" x14ac:dyDescent="0.3">
      <c r="A34" s="18">
        <f t="shared" si="2"/>
        <v>13</v>
      </c>
      <c r="B34" s="112">
        <v>369</v>
      </c>
      <c r="C34" t="s">
        <v>244</v>
      </c>
      <c r="F34" s="114">
        <v>3.4750000000000003E-2</v>
      </c>
      <c r="G34" s="114">
        <v>3.4520000000000002E-2</v>
      </c>
      <c r="H34" s="51">
        <f t="shared" si="0"/>
        <v>-2.3000000000000104E-4</v>
      </c>
      <c r="J34" s="42">
        <v>29932855.140000001</v>
      </c>
      <c r="K34" s="47">
        <f t="shared" si="1"/>
        <v>-6884.556682200031</v>
      </c>
    </row>
    <row r="35" spans="1:11" x14ac:dyDescent="0.3">
      <c r="A35" s="18">
        <f t="shared" si="2"/>
        <v>14</v>
      </c>
      <c r="B35" s="112">
        <v>370</v>
      </c>
      <c r="C35" t="s">
        <v>248</v>
      </c>
      <c r="F35" s="114">
        <v>3.2750000000000001E-2</v>
      </c>
      <c r="G35" s="114">
        <v>5.0500000000000003E-2</v>
      </c>
      <c r="H35" s="51">
        <f t="shared" si="0"/>
        <v>1.7750000000000002E-2</v>
      </c>
      <c r="J35" s="42">
        <f>817942.07+9655000.49+512327.83+475719.07</f>
        <v>11460989.460000001</v>
      </c>
      <c r="K35" s="47">
        <f t="shared" si="1"/>
        <v>203432.56291500005</v>
      </c>
    </row>
    <row r="36" spans="1:11" x14ac:dyDescent="0.3">
      <c r="A36" s="18">
        <f t="shared" si="2"/>
        <v>15</v>
      </c>
      <c r="B36" s="112">
        <v>371</v>
      </c>
      <c r="C36" t="s">
        <v>245</v>
      </c>
      <c r="F36" s="114">
        <v>4.1749999999999995E-2</v>
      </c>
      <c r="G36" s="114">
        <v>5.7889999999999997E-2</v>
      </c>
      <c r="H36" s="51">
        <f t="shared" si="0"/>
        <v>1.6140000000000002E-2</v>
      </c>
      <c r="J36" s="42">
        <v>11177609.92</v>
      </c>
      <c r="K36" s="47">
        <f t="shared" si="1"/>
        <v>180406.62410880002</v>
      </c>
    </row>
    <row r="37" spans="1:11" x14ac:dyDescent="0.3">
      <c r="A37" s="18">
        <f t="shared" si="2"/>
        <v>16</v>
      </c>
      <c r="B37" s="112">
        <v>373</v>
      </c>
      <c r="C37" t="s">
        <v>246</v>
      </c>
      <c r="F37" s="114">
        <v>4.1749999999999995E-2</v>
      </c>
      <c r="G37" s="114">
        <v>5.7889999999999997E-2</v>
      </c>
      <c r="H37" s="51">
        <f t="shared" si="0"/>
        <v>1.6140000000000002E-2</v>
      </c>
      <c r="J37" s="42">
        <v>1215417.51</v>
      </c>
      <c r="K37" s="47">
        <f t="shared" si="1"/>
        <v>19616.838611400002</v>
      </c>
    </row>
    <row r="39" spans="1:11" x14ac:dyDescent="0.3">
      <c r="A39" s="18">
        <f>A37+1</f>
        <v>17</v>
      </c>
      <c r="B39" t="s">
        <v>257</v>
      </c>
      <c r="K39" s="22">
        <f>SUM(K27:K38)</f>
        <v>393281.0733900998</v>
      </c>
    </row>
    <row r="42" spans="1:11" ht="15" thickBot="1" x14ac:dyDescent="0.35">
      <c r="A42" s="38">
        <f>A39+1</f>
        <v>18</v>
      </c>
      <c r="B42" s="37" t="s">
        <v>259</v>
      </c>
      <c r="C42" s="37"/>
      <c r="D42" s="37"/>
      <c r="E42" s="37"/>
      <c r="F42" s="37"/>
      <c r="G42" s="37"/>
      <c r="H42" s="37"/>
      <c r="I42" s="37"/>
      <c r="J42" s="37"/>
      <c r="K42" s="116">
        <f>K39+K20</f>
        <v>521999.72339010017</v>
      </c>
    </row>
    <row r="43" spans="1:11" ht="15" thickTop="1" x14ac:dyDescent="0.3"/>
    <row r="46" spans="1:11" x14ac:dyDescent="0.3">
      <c r="B46" s="112"/>
    </row>
    <row r="47" spans="1:11" x14ac:dyDescent="0.3">
      <c r="B47" s="112"/>
    </row>
    <row r="48" spans="1:11" x14ac:dyDescent="0.3">
      <c r="B48" s="112"/>
    </row>
  </sheetData>
  <mergeCells count="2">
    <mergeCell ref="A3:J3"/>
    <mergeCell ref="A5:J5"/>
  </mergeCells>
  <pageMargins left="0.7" right="0.7" top="0.75" bottom="0.75" header="0.3" footer="0.3"/>
  <pageSetup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N13"/>
  <sheetViews>
    <sheetView workbookViewId="0">
      <selection activeCell="L1" sqref="L1:L2"/>
    </sheetView>
  </sheetViews>
  <sheetFormatPr defaultRowHeight="14.4" x14ac:dyDescent="0.3"/>
  <cols>
    <col min="1" max="1" width="7.33203125" customWidth="1"/>
    <col min="10" max="10" width="18.5546875" customWidth="1"/>
  </cols>
  <sheetData>
    <row r="1" spans="1:14" x14ac:dyDescent="0.3">
      <c r="L1" s="127" t="s">
        <v>276</v>
      </c>
    </row>
    <row r="2" spans="1:14" x14ac:dyDescent="0.3">
      <c r="L2" s="126" t="s">
        <v>287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148</v>
      </c>
      <c r="B5" s="168"/>
      <c r="C5" s="168"/>
      <c r="D5" s="168"/>
      <c r="E5" s="168"/>
      <c r="F5" s="168"/>
      <c r="G5" s="168"/>
      <c r="H5" s="168"/>
      <c r="I5" s="168"/>
      <c r="J5" s="168"/>
    </row>
    <row r="8" spans="1:14" x14ac:dyDescent="0.3">
      <c r="A8" s="18">
        <v>1</v>
      </c>
      <c r="B8" t="s">
        <v>149</v>
      </c>
      <c r="J8" s="40">
        <v>186211.08</v>
      </c>
      <c r="K8" s="20"/>
      <c r="L8" s="20"/>
      <c r="M8" s="20"/>
      <c r="N8" s="20"/>
    </row>
    <row r="9" spans="1:14" x14ac:dyDescent="0.3">
      <c r="A9" s="18"/>
    </row>
    <row r="10" spans="1:14" x14ac:dyDescent="0.3">
      <c r="A10" s="18">
        <v>2</v>
      </c>
      <c r="B10" t="s">
        <v>150</v>
      </c>
      <c r="J10" s="25">
        <v>186211</v>
      </c>
    </row>
    <row r="11" spans="1:14" x14ac:dyDescent="0.3">
      <c r="A11" s="18"/>
    </row>
    <row r="12" spans="1:14" x14ac:dyDescent="0.3">
      <c r="A12" s="18"/>
      <c r="J12" s="22">
        <f>SUM(J10:J11)</f>
        <v>186211</v>
      </c>
    </row>
    <row r="13" spans="1:14" x14ac:dyDescent="0.3">
      <c r="A13" s="18"/>
    </row>
  </sheetData>
  <mergeCells count="2">
    <mergeCell ref="A3:J3"/>
    <mergeCell ref="A5:J5"/>
  </mergeCells>
  <pageMargins left="0.7" right="0.7" top="0.75" bottom="0.75" header="0.3" footer="0.3"/>
  <pageSetup scale="7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N13"/>
  <sheetViews>
    <sheetView workbookViewId="0">
      <selection activeCell="E12" sqref="E12"/>
    </sheetView>
  </sheetViews>
  <sheetFormatPr defaultRowHeight="14.4" x14ac:dyDescent="0.3"/>
  <cols>
    <col min="1" max="1" width="7.33203125" customWidth="1"/>
    <col min="10" max="10" width="18.5546875" customWidth="1"/>
  </cols>
  <sheetData>
    <row r="1" spans="1:14" x14ac:dyDescent="0.3">
      <c r="L1" s="127" t="s">
        <v>276</v>
      </c>
    </row>
    <row r="2" spans="1:14" x14ac:dyDescent="0.3">
      <c r="L2" s="126" t="s">
        <v>288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158</v>
      </c>
      <c r="B5" s="168"/>
      <c r="C5" s="168"/>
      <c r="D5" s="168"/>
      <c r="E5" s="168"/>
      <c r="F5" s="168"/>
      <c r="G5" s="168"/>
      <c r="H5" s="168"/>
      <c r="I5" s="168"/>
      <c r="J5" s="168"/>
    </row>
    <row r="8" spans="1:14" x14ac:dyDescent="0.3">
      <c r="A8" s="18">
        <v>1</v>
      </c>
      <c r="B8" t="s">
        <v>168</v>
      </c>
      <c r="J8" s="40">
        <v>60966.49</v>
      </c>
      <c r="K8" s="20"/>
      <c r="L8" s="20"/>
      <c r="M8" s="20"/>
      <c r="N8" s="20"/>
    </row>
    <row r="9" spans="1:14" x14ac:dyDescent="0.3">
      <c r="A9" s="18"/>
    </row>
    <row r="10" spans="1:14" x14ac:dyDescent="0.3">
      <c r="A10" s="18">
        <v>2</v>
      </c>
      <c r="B10" t="s">
        <v>170</v>
      </c>
      <c r="J10" s="25">
        <v>-20466</v>
      </c>
    </row>
    <row r="11" spans="1:14" x14ac:dyDescent="0.3">
      <c r="A11" s="18"/>
    </row>
    <row r="12" spans="1:14" x14ac:dyDescent="0.3">
      <c r="A12" s="18"/>
      <c r="E12" t="s">
        <v>169</v>
      </c>
      <c r="J12" s="22">
        <f>SUM(J8:J11)</f>
        <v>40500.49</v>
      </c>
    </row>
    <row r="13" spans="1:14" x14ac:dyDescent="0.3">
      <c r="A13" s="18"/>
    </row>
  </sheetData>
  <mergeCells count="2">
    <mergeCell ref="A3:J3"/>
    <mergeCell ref="A5:J5"/>
  </mergeCells>
  <pageMargins left="0.7" right="0.7" top="0.75" bottom="0.75" header="0.3" footer="0.3"/>
  <pageSetup scale="7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  <pageSetUpPr fitToPage="1"/>
  </sheetPr>
  <dimension ref="A1:N20"/>
  <sheetViews>
    <sheetView workbookViewId="0">
      <selection activeCell="J19" sqref="J19"/>
    </sheetView>
  </sheetViews>
  <sheetFormatPr defaultRowHeight="14.4" x14ac:dyDescent="0.3"/>
  <cols>
    <col min="1" max="1" width="7.33203125" customWidth="1"/>
    <col min="10" max="10" width="25.5546875" customWidth="1"/>
  </cols>
  <sheetData>
    <row r="1" spans="1:14" x14ac:dyDescent="0.3">
      <c r="L1" s="127" t="s">
        <v>276</v>
      </c>
    </row>
    <row r="2" spans="1:14" x14ac:dyDescent="0.3">
      <c r="L2" s="126" t="s">
        <v>289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160</v>
      </c>
      <c r="B5" s="168"/>
      <c r="C5" s="168"/>
      <c r="D5" s="168"/>
      <c r="E5" s="168"/>
      <c r="F5" s="168"/>
      <c r="G5" s="168"/>
      <c r="H5" s="168"/>
      <c r="I5" s="168"/>
      <c r="J5" s="168"/>
    </row>
    <row r="7" spans="1:14" x14ac:dyDescent="0.3">
      <c r="J7" s="57" t="s">
        <v>165</v>
      </c>
    </row>
    <row r="8" spans="1:14" x14ac:dyDescent="0.3">
      <c r="A8" s="18">
        <v>1</v>
      </c>
      <c r="B8" t="s">
        <v>161</v>
      </c>
      <c r="J8" s="58">
        <f>9100+1534.64+10835.59-619-1238-1857</f>
        <v>17756.23</v>
      </c>
      <c r="K8" s="20"/>
      <c r="L8" s="20"/>
      <c r="M8" s="20"/>
      <c r="N8" s="20"/>
    </row>
    <row r="9" spans="1:14" x14ac:dyDescent="0.3">
      <c r="A9" s="18"/>
      <c r="J9" s="59"/>
    </row>
    <row r="10" spans="1:14" x14ac:dyDescent="0.3">
      <c r="A10" s="18">
        <v>2</v>
      </c>
      <c r="B10" t="s">
        <v>162</v>
      </c>
      <c r="J10" s="60">
        <v>250</v>
      </c>
    </row>
    <row r="11" spans="1:14" x14ac:dyDescent="0.3">
      <c r="A11" s="18"/>
      <c r="J11" s="59"/>
    </row>
    <row r="12" spans="1:14" x14ac:dyDescent="0.3">
      <c r="A12" s="18">
        <v>3</v>
      </c>
      <c r="B12" t="s">
        <v>167</v>
      </c>
      <c r="J12" s="59">
        <v>177.19</v>
      </c>
    </row>
    <row r="13" spans="1:14" x14ac:dyDescent="0.3">
      <c r="A13" s="18"/>
      <c r="J13" s="59"/>
    </row>
    <row r="14" spans="1:14" x14ac:dyDescent="0.3">
      <c r="A14" s="18">
        <v>3</v>
      </c>
      <c r="B14" t="s">
        <v>163</v>
      </c>
      <c r="J14" s="59">
        <v>0</v>
      </c>
    </row>
    <row r="15" spans="1:14" x14ac:dyDescent="0.3">
      <c r="A15" s="18"/>
      <c r="J15" s="59"/>
    </row>
    <row r="16" spans="1:14" x14ac:dyDescent="0.3">
      <c r="A16" s="18">
        <v>4</v>
      </c>
      <c r="B16" t="s">
        <v>164</v>
      </c>
      <c r="J16" s="59">
        <v>6278.22</v>
      </c>
    </row>
    <row r="17" spans="1:10" x14ac:dyDescent="0.3">
      <c r="A17" s="18"/>
      <c r="J17" s="59"/>
    </row>
    <row r="18" spans="1:10" x14ac:dyDescent="0.3">
      <c r="A18" s="18">
        <v>5</v>
      </c>
      <c r="B18" t="s">
        <v>166</v>
      </c>
      <c r="J18" s="59">
        <v>124</v>
      </c>
    </row>
    <row r="19" spans="1:10" x14ac:dyDescent="0.3">
      <c r="A19" s="18"/>
      <c r="E19" t="s">
        <v>184</v>
      </c>
      <c r="J19" s="61">
        <f>SUM(J8:J18)</f>
        <v>24585.64</v>
      </c>
    </row>
    <row r="20" spans="1:10" x14ac:dyDescent="0.3">
      <c r="A20" s="18"/>
    </row>
  </sheetData>
  <mergeCells count="2">
    <mergeCell ref="A3:J3"/>
    <mergeCell ref="A5:J5"/>
  </mergeCells>
  <pageMargins left="0.7" right="0.7" top="0.75" bottom="0.75" header="0.3" footer="0.3"/>
  <pageSetup scale="74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  <pageSetUpPr fitToPage="1"/>
  </sheetPr>
  <dimension ref="A1:N23"/>
  <sheetViews>
    <sheetView workbookViewId="0">
      <selection activeCell="L1" sqref="L1:L2"/>
    </sheetView>
  </sheetViews>
  <sheetFormatPr defaultRowHeight="14.4" x14ac:dyDescent="0.3"/>
  <cols>
    <col min="1" max="1" width="7.33203125" customWidth="1"/>
    <col min="10" max="10" width="18.5546875" customWidth="1"/>
  </cols>
  <sheetData>
    <row r="1" spans="1:14" x14ac:dyDescent="0.3">
      <c r="L1" s="127" t="s">
        <v>276</v>
      </c>
    </row>
    <row r="2" spans="1:14" x14ac:dyDescent="0.3">
      <c r="L2" s="126" t="s">
        <v>290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173</v>
      </c>
      <c r="B5" s="168"/>
      <c r="C5" s="168"/>
      <c r="D5" s="168"/>
      <c r="E5" s="168"/>
      <c r="F5" s="168"/>
      <c r="G5" s="168"/>
      <c r="H5" s="168"/>
      <c r="I5" s="168"/>
      <c r="J5" s="168"/>
    </row>
    <row r="8" spans="1:14" x14ac:dyDescent="0.3">
      <c r="A8" s="18">
        <v>1</v>
      </c>
      <c r="B8" t="s">
        <v>174</v>
      </c>
      <c r="J8" s="40">
        <v>-6340583</v>
      </c>
      <c r="K8" s="20"/>
      <c r="L8" s="20"/>
      <c r="M8" s="20"/>
      <c r="N8" s="20"/>
    </row>
    <row r="9" spans="1:14" x14ac:dyDescent="0.3">
      <c r="A9" s="18"/>
    </row>
    <row r="10" spans="1:14" x14ac:dyDescent="0.3">
      <c r="A10" s="18">
        <v>2</v>
      </c>
      <c r="B10" t="s">
        <v>185</v>
      </c>
      <c r="J10" s="25">
        <v>-5639873.0599999996</v>
      </c>
    </row>
    <row r="11" spans="1:14" x14ac:dyDescent="0.3">
      <c r="A11" s="18"/>
    </row>
    <row r="12" spans="1:14" x14ac:dyDescent="0.3">
      <c r="A12" s="18">
        <v>3</v>
      </c>
      <c r="B12" t="s">
        <v>175</v>
      </c>
      <c r="J12" s="67">
        <v>-700709.94</v>
      </c>
    </row>
    <row r="13" spans="1:14" x14ac:dyDescent="0.3">
      <c r="A13" s="18"/>
      <c r="J13" s="22">
        <f>SUM(J8-J10-J12)</f>
        <v>-4.6566128730773926E-10</v>
      </c>
    </row>
    <row r="14" spans="1:14" x14ac:dyDescent="0.3">
      <c r="A14" s="18"/>
      <c r="J14" s="63"/>
    </row>
    <row r="15" spans="1:14" x14ac:dyDescent="0.3">
      <c r="A15" s="18">
        <v>4</v>
      </c>
      <c r="B15" t="s">
        <v>177</v>
      </c>
      <c r="J15" s="68">
        <v>12571723</v>
      </c>
    </row>
    <row r="16" spans="1:14" x14ac:dyDescent="0.3">
      <c r="A16" s="18"/>
    </row>
    <row r="17" spans="1:10" x14ac:dyDescent="0.3">
      <c r="A17" s="18">
        <v>2</v>
      </c>
      <c r="B17" t="s">
        <v>186</v>
      </c>
      <c r="J17" s="25">
        <v>12128322.140000001</v>
      </c>
    </row>
    <row r="18" spans="1:10" x14ac:dyDescent="0.3">
      <c r="A18" s="18"/>
    </row>
    <row r="19" spans="1:10" x14ac:dyDescent="0.3">
      <c r="A19" s="18">
        <v>3</v>
      </c>
      <c r="B19" t="s">
        <v>178</v>
      </c>
      <c r="J19" s="67">
        <f>218701.48+362780-138080.62</f>
        <v>443400.86</v>
      </c>
    </row>
    <row r="20" spans="1:10" x14ac:dyDescent="0.3">
      <c r="A20" s="18"/>
      <c r="J20" s="22">
        <f>SUM(J15-J17-J19)</f>
        <v>-5.8207660913467407E-10</v>
      </c>
    </row>
    <row r="21" spans="1:10" x14ac:dyDescent="0.3">
      <c r="A21" s="18"/>
      <c r="J21" s="64"/>
    </row>
    <row r="22" spans="1:10" ht="15" thickBot="1" x14ac:dyDescent="0.35">
      <c r="A22" s="18"/>
      <c r="E22" t="s">
        <v>176</v>
      </c>
      <c r="J22" s="65">
        <f>SUM(J13+J20)</f>
        <v>-1.0477378964424133E-9</v>
      </c>
    </row>
    <row r="23" spans="1:10" ht="15" thickTop="1" x14ac:dyDescent="0.3">
      <c r="A23" s="18"/>
    </row>
  </sheetData>
  <mergeCells count="2">
    <mergeCell ref="A3:J3"/>
    <mergeCell ref="A5:J5"/>
  </mergeCells>
  <pageMargins left="0.7" right="0.7" top="0.75" bottom="0.75" header="0.3" footer="0.3"/>
  <pageSetup scale="7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N15"/>
  <sheetViews>
    <sheetView workbookViewId="0">
      <selection activeCell="L1" sqref="L1:L2"/>
    </sheetView>
  </sheetViews>
  <sheetFormatPr defaultRowHeight="14.4" x14ac:dyDescent="0.3"/>
  <cols>
    <col min="1" max="1" width="7.33203125" customWidth="1"/>
    <col min="10" max="10" width="25.5546875" customWidth="1"/>
  </cols>
  <sheetData>
    <row r="1" spans="1:14" x14ac:dyDescent="0.3">
      <c r="L1" s="127" t="s">
        <v>276</v>
      </c>
    </row>
    <row r="2" spans="1:14" x14ac:dyDescent="0.3">
      <c r="L2" s="126" t="s">
        <v>291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179</v>
      </c>
      <c r="B5" s="168"/>
      <c r="C5" s="168"/>
      <c r="D5" s="168"/>
      <c r="E5" s="168"/>
      <c r="F5" s="168"/>
      <c r="G5" s="168"/>
      <c r="H5" s="168"/>
      <c r="I5" s="168"/>
      <c r="J5" s="168"/>
    </row>
    <row r="7" spans="1:14" x14ac:dyDescent="0.3">
      <c r="J7" s="57" t="s">
        <v>165</v>
      </c>
    </row>
    <row r="8" spans="1:14" x14ac:dyDescent="0.3">
      <c r="A8" s="18">
        <v>1</v>
      </c>
      <c r="B8" t="s">
        <v>180</v>
      </c>
      <c r="G8" s="42">
        <v>-426.1</v>
      </c>
      <c r="J8" s="58">
        <v>17803.86</v>
      </c>
      <c r="K8" s="20"/>
      <c r="L8" s="20"/>
      <c r="M8" s="20"/>
      <c r="N8" s="20"/>
    </row>
    <row r="9" spans="1:14" x14ac:dyDescent="0.3">
      <c r="A9" s="18"/>
      <c r="G9" s="42"/>
      <c r="J9" s="59"/>
    </row>
    <row r="10" spans="1:14" x14ac:dyDescent="0.3">
      <c r="A10" s="18">
        <v>2</v>
      </c>
      <c r="B10" t="s">
        <v>181</v>
      </c>
      <c r="G10" s="42">
        <v>-426.11</v>
      </c>
      <c r="J10" s="60">
        <v>7047.45</v>
      </c>
    </row>
    <row r="11" spans="1:14" x14ac:dyDescent="0.3">
      <c r="A11" s="18"/>
      <c r="J11" s="59"/>
    </row>
    <row r="12" spans="1:14" x14ac:dyDescent="0.3">
      <c r="A12" s="18">
        <v>3</v>
      </c>
      <c r="B12" t="s">
        <v>182</v>
      </c>
      <c r="G12" s="42">
        <v>-426.4</v>
      </c>
      <c r="J12" s="59">
        <v>2455.98</v>
      </c>
    </row>
    <row r="13" spans="1:14" x14ac:dyDescent="0.3">
      <c r="A13" s="18"/>
      <c r="J13" s="59"/>
    </row>
    <row r="14" spans="1:14" x14ac:dyDescent="0.3">
      <c r="A14" s="18"/>
      <c r="D14" t="s">
        <v>183</v>
      </c>
      <c r="J14" s="61">
        <f>-SUM(J8:J13)</f>
        <v>-27307.29</v>
      </c>
    </row>
    <row r="15" spans="1:14" x14ac:dyDescent="0.3">
      <c r="A15" s="18"/>
    </row>
  </sheetData>
  <mergeCells count="2">
    <mergeCell ref="A3:J3"/>
    <mergeCell ref="A5:J5"/>
  </mergeCells>
  <pageMargins left="0.7" right="0.7" top="0.75" bottom="0.75" header="0.3" footer="0.3"/>
  <pageSetup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5"/>
  <sheetViews>
    <sheetView workbookViewId="0">
      <selection activeCell="C50" sqref="C50"/>
    </sheetView>
  </sheetViews>
  <sheetFormatPr defaultRowHeight="14.4" x14ac:dyDescent="0.3"/>
  <cols>
    <col min="2" max="2" width="47.44140625" customWidth="1"/>
    <col min="3" max="3" width="25.109375" customWidth="1"/>
    <col min="4" max="4" width="16.5546875" customWidth="1"/>
    <col min="5" max="5" width="16" customWidth="1"/>
  </cols>
  <sheetData>
    <row r="1" spans="1:6" s="120" customFormat="1" x14ac:dyDescent="0.3">
      <c r="F1" s="127" t="s">
        <v>270</v>
      </c>
    </row>
    <row r="2" spans="1:6" s="120" customFormat="1" x14ac:dyDescent="0.3">
      <c r="F2" s="126" t="s">
        <v>271</v>
      </c>
    </row>
    <row r="3" spans="1:6" s="120" customFormat="1" x14ac:dyDescent="0.3">
      <c r="F3" s="126" t="s">
        <v>275</v>
      </c>
    </row>
    <row r="4" spans="1:6" s="120" customFormat="1" x14ac:dyDescent="0.3">
      <c r="F4" s="126"/>
    </row>
    <row r="5" spans="1:6" s="120" customFormat="1" x14ac:dyDescent="0.3">
      <c r="A5" s="125" t="s">
        <v>273</v>
      </c>
    </row>
    <row r="6" spans="1:6" s="120" customFormat="1" x14ac:dyDescent="0.3">
      <c r="A6" s="123" t="s">
        <v>274</v>
      </c>
    </row>
    <row r="7" spans="1:6" x14ac:dyDescent="0.3">
      <c r="A7" s="123" t="s">
        <v>107</v>
      </c>
    </row>
    <row r="9" spans="1:6" x14ac:dyDescent="0.3">
      <c r="C9" s="37" t="s">
        <v>129</v>
      </c>
    </row>
    <row r="10" spans="1:6" x14ac:dyDescent="0.3">
      <c r="C10" s="38" t="s">
        <v>18</v>
      </c>
      <c r="D10" s="3"/>
      <c r="F10" s="12"/>
    </row>
    <row r="11" spans="1:6" x14ac:dyDescent="0.3">
      <c r="C11" s="39" t="s">
        <v>19</v>
      </c>
      <c r="D11" s="3"/>
      <c r="F11" s="12"/>
    </row>
    <row r="12" spans="1:6" x14ac:dyDescent="0.3">
      <c r="C12" s="117"/>
      <c r="D12" s="3"/>
      <c r="F12" s="12"/>
    </row>
    <row r="13" spans="1:6" x14ac:dyDescent="0.3">
      <c r="C13" s="117"/>
      <c r="D13" s="3"/>
      <c r="F13" s="12"/>
    </row>
    <row r="15" spans="1:6" ht="15.6" x14ac:dyDescent="0.3">
      <c r="A15" s="1">
        <v>1</v>
      </c>
      <c r="B15" s="10" t="s">
        <v>0</v>
      </c>
      <c r="C15" s="4">
        <v>122343019.13</v>
      </c>
    </row>
    <row r="16" spans="1:6" ht="15.6" x14ac:dyDescent="0.3">
      <c r="A16" s="1">
        <v>2</v>
      </c>
      <c r="B16" s="10" t="s">
        <v>260</v>
      </c>
      <c r="C16" s="4">
        <v>12128322.139999997</v>
      </c>
    </row>
    <row r="17" spans="1:5" ht="15.6" x14ac:dyDescent="0.3">
      <c r="A17" s="1">
        <v>3</v>
      </c>
      <c r="B17" s="10" t="s">
        <v>261</v>
      </c>
      <c r="C17" s="9">
        <v>443400.86</v>
      </c>
    </row>
    <row r="18" spans="1:5" ht="15.6" x14ac:dyDescent="0.3">
      <c r="A18" s="1">
        <v>4</v>
      </c>
      <c r="B18" s="10" t="s">
        <v>262</v>
      </c>
      <c r="C18" s="4">
        <f>C15-C16-C17</f>
        <v>109771296.13</v>
      </c>
    </row>
    <row r="19" spans="1:5" ht="15.6" x14ac:dyDescent="0.3">
      <c r="A19" s="1">
        <v>5</v>
      </c>
      <c r="B19" s="10" t="s">
        <v>1</v>
      </c>
      <c r="C19" s="4">
        <v>-74246944.129999995</v>
      </c>
    </row>
    <row r="20" spans="1:5" ht="15.6" x14ac:dyDescent="0.3">
      <c r="A20" s="1">
        <v>6</v>
      </c>
      <c r="B20" s="10" t="s">
        <v>2</v>
      </c>
      <c r="C20" s="5">
        <f>C18+C19</f>
        <v>35524352</v>
      </c>
    </row>
    <row r="21" spans="1:5" ht="15.6" x14ac:dyDescent="0.3">
      <c r="A21" s="1"/>
      <c r="B21" s="10"/>
      <c r="C21" s="6"/>
    </row>
    <row r="22" spans="1:5" ht="15.6" x14ac:dyDescent="0.3">
      <c r="A22" s="1">
        <v>7</v>
      </c>
      <c r="B22" s="10" t="s">
        <v>3</v>
      </c>
      <c r="C22" s="4">
        <v>4259472.9800000004</v>
      </c>
    </row>
    <row r="23" spans="1:5" ht="15.6" x14ac:dyDescent="0.3">
      <c r="A23" s="1">
        <v>8</v>
      </c>
      <c r="B23" s="10" t="s">
        <v>4</v>
      </c>
      <c r="C23" s="4">
        <v>8410346.5199999996</v>
      </c>
    </row>
    <row r="24" spans="1:5" ht="15.6" x14ac:dyDescent="0.3">
      <c r="A24" s="1">
        <v>9</v>
      </c>
      <c r="B24" s="10" t="s">
        <v>5</v>
      </c>
      <c r="C24" s="4">
        <v>2419747</v>
      </c>
    </row>
    <row r="25" spans="1:5" ht="15.6" x14ac:dyDescent="0.3">
      <c r="A25" s="1">
        <v>10</v>
      </c>
      <c r="B25" s="10" t="s">
        <v>6</v>
      </c>
      <c r="C25" s="4">
        <v>689609.2</v>
      </c>
    </row>
    <row r="26" spans="1:5" ht="15.6" x14ac:dyDescent="0.3">
      <c r="A26" s="1">
        <v>11</v>
      </c>
      <c r="B26" s="10" t="s">
        <v>7</v>
      </c>
      <c r="C26" s="4">
        <v>12303.73</v>
      </c>
    </row>
    <row r="27" spans="1:5" ht="15.6" x14ac:dyDescent="0.3">
      <c r="A27" s="1">
        <v>12</v>
      </c>
      <c r="B27" s="10" t="s">
        <v>8</v>
      </c>
      <c r="C27" s="4">
        <v>4083259.75</v>
      </c>
    </row>
    <row r="28" spans="1:5" ht="15.6" x14ac:dyDescent="0.3">
      <c r="A28" s="1">
        <v>13</v>
      </c>
      <c r="B28" s="10" t="s">
        <v>9</v>
      </c>
      <c r="C28" s="7">
        <f>SUM(C22:C27)</f>
        <v>19874739.18</v>
      </c>
      <c r="E28" s="69"/>
    </row>
    <row r="29" spans="1:5" ht="15.6" x14ac:dyDescent="0.3">
      <c r="A29" s="1"/>
      <c r="B29" s="10" t="s">
        <v>10</v>
      </c>
      <c r="C29" s="8"/>
    </row>
    <row r="30" spans="1:5" ht="15.6" x14ac:dyDescent="0.3">
      <c r="A30" s="1"/>
      <c r="B30" s="10"/>
      <c r="C30" s="8"/>
    </row>
    <row r="31" spans="1:5" ht="15.6" x14ac:dyDescent="0.3">
      <c r="A31" s="1">
        <v>14</v>
      </c>
      <c r="B31" s="10" t="s">
        <v>11</v>
      </c>
      <c r="C31" s="4">
        <v>9078214.3900000006</v>
      </c>
    </row>
    <row r="32" spans="1:5" ht="15.6" x14ac:dyDescent="0.3">
      <c r="A32" s="1">
        <v>15</v>
      </c>
      <c r="B32" s="11" t="s">
        <v>12</v>
      </c>
      <c r="C32" s="4">
        <f>167723.58+181483.87</f>
        <v>349207.44999999995</v>
      </c>
    </row>
    <row r="33" spans="1:3" ht="15.6" x14ac:dyDescent="0.3">
      <c r="A33" s="1">
        <v>16</v>
      </c>
      <c r="B33" s="10" t="s">
        <v>13</v>
      </c>
      <c r="C33" s="4">
        <v>5529181.1900000004</v>
      </c>
    </row>
    <row r="34" spans="1:3" ht="15.6" x14ac:dyDescent="0.3">
      <c r="A34" s="1">
        <v>18</v>
      </c>
      <c r="B34" s="10" t="s">
        <v>14</v>
      </c>
      <c r="C34" s="4">
        <v>45452.92</v>
      </c>
    </row>
    <row r="35" spans="1:3" ht="15.6" x14ac:dyDescent="0.3">
      <c r="A35" s="1">
        <v>19</v>
      </c>
      <c r="B35" s="10" t="s">
        <v>15</v>
      </c>
      <c r="C35" s="9">
        <v>31996.45</v>
      </c>
    </row>
    <row r="36" spans="1:3" ht="15.6" x14ac:dyDescent="0.3">
      <c r="A36" s="1">
        <v>20</v>
      </c>
      <c r="B36" s="10" t="s">
        <v>16</v>
      </c>
      <c r="C36" s="7">
        <f>SUM(C28:C35)</f>
        <v>34908791.580000006</v>
      </c>
    </row>
    <row r="37" spans="1:3" ht="15.6" x14ac:dyDescent="0.3">
      <c r="A37" s="1"/>
      <c r="B37" s="10" t="s">
        <v>10</v>
      </c>
      <c r="C37" s="8"/>
    </row>
    <row r="38" spans="1:3" ht="15.6" x14ac:dyDescent="0.3">
      <c r="A38" s="1"/>
      <c r="B38" s="10"/>
      <c r="C38" s="8"/>
    </row>
    <row r="39" spans="1:3" ht="16.2" thickBot="1" x14ac:dyDescent="0.35">
      <c r="A39" s="1">
        <v>21</v>
      </c>
      <c r="B39" s="10" t="s">
        <v>17</v>
      </c>
      <c r="C39" s="134">
        <f>C20-C36</f>
        <v>615560.41999999434</v>
      </c>
    </row>
    <row r="40" spans="1:3" ht="16.2" thickTop="1" x14ac:dyDescent="0.3">
      <c r="A40" s="1"/>
      <c r="B40" s="2"/>
    </row>
    <row r="41" spans="1:3" ht="15.6" x14ac:dyDescent="0.3">
      <c r="A41" s="1"/>
      <c r="B41" s="2"/>
    </row>
    <row r="42" spans="1:3" ht="15.6" x14ac:dyDescent="0.3">
      <c r="A42" s="1"/>
      <c r="B42" s="2"/>
    </row>
    <row r="43" spans="1:3" ht="15.6" x14ac:dyDescent="0.3">
      <c r="A43" s="1"/>
      <c r="B43" s="2"/>
    </row>
    <row r="44" spans="1:3" ht="15.6" x14ac:dyDescent="0.3">
      <c r="A44" s="1"/>
      <c r="B44" s="2"/>
    </row>
    <row r="45" spans="1:3" ht="15.6" x14ac:dyDescent="0.3">
      <c r="A45" s="1"/>
      <c r="B45" s="2"/>
    </row>
  </sheetData>
  <pageMargins left="0.7" right="0.7" top="0.75" bottom="0.75" header="0.3" footer="0.3"/>
  <pageSetup scale="7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  <pageSetUpPr fitToPage="1"/>
  </sheetPr>
  <dimension ref="A1:N14"/>
  <sheetViews>
    <sheetView tabSelected="1" workbookViewId="0">
      <selection activeCell="L3" sqref="L3"/>
    </sheetView>
  </sheetViews>
  <sheetFormatPr defaultRowHeight="14.4" x14ac:dyDescent="0.3"/>
  <cols>
    <col min="1" max="1" width="7.33203125" customWidth="1"/>
    <col min="8" max="8" width="10.88671875" bestFit="1" customWidth="1"/>
    <col min="10" max="10" width="25.5546875" customWidth="1"/>
  </cols>
  <sheetData>
    <row r="1" spans="1:14" x14ac:dyDescent="0.3">
      <c r="L1" s="127" t="s">
        <v>276</v>
      </c>
    </row>
    <row r="2" spans="1:14" x14ac:dyDescent="0.3">
      <c r="L2" s="126" t="s">
        <v>303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97</v>
      </c>
      <c r="B5" s="168"/>
      <c r="C5" s="168"/>
      <c r="D5" s="168"/>
      <c r="E5" s="168"/>
      <c r="F5" s="168"/>
      <c r="G5" s="168"/>
      <c r="H5" s="168"/>
      <c r="I5" s="168"/>
      <c r="J5" s="168"/>
    </row>
    <row r="7" spans="1:14" x14ac:dyDescent="0.3">
      <c r="J7" s="57" t="s">
        <v>165</v>
      </c>
    </row>
    <row r="8" spans="1:14" x14ac:dyDescent="0.3">
      <c r="A8" s="18">
        <v>1</v>
      </c>
      <c r="B8" t="s">
        <v>190</v>
      </c>
      <c r="G8" s="42" t="s">
        <v>187</v>
      </c>
      <c r="J8" s="58">
        <v>167723.57999999999</v>
      </c>
      <c r="K8" s="20"/>
      <c r="L8" s="20"/>
      <c r="M8" s="20"/>
      <c r="N8" s="20"/>
    </row>
    <row r="9" spans="1:14" x14ac:dyDescent="0.3">
      <c r="A9" s="18"/>
      <c r="G9" s="42"/>
      <c r="J9" s="59"/>
    </row>
    <row r="10" spans="1:14" x14ac:dyDescent="0.3">
      <c r="A10" s="18">
        <v>2</v>
      </c>
      <c r="B10" t="s">
        <v>189</v>
      </c>
      <c r="H10" s="69">
        <f>'Pro Forma Analysis'!D53</f>
        <v>8685419.7389985211</v>
      </c>
      <c r="I10" t="s">
        <v>191</v>
      </c>
      <c r="J10" s="59">
        <f>H10*0.002</f>
        <v>17370.839477997044</v>
      </c>
    </row>
    <row r="11" spans="1:14" x14ac:dyDescent="0.3">
      <c r="A11" s="18"/>
      <c r="H11" s="69"/>
      <c r="J11" s="59"/>
    </row>
    <row r="12" spans="1:14" x14ac:dyDescent="0.3">
      <c r="A12" s="18"/>
      <c r="F12" t="s">
        <v>188</v>
      </c>
      <c r="J12" s="61">
        <f>SUM(J8:J10)</f>
        <v>185094.41947799703</v>
      </c>
    </row>
    <row r="13" spans="1:14" x14ac:dyDescent="0.3">
      <c r="A13" s="18"/>
    </row>
    <row r="14" spans="1:14" x14ac:dyDescent="0.3">
      <c r="F14" t="s">
        <v>192</v>
      </c>
      <c r="J14" s="70">
        <f>SUM(J12-J8)</f>
        <v>17370.83947799704</v>
      </c>
    </row>
  </sheetData>
  <mergeCells count="2">
    <mergeCell ref="A3:J3"/>
    <mergeCell ref="A5:J5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4"/>
  <sheetViews>
    <sheetView zoomScale="80" zoomScaleNormal="80" workbookViewId="0">
      <selection activeCell="E14" sqref="E14"/>
    </sheetView>
  </sheetViews>
  <sheetFormatPr defaultColWidth="9.109375" defaultRowHeight="15" x14ac:dyDescent="0.25"/>
  <cols>
    <col min="1" max="1" width="6.109375" style="13" customWidth="1"/>
    <col min="2" max="2" width="53.5546875" style="13" customWidth="1"/>
    <col min="3" max="3" width="15" style="13" customWidth="1"/>
    <col min="4" max="4" width="17" style="13" customWidth="1"/>
    <col min="5" max="5" width="15.109375" style="13" customWidth="1"/>
    <col min="6" max="6" width="16.88671875" style="13" customWidth="1"/>
    <col min="7" max="7" width="15.109375" style="13" customWidth="1"/>
    <col min="8" max="8" width="12.6640625" style="13" customWidth="1"/>
    <col min="9" max="10" width="15.109375" style="13" customWidth="1"/>
    <col min="11" max="11" width="13.33203125" style="13" customWidth="1"/>
    <col min="12" max="12" width="15" style="13" bestFit="1" customWidth="1"/>
    <col min="13" max="13" width="15.109375" style="13" customWidth="1"/>
    <col min="14" max="14" width="16.88671875" style="13" customWidth="1"/>
    <col min="15" max="15" width="16.109375" style="13" customWidth="1"/>
    <col min="16" max="16" width="9.109375" style="13"/>
    <col min="17" max="17" width="16.109375" style="13" bestFit="1" customWidth="1"/>
    <col min="18" max="16384" width="9.109375" style="13"/>
  </cols>
  <sheetData>
    <row r="1" spans="1:17" ht="15.6" x14ac:dyDescent="0.3">
      <c r="N1" s="121" t="s">
        <v>269</v>
      </c>
    </row>
    <row r="2" spans="1:17" ht="15.6" x14ac:dyDescent="0.3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4" spans="1:17" x14ac:dyDescent="0.25">
      <c r="A4" s="167" t="s">
        <v>55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</row>
    <row r="5" spans="1:17" x14ac:dyDescent="0.25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7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7" ht="15.6" x14ac:dyDescent="0.3">
      <c r="N7" s="29" t="s">
        <v>91</v>
      </c>
    </row>
    <row r="8" spans="1:17" ht="15.6" x14ac:dyDescent="0.3">
      <c r="C8" s="29"/>
      <c r="D8" s="29"/>
      <c r="E8" s="29" t="s">
        <v>24</v>
      </c>
      <c r="F8" s="29" t="s">
        <v>22</v>
      </c>
      <c r="G8" s="29"/>
      <c r="H8" s="29"/>
      <c r="I8" s="29" t="s">
        <v>32</v>
      </c>
      <c r="J8" s="29" t="s">
        <v>36</v>
      </c>
      <c r="K8" s="29"/>
      <c r="L8" s="29"/>
      <c r="M8" s="29" t="s">
        <v>26</v>
      </c>
      <c r="N8" s="29" t="s">
        <v>92</v>
      </c>
    </row>
    <row r="9" spans="1:17" ht="15.6" x14ac:dyDescent="0.3">
      <c r="C9" s="29" t="s">
        <v>38</v>
      </c>
      <c r="D9" s="29"/>
      <c r="E9" s="29" t="s">
        <v>25</v>
      </c>
      <c r="F9" s="29" t="s">
        <v>21</v>
      </c>
      <c r="G9" s="29" t="s">
        <v>27</v>
      </c>
      <c r="H9" s="29" t="s">
        <v>30</v>
      </c>
      <c r="I9" s="29" t="s">
        <v>33</v>
      </c>
      <c r="J9" s="29" t="s">
        <v>37</v>
      </c>
      <c r="K9" s="29" t="s">
        <v>29</v>
      </c>
      <c r="L9" s="29" t="s">
        <v>39</v>
      </c>
      <c r="M9" s="29" t="s">
        <v>28</v>
      </c>
      <c r="N9" s="29" t="s">
        <v>93</v>
      </c>
    </row>
    <row r="10" spans="1:17" ht="15.6" x14ac:dyDescent="0.3">
      <c r="C10" s="29" t="s">
        <v>52</v>
      </c>
      <c r="D10" s="29" t="s">
        <v>23</v>
      </c>
      <c r="E10" s="29" t="s">
        <v>20</v>
      </c>
      <c r="F10" s="29" t="s">
        <v>20</v>
      </c>
      <c r="G10" s="29" t="s">
        <v>20</v>
      </c>
      <c r="H10" s="29" t="s">
        <v>31</v>
      </c>
      <c r="I10" s="29" t="s">
        <v>34</v>
      </c>
      <c r="J10" s="29" t="s">
        <v>35</v>
      </c>
      <c r="K10" s="29" t="s">
        <v>81</v>
      </c>
      <c r="L10" s="29" t="s">
        <v>40</v>
      </c>
      <c r="M10" s="29" t="s">
        <v>34</v>
      </c>
      <c r="N10" s="29" t="s">
        <v>94</v>
      </c>
    </row>
    <row r="11" spans="1:17" ht="15.6" x14ac:dyDescent="0.3">
      <c r="C11" s="30" t="s">
        <v>41</v>
      </c>
      <c r="D11" s="30" t="s">
        <v>42</v>
      </c>
      <c r="E11" s="30" t="s">
        <v>43</v>
      </c>
      <c r="F11" s="30" t="s">
        <v>44</v>
      </c>
      <c r="G11" s="30" t="s">
        <v>45</v>
      </c>
      <c r="H11" s="30" t="s">
        <v>46</v>
      </c>
      <c r="I11" s="30" t="s">
        <v>47</v>
      </c>
      <c r="J11" s="30" t="s">
        <v>48</v>
      </c>
      <c r="K11" s="30" t="s">
        <v>49</v>
      </c>
      <c r="L11" s="30" t="s">
        <v>50</v>
      </c>
      <c r="M11" s="30" t="s">
        <v>53</v>
      </c>
      <c r="N11" s="30" t="s">
        <v>100</v>
      </c>
    </row>
    <row r="13" spans="1:17" ht="15.6" x14ac:dyDescent="0.3">
      <c r="A13" s="15">
        <v>1</v>
      </c>
      <c r="B13" s="28" t="s">
        <v>101</v>
      </c>
      <c r="C13" s="16">
        <v>1</v>
      </c>
      <c r="D13" s="4">
        <f>'Income Statement'!C18</f>
        <v>109771296.13</v>
      </c>
      <c r="E13" s="4">
        <f>-'Income Statement'!C19</f>
        <v>74246944.129999995</v>
      </c>
      <c r="F13" s="4">
        <v>19874740</v>
      </c>
      <c r="G13" s="4">
        <f>'Income Statement'!C31</f>
        <v>9078214.3900000006</v>
      </c>
      <c r="H13" s="4">
        <f>'Income Statement'!C32</f>
        <v>349207.44999999995</v>
      </c>
      <c r="I13" s="14">
        <f>D13-SUM(E13:H13)</f>
        <v>6222190.1599999964</v>
      </c>
      <c r="J13" s="14">
        <f>'Income Statement'!C33</f>
        <v>5529181.1900000004</v>
      </c>
      <c r="K13" s="14">
        <f>'Income Statement'!C34</f>
        <v>45452.92</v>
      </c>
      <c r="L13" s="14">
        <f>'Income Statement'!C35</f>
        <v>31996.45</v>
      </c>
      <c r="M13" s="14">
        <f>I13-SUM(J13:L13)</f>
        <v>615559.5999999959</v>
      </c>
      <c r="N13" s="16">
        <f>(M13+J13)/J13</f>
        <v>1.1113292509048696</v>
      </c>
      <c r="Q13" s="14"/>
    </row>
    <row r="14" spans="1:17" x14ac:dyDescent="0.25">
      <c r="A14" s="15"/>
      <c r="N14" s="119"/>
    </row>
    <row r="15" spans="1:17" ht="15.6" x14ac:dyDescent="0.3">
      <c r="A15" s="15">
        <v>2</v>
      </c>
      <c r="B15" s="28" t="s">
        <v>51</v>
      </c>
      <c r="I15" s="14"/>
      <c r="M15" s="14"/>
      <c r="N15" s="119"/>
    </row>
    <row r="16" spans="1:17" x14ac:dyDescent="0.25">
      <c r="A16" s="15"/>
      <c r="N16" s="119"/>
    </row>
    <row r="17" spans="1:20" x14ac:dyDescent="0.25">
      <c r="A17" s="15">
        <v>3</v>
      </c>
      <c r="B17" s="13" t="s">
        <v>56</v>
      </c>
      <c r="C17" s="15">
        <v>2.0099999999999998</v>
      </c>
      <c r="F17" s="4">
        <f>'2.01'!J16</f>
        <v>243327.26666666666</v>
      </c>
      <c r="I17" s="14">
        <f t="shared" ref="I17" si="0">D17-SUM(E17:H17)</f>
        <v>-243327.26666666666</v>
      </c>
      <c r="M17" s="14">
        <f t="shared" ref="M17" si="1">I17-SUM(J17:L17)</f>
        <v>-243327.26666666666</v>
      </c>
      <c r="N17" s="119"/>
      <c r="T17" s="111"/>
    </row>
    <row r="18" spans="1:20" x14ac:dyDescent="0.25">
      <c r="A18" s="15"/>
      <c r="N18" s="119"/>
    </row>
    <row r="19" spans="1:20" x14ac:dyDescent="0.25">
      <c r="A19" s="15">
        <v>4</v>
      </c>
      <c r="B19" s="13" t="s">
        <v>61</v>
      </c>
      <c r="C19" s="15">
        <v>2.02</v>
      </c>
      <c r="F19" s="4">
        <f>'2.02'!J14</f>
        <v>45000</v>
      </c>
      <c r="I19" s="14">
        <f t="shared" ref="I19" si="2">D19-SUM(E19:H19)</f>
        <v>-45000</v>
      </c>
      <c r="M19" s="14">
        <f t="shared" ref="M19" si="3">I19-SUM(J19:L19)</f>
        <v>-45000</v>
      </c>
      <c r="N19" s="119"/>
    </row>
    <row r="20" spans="1:20" x14ac:dyDescent="0.25">
      <c r="A20" s="15"/>
      <c r="C20" s="15"/>
      <c r="N20" s="119"/>
    </row>
    <row r="21" spans="1:20" x14ac:dyDescent="0.25">
      <c r="A21" s="15">
        <v>5</v>
      </c>
      <c r="B21" s="13" t="s">
        <v>60</v>
      </c>
      <c r="C21" s="15">
        <v>2.0299999999999998</v>
      </c>
      <c r="D21" s="36"/>
      <c r="F21" s="35">
        <f>'2.03'!J12</f>
        <v>1427442.3599999999</v>
      </c>
      <c r="I21" s="14">
        <f>D21-SUM(E21:H21)</f>
        <v>-1427442.3599999999</v>
      </c>
      <c r="M21" s="14">
        <f t="shared" ref="M21" si="4">I21-SUM(J21:L21)</f>
        <v>-1427442.3599999999</v>
      </c>
      <c r="N21" s="119"/>
      <c r="T21" s="111"/>
    </row>
    <row r="22" spans="1:20" x14ac:dyDescent="0.25">
      <c r="A22" s="15"/>
      <c r="N22" s="119"/>
    </row>
    <row r="23" spans="1:20" x14ac:dyDescent="0.25">
      <c r="A23" s="15">
        <v>6</v>
      </c>
      <c r="B23" s="13" t="s">
        <v>59</v>
      </c>
      <c r="C23" s="15">
        <v>2.04</v>
      </c>
      <c r="F23" s="4">
        <f>'2.04'!J12</f>
        <v>13290</v>
      </c>
      <c r="I23" s="14">
        <f>D23-SUM(E23:H23)</f>
        <v>-13290</v>
      </c>
      <c r="M23" s="14">
        <f t="shared" ref="M23" si="5">I23-SUM(J23:L23)</f>
        <v>-13290</v>
      </c>
      <c r="N23" s="119"/>
      <c r="T23" s="111"/>
    </row>
    <row r="24" spans="1:20" x14ac:dyDescent="0.25">
      <c r="A24" s="15"/>
      <c r="I24" s="14"/>
      <c r="N24" s="119"/>
    </row>
    <row r="25" spans="1:20" x14ac:dyDescent="0.25">
      <c r="A25" s="15">
        <v>7</v>
      </c>
      <c r="B25" s="41" t="s">
        <v>58</v>
      </c>
      <c r="C25" s="15">
        <v>2.0499999999999998</v>
      </c>
      <c r="F25" s="14">
        <f>'2.05'!J16</f>
        <v>100906</v>
      </c>
      <c r="I25" s="14">
        <f t="shared" ref="I25" si="6">D25-SUM(E25:H25)</f>
        <v>-100906</v>
      </c>
      <c r="M25" s="14">
        <f t="shared" ref="M25" si="7">I25-SUM(J25:L25)</f>
        <v>-100906</v>
      </c>
      <c r="N25" s="119"/>
      <c r="T25" s="111"/>
    </row>
    <row r="26" spans="1:20" x14ac:dyDescent="0.25">
      <c r="A26" s="15"/>
      <c r="C26" s="15"/>
      <c r="N26" s="119"/>
    </row>
    <row r="27" spans="1:20" x14ac:dyDescent="0.25">
      <c r="A27" s="15">
        <v>8</v>
      </c>
      <c r="B27" s="41" t="s">
        <v>57</v>
      </c>
      <c r="C27" s="15">
        <v>2.06</v>
      </c>
      <c r="H27" s="4">
        <f>'2.06'!J8</f>
        <v>-181483.87</v>
      </c>
      <c r="I27" s="14">
        <f t="shared" ref="I27" si="8">D27-SUM(E27:H27)</f>
        <v>181483.87</v>
      </c>
      <c r="M27" s="14">
        <f t="shared" ref="M27" si="9">I27-SUM(J27:L27)</f>
        <v>181483.87</v>
      </c>
      <c r="N27" s="119"/>
    </row>
    <row r="28" spans="1:20" x14ac:dyDescent="0.25">
      <c r="A28" s="15"/>
      <c r="N28" s="119"/>
    </row>
    <row r="29" spans="1:20" x14ac:dyDescent="0.25">
      <c r="A29" s="15">
        <v>9</v>
      </c>
      <c r="B29" s="41" t="s">
        <v>293</v>
      </c>
      <c r="C29" s="15">
        <v>2.0699999999999998</v>
      </c>
      <c r="D29" s="14">
        <v>-1401979</v>
      </c>
      <c r="I29" s="132">
        <f t="shared" ref="I29" si="10">D29-SUM(E29:H29)</f>
        <v>-1401979</v>
      </c>
      <c r="M29" s="35">
        <f>-'2.07'!J13</f>
        <v>-1401978.84</v>
      </c>
    </row>
    <row r="30" spans="1:20" x14ac:dyDescent="0.25">
      <c r="A30" s="15"/>
      <c r="C30" s="15"/>
      <c r="N30" s="119"/>
    </row>
    <row r="31" spans="1:20" x14ac:dyDescent="0.25">
      <c r="A31" s="15">
        <v>10</v>
      </c>
      <c r="B31" s="13" t="s">
        <v>143</v>
      </c>
      <c r="C31" s="15">
        <v>2.08</v>
      </c>
      <c r="I31" s="49">
        <f t="shared" ref="I31" si="11">D31-SUM(E31:H31)</f>
        <v>0</v>
      </c>
      <c r="J31" s="130">
        <f>'2.08'!J13</f>
        <v>285098.94</v>
      </c>
      <c r="M31" s="14">
        <f t="shared" ref="M31" si="12">I31-SUM(J31:L31)</f>
        <v>-285098.94</v>
      </c>
      <c r="N31" s="119"/>
      <c r="T31" s="111"/>
    </row>
    <row r="32" spans="1:20" x14ac:dyDescent="0.25">
      <c r="A32" s="15"/>
      <c r="N32" s="119"/>
    </row>
    <row r="33" spans="1:20" x14ac:dyDescent="0.25">
      <c r="A33" s="15">
        <v>11</v>
      </c>
      <c r="B33" s="13" t="s">
        <v>62</v>
      </c>
      <c r="C33" s="15">
        <v>2.09</v>
      </c>
      <c r="F33" s="35">
        <f>'2.09'!J20</f>
        <v>62000</v>
      </c>
      <c r="I33" s="14">
        <f t="shared" ref="I33" si="13">D33-SUM(E33:H33)</f>
        <v>-62000</v>
      </c>
      <c r="M33" s="14">
        <f t="shared" ref="M33" si="14">I33-SUM(J33:L33)</f>
        <v>-62000</v>
      </c>
      <c r="N33" s="119"/>
      <c r="T33" s="111"/>
    </row>
    <row r="34" spans="1:20" x14ac:dyDescent="0.25">
      <c r="A34" s="15"/>
      <c r="C34" s="15"/>
      <c r="F34" s="14"/>
      <c r="N34" s="119"/>
    </row>
    <row r="35" spans="1:20" x14ac:dyDescent="0.25">
      <c r="A35" s="15">
        <v>12</v>
      </c>
      <c r="B35" s="13" t="s">
        <v>89</v>
      </c>
      <c r="C35" s="16">
        <v>2.1</v>
      </c>
      <c r="D35" s="129">
        <v>533834.87053623947</v>
      </c>
      <c r="F35" s="14">
        <v>451946</v>
      </c>
      <c r="I35" s="14">
        <f t="shared" ref="I35" si="15">D35-SUM(E35:H35)</f>
        <v>81888.870536239468</v>
      </c>
      <c r="M35" s="14">
        <f t="shared" ref="M35" si="16">I35-SUM(J35:L35)</f>
        <v>81888.870536239468</v>
      </c>
      <c r="N35" s="119"/>
    </row>
    <row r="36" spans="1:20" x14ac:dyDescent="0.25">
      <c r="A36" s="15"/>
      <c r="C36" s="16"/>
      <c r="F36" s="14"/>
      <c r="N36" s="119"/>
    </row>
    <row r="37" spans="1:20" x14ac:dyDescent="0.25">
      <c r="A37" s="15">
        <v>13</v>
      </c>
      <c r="B37" s="13" t="s">
        <v>157</v>
      </c>
      <c r="C37" s="16">
        <v>2.11</v>
      </c>
      <c r="F37" s="14"/>
      <c r="G37" s="14">
        <f>'2.11'!K42</f>
        <v>521999.72339010017</v>
      </c>
      <c r="I37" s="14">
        <f t="shared" ref="I37" si="17">D37-SUM(E37:H37)</f>
        <v>-521999.72339010017</v>
      </c>
      <c r="M37" s="14">
        <f t="shared" ref="M37" si="18">I37-SUM(J37:L37)</f>
        <v>-521999.72339010017</v>
      </c>
      <c r="N37" s="119"/>
      <c r="T37" s="111"/>
    </row>
    <row r="38" spans="1:20" x14ac:dyDescent="0.25">
      <c r="A38" s="15"/>
      <c r="C38" s="16"/>
      <c r="F38" s="14"/>
      <c r="N38" s="119"/>
    </row>
    <row r="39" spans="1:20" x14ac:dyDescent="0.25">
      <c r="A39" s="15">
        <v>14</v>
      </c>
      <c r="B39" s="13" t="s">
        <v>147</v>
      </c>
      <c r="C39" s="16">
        <v>2.12</v>
      </c>
      <c r="F39" s="35">
        <f>-'2.12'!J12</f>
        <v>-186211</v>
      </c>
      <c r="I39" s="14">
        <f t="shared" ref="I39" si="19">D39-SUM(E39:H39)</f>
        <v>186211</v>
      </c>
      <c r="M39" s="14">
        <f t="shared" ref="M39" si="20">I39-SUM(J39:L39)</f>
        <v>186211</v>
      </c>
      <c r="N39" s="119" t="s">
        <v>144</v>
      </c>
    </row>
    <row r="40" spans="1:20" x14ac:dyDescent="0.25">
      <c r="A40" s="15"/>
      <c r="C40" s="16"/>
      <c r="F40" s="14"/>
      <c r="N40" s="119"/>
    </row>
    <row r="41" spans="1:20" x14ac:dyDescent="0.25">
      <c r="A41" s="15">
        <v>15</v>
      </c>
      <c r="B41" s="13" t="s">
        <v>159</v>
      </c>
      <c r="C41" s="16">
        <v>2.13</v>
      </c>
      <c r="F41" s="14">
        <f>-'2.13'!J12</f>
        <v>-40500.49</v>
      </c>
      <c r="I41" s="14">
        <f t="shared" ref="I41" si="21">D41-SUM(E41:H41)</f>
        <v>40500.49</v>
      </c>
      <c r="M41" s="14">
        <f t="shared" ref="M41" si="22">I41-SUM(J41:L41)</f>
        <v>40500.49</v>
      </c>
      <c r="N41" s="119"/>
    </row>
    <row r="42" spans="1:20" x14ac:dyDescent="0.25">
      <c r="A42" s="15"/>
      <c r="F42" s="14"/>
      <c r="N42" s="119"/>
    </row>
    <row r="43" spans="1:20" x14ac:dyDescent="0.25">
      <c r="A43" s="15">
        <v>16</v>
      </c>
      <c r="B43" s="13" t="s">
        <v>160</v>
      </c>
      <c r="C43" s="55">
        <v>2.14</v>
      </c>
      <c r="F43" s="14">
        <f>-'2.14'!J19</f>
        <v>-24585.64</v>
      </c>
      <c r="I43" s="14">
        <f t="shared" ref="I43" si="23">D43-SUM(E43:H43)</f>
        <v>24585.64</v>
      </c>
      <c r="M43" s="14">
        <f t="shared" ref="M43" si="24">I43-SUM(J43:L43)</f>
        <v>24585.64</v>
      </c>
      <c r="N43" s="119"/>
    </row>
    <row r="44" spans="1:20" x14ac:dyDescent="0.25">
      <c r="N44" s="119"/>
    </row>
    <row r="45" spans="1:20" x14ac:dyDescent="0.25">
      <c r="A45" s="15">
        <v>17</v>
      </c>
      <c r="B45" s="13" t="s">
        <v>172</v>
      </c>
      <c r="C45" s="56">
        <v>2.15</v>
      </c>
      <c r="D45" s="131">
        <f>'2.15'!J22</f>
        <v>-1.0477378964424133E-9</v>
      </c>
      <c r="I45" s="14">
        <f t="shared" ref="I45" si="25">D45-SUM(E45:H45)</f>
        <v>-1.0477378964424133E-9</v>
      </c>
      <c r="M45" s="14">
        <f t="shared" ref="M45" si="26">I45-SUM(J45:L45)</f>
        <v>-1.0477378964424133E-9</v>
      </c>
      <c r="N45" s="119"/>
    </row>
    <row r="46" spans="1:20" x14ac:dyDescent="0.25">
      <c r="A46" s="15"/>
      <c r="N46" s="119"/>
    </row>
    <row r="47" spans="1:20" x14ac:dyDescent="0.25">
      <c r="A47" s="15">
        <v>18</v>
      </c>
      <c r="B47" s="13" t="s">
        <v>179</v>
      </c>
      <c r="C47" s="56">
        <v>2.16</v>
      </c>
      <c r="I47" s="49">
        <f t="shared" ref="I47:I51" si="27">D47-SUM(E47:H47)</f>
        <v>0</v>
      </c>
      <c r="L47" s="14">
        <f>'2.16'!J14</f>
        <v>-27307.29</v>
      </c>
      <c r="M47" s="14">
        <f t="shared" ref="M47:M51" si="28">I47-SUM(J47:L47)</f>
        <v>27307.29</v>
      </c>
      <c r="N47" s="119"/>
    </row>
    <row r="48" spans="1:20" x14ac:dyDescent="0.25">
      <c r="A48" s="15"/>
      <c r="N48" s="119"/>
    </row>
    <row r="49" spans="1:17" x14ac:dyDescent="0.25">
      <c r="A49" s="15">
        <v>19</v>
      </c>
      <c r="B49" s="13" t="s">
        <v>90</v>
      </c>
      <c r="D49" s="26">
        <f>SUM(D17:D47)</f>
        <v>-868144.12946376158</v>
      </c>
      <c r="E49" s="26">
        <f t="shared" ref="E49:L49" si="29">SUM(E17:E47)</f>
        <v>0</v>
      </c>
      <c r="F49" s="26">
        <f t="shared" si="29"/>
        <v>2092614.4966666664</v>
      </c>
      <c r="G49" s="26">
        <f t="shared" si="29"/>
        <v>521999.72339010017</v>
      </c>
      <c r="H49" s="26">
        <f t="shared" si="29"/>
        <v>-181483.87</v>
      </c>
      <c r="I49" s="26">
        <f t="shared" si="27"/>
        <v>-3301274.4795205281</v>
      </c>
      <c r="J49" s="26">
        <f t="shared" si="29"/>
        <v>285098.94</v>
      </c>
      <c r="K49" s="26">
        <f t="shared" si="29"/>
        <v>0</v>
      </c>
      <c r="L49" s="26">
        <f t="shared" si="29"/>
        <v>-27307.29</v>
      </c>
      <c r="M49" s="26">
        <f t="shared" si="28"/>
        <v>-3559066.129520528</v>
      </c>
      <c r="N49" s="16"/>
    </row>
    <row r="50" spans="1:17" x14ac:dyDescent="0.25">
      <c r="A50" s="15"/>
      <c r="N50" s="119"/>
    </row>
    <row r="51" spans="1:17" ht="15.6" x14ac:dyDescent="0.3">
      <c r="A51" s="15">
        <v>20</v>
      </c>
      <c r="B51" s="28" t="s">
        <v>95</v>
      </c>
      <c r="D51" s="26">
        <f>D13+D49</f>
        <v>108903152.00053623</v>
      </c>
      <c r="E51" s="26">
        <f t="shared" ref="E51:L51" si="30">E13+E49</f>
        <v>74246944.129999995</v>
      </c>
      <c r="F51" s="26">
        <f t="shared" si="30"/>
        <v>21967354.496666666</v>
      </c>
      <c r="G51" s="26">
        <f t="shared" si="30"/>
        <v>9600214.1133901011</v>
      </c>
      <c r="H51" s="26">
        <f t="shared" si="30"/>
        <v>167723.57999999996</v>
      </c>
      <c r="I51" s="26">
        <f t="shared" si="27"/>
        <v>2920915.6804794669</v>
      </c>
      <c r="J51" s="26">
        <f t="shared" si="30"/>
        <v>5814280.1300000008</v>
      </c>
      <c r="K51" s="26">
        <f t="shared" si="30"/>
        <v>45452.92</v>
      </c>
      <c r="L51" s="26">
        <f t="shared" si="30"/>
        <v>4689.16</v>
      </c>
      <c r="M51" s="26">
        <f t="shared" si="28"/>
        <v>-2943506.529520534</v>
      </c>
      <c r="N51" s="16">
        <f>(M51+J51)/J51</f>
        <v>0.49374531950517947</v>
      </c>
      <c r="Q51" s="14"/>
    </row>
    <row r="52" spans="1:17" x14ac:dyDescent="0.25">
      <c r="A52" s="15"/>
      <c r="N52" s="119"/>
    </row>
    <row r="53" spans="1:17" ht="15.6" x14ac:dyDescent="0.3">
      <c r="A53" s="15">
        <v>21</v>
      </c>
      <c r="B53" s="28" t="s">
        <v>96</v>
      </c>
      <c r="C53" s="28"/>
      <c r="D53" s="31">
        <v>8685419.7389985211</v>
      </c>
      <c r="N53" s="119"/>
    </row>
    <row r="54" spans="1:17" x14ac:dyDescent="0.25">
      <c r="A54" s="15"/>
      <c r="N54" s="119"/>
    </row>
    <row r="55" spans="1:17" x14ac:dyDescent="0.25">
      <c r="A55" s="15">
        <v>22</v>
      </c>
      <c r="B55" s="13" t="s">
        <v>97</v>
      </c>
      <c r="C55" s="66">
        <v>2.17</v>
      </c>
      <c r="D55" s="24"/>
      <c r="F55" s="71">
        <f>'2.17'!J14</f>
        <v>17370.83947799704</v>
      </c>
      <c r="N55" s="119"/>
    </row>
    <row r="56" spans="1:17" x14ac:dyDescent="0.25">
      <c r="A56" s="15"/>
      <c r="N56" s="119"/>
    </row>
    <row r="57" spans="1:17" ht="15.6" x14ac:dyDescent="0.3">
      <c r="A57" s="15">
        <v>23</v>
      </c>
      <c r="B57" s="28" t="s">
        <v>99</v>
      </c>
      <c r="D57" s="26">
        <f>D51+D53+D55</f>
        <v>117588571.73953475</v>
      </c>
      <c r="E57" s="26">
        <f>E51+E53+E55</f>
        <v>74246944.129999995</v>
      </c>
      <c r="F57" s="26">
        <f>F51+F53+F55</f>
        <v>21984725.336144663</v>
      </c>
      <c r="G57" s="26">
        <f>G51+G53+G55</f>
        <v>9600214.1133901011</v>
      </c>
      <c r="H57" s="26">
        <f>H51+H53+H55</f>
        <v>167723.57999999996</v>
      </c>
      <c r="I57" s="26">
        <f t="shared" ref="I57" si="31">D57-SUM(E57:H57)</f>
        <v>11588964.579999998</v>
      </c>
      <c r="J57" s="26">
        <f>J51+J53+J55</f>
        <v>5814280.1300000008</v>
      </c>
      <c r="K57" s="26">
        <f>K51+K53+K55</f>
        <v>45452.92</v>
      </c>
      <c r="L57" s="26">
        <f>L51+L53+L55</f>
        <v>4689.16</v>
      </c>
      <c r="M57" s="26">
        <f t="shared" ref="M57" si="32">I57-SUM(J57:L57)</f>
        <v>5724542.3699999973</v>
      </c>
      <c r="N57" s="133">
        <f>(M57+J57)/J57</f>
        <v>1.9845659724000944</v>
      </c>
      <c r="Q57" s="14"/>
    </row>
    <row r="59" spans="1:17" x14ac:dyDescent="0.25">
      <c r="A59" s="119">
        <v>24</v>
      </c>
      <c r="B59" s="13" t="s">
        <v>98</v>
      </c>
      <c r="D59" s="27">
        <f>D53/D13</f>
        <v>7.9122867682208553E-2</v>
      </c>
    </row>
    <row r="60" spans="1:17" x14ac:dyDescent="0.25">
      <c r="A60" s="15"/>
    </row>
    <row r="61" spans="1:17" x14ac:dyDescent="0.25">
      <c r="A61" s="15"/>
    </row>
    <row r="64" spans="1:17" x14ac:dyDescent="0.25">
      <c r="D64" s="14">
        <f>D53*0.5</f>
        <v>4342709.8694992606</v>
      </c>
    </row>
  </sheetData>
  <mergeCells count="3">
    <mergeCell ref="A2:M2"/>
    <mergeCell ref="A4:M4"/>
    <mergeCell ref="A5:M5"/>
  </mergeCells>
  <pageMargins left="0.25" right="0.25" top="0.75" bottom="0.75" header="0.3" footer="0.3"/>
  <pageSetup scale="55" orientation="landscape" r:id="rId1"/>
  <headerFoot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P17"/>
  <sheetViews>
    <sheetView workbookViewId="0">
      <selection activeCell="B10" sqref="B10"/>
    </sheetView>
  </sheetViews>
  <sheetFormatPr defaultRowHeight="14.4" x14ac:dyDescent="0.3"/>
  <cols>
    <col min="10" max="10" width="20.88671875" customWidth="1"/>
  </cols>
  <sheetData>
    <row r="1" spans="1:16" x14ac:dyDescent="0.3">
      <c r="L1" s="127" t="s">
        <v>276</v>
      </c>
    </row>
    <row r="2" spans="1:16" x14ac:dyDescent="0.3">
      <c r="L2" s="126" t="s">
        <v>277</v>
      </c>
    </row>
    <row r="3" spans="1:16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6" x14ac:dyDescent="0.3">
      <c r="A5" s="168" t="s">
        <v>65</v>
      </c>
      <c r="B5" s="168"/>
      <c r="C5" s="168"/>
      <c r="D5" s="168"/>
      <c r="E5" s="168"/>
      <c r="F5" s="168"/>
      <c r="G5" s="168"/>
      <c r="H5" s="168"/>
      <c r="I5" s="168"/>
      <c r="J5" s="168"/>
    </row>
    <row r="8" spans="1:16" x14ac:dyDescent="0.3">
      <c r="A8" s="18">
        <v>1</v>
      </c>
      <c r="B8" t="s">
        <v>63</v>
      </c>
      <c r="J8" s="40">
        <v>10011185.289999999</v>
      </c>
      <c r="L8" s="20"/>
      <c r="M8" s="20"/>
      <c r="N8" s="20"/>
      <c r="P8" s="20" t="s">
        <v>64</v>
      </c>
    </row>
    <row r="9" spans="1:16" x14ac:dyDescent="0.3">
      <c r="A9" s="18"/>
      <c r="J9" s="62"/>
      <c r="L9" s="20"/>
      <c r="M9" s="20"/>
      <c r="N9" s="20"/>
      <c r="P9" t="s">
        <v>127</v>
      </c>
    </row>
    <row r="10" spans="1:16" x14ac:dyDescent="0.3">
      <c r="A10" s="18">
        <v>2</v>
      </c>
      <c r="B10" t="s">
        <v>263</v>
      </c>
      <c r="J10" s="17">
        <v>-246230.39999999999</v>
      </c>
      <c r="K10" s="20"/>
      <c r="L10" s="20"/>
      <c r="M10" s="20"/>
      <c r="N10" s="20"/>
    </row>
    <row r="11" spans="1:16" x14ac:dyDescent="0.3">
      <c r="A11" s="18"/>
    </row>
    <row r="12" spans="1:16" x14ac:dyDescent="0.3">
      <c r="A12" s="18">
        <v>3</v>
      </c>
      <c r="B12" t="s">
        <v>264</v>
      </c>
      <c r="J12" s="19">
        <v>454891</v>
      </c>
    </row>
    <row r="13" spans="1:16" x14ac:dyDescent="0.3">
      <c r="A13" s="18"/>
    </row>
    <row r="14" spans="1:16" x14ac:dyDescent="0.3">
      <c r="A14" s="18">
        <v>4</v>
      </c>
      <c r="B14" t="s">
        <v>126</v>
      </c>
      <c r="J14" s="17">
        <f>52000*8/12</f>
        <v>34666.666666666664</v>
      </c>
    </row>
    <row r="15" spans="1:16" x14ac:dyDescent="0.3">
      <c r="A15" s="18"/>
    </row>
    <row r="16" spans="1:16" x14ac:dyDescent="0.3">
      <c r="A16" s="18">
        <v>5</v>
      </c>
      <c r="B16" t="s">
        <v>104</v>
      </c>
      <c r="J16" s="22">
        <f>J10+J12+J14</f>
        <v>243327.26666666666</v>
      </c>
    </row>
    <row r="17" spans="1:1" x14ac:dyDescent="0.3">
      <c r="A17" s="18"/>
    </row>
  </sheetData>
  <mergeCells count="2">
    <mergeCell ref="A3:J3"/>
    <mergeCell ref="A5:J5"/>
  </mergeCells>
  <pageMargins left="0.7" right="0.7" top="0.75" bottom="0.75" header="0.3" footer="0.3"/>
  <pageSetup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N15"/>
  <sheetViews>
    <sheetView workbookViewId="0">
      <selection activeCell="L1" sqref="L1"/>
    </sheetView>
  </sheetViews>
  <sheetFormatPr defaultRowHeight="14.4" x14ac:dyDescent="0.3"/>
  <cols>
    <col min="9" max="9" width="18.33203125" customWidth="1"/>
    <col min="10" max="10" width="20.88671875" customWidth="1"/>
  </cols>
  <sheetData>
    <row r="1" spans="1:14" x14ac:dyDescent="0.3">
      <c r="L1" s="127" t="s">
        <v>276</v>
      </c>
    </row>
    <row r="2" spans="1:14" x14ac:dyDescent="0.3">
      <c r="L2" s="126" t="s">
        <v>302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66</v>
      </c>
      <c r="B5" s="168"/>
      <c r="C5" s="168"/>
      <c r="D5" s="168"/>
      <c r="E5" s="168"/>
      <c r="F5" s="168"/>
      <c r="G5" s="168"/>
      <c r="H5" s="168"/>
      <c r="I5" s="168"/>
      <c r="J5" s="168"/>
    </row>
    <row r="8" spans="1:14" x14ac:dyDescent="0.3">
      <c r="A8" s="18">
        <v>1</v>
      </c>
      <c r="B8" t="s">
        <v>67</v>
      </c>
      <c r="J8" s="40">
        <v>60000</v>
      </c>
      <c r="L8" s="20"/>
      <c r="M8" s="20"/>
      <c r="N8" s="20" t="s">
        <v>64</v>
      </c>
    </row>
    <row r="9" spans="1:14" x14ac:dyDescent="0.3">
      <c r="A9" s="18"/>
    </row>
    <row r="10" spans="1:14" x14ac:dyDescent="0.3">
      <c r="A10" s="18">
        <v>2</v>
      </c>
      <c r="B10" t="s">
        <v>68</v>
      </c>
      <c r="J10" s="19">
        <v>0</v>
      </c>
    </row>
    <row r="11" spans="1:14" x14ac:dyDescent="0.3">
      <c r="A11" s="18"/>
    </row>
    <row r="12" spans="1:14" x14ac:dyDescent="0.3">
      <c r="A12" s="18">
        <v>3</v>
      </c>
      <c r="B12" t="s">
        <v>193</v>
      </c>
      <c r="J12" s="19">
        <f>J8*3/4</f>
        <v>45000</v>
      </c>
    </row>
    <row r="13" spans="1:14" x14ac:dyDescent="0.3">
      <c r="A13" s="18"/>
    </row>
    <row r="14" spans="1:14" x14ac:dyDescent="0.3">
      <c r="A14" s="18">
        <v>4</v>
      </c>
      <c r="B14" t="s">
        <v>103</v>
      </c>
      <c r="J14" s="22">
        <f>J12-J10</f>
        <v>45000</v>
      </c>
    </row>
    <row r="15" spans="1:14" x14ac:dyDescent="0.3">
      <c r="A15" s="18"/>
    </row>
  </sheetData>
  <mergeCells count="2">
    <mergeCell ref="A3:J3"/>
    <mergeCell ref="A5:J5"/>
  </mergeCells>
  <pageMargins left="0.7" right="0.7" top="0.75" bottom="0.75" header="0.3" footer="0.3"/>
  <pageSetup scale="7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N15"/>
  <sheetViews>
    <sheetView workbookViewId="0">
      <selection activeCell="L1" sqref="L1"/>
    </sheetView>
  </sheetViews>
  <sheetFormatPr defaultRowHeight="14.4" x14ac:dyDescent="0.3"/>
  <cols>
    <col min="1" max="1" width="7.33203125" customWidth="1"/>
    <col min="10" max="10" width="20.88671875" customWidth="1"/>
  </cols>
  <sheetData>
    <row r="1" spans="1:14" x14ac:dyDescent="0.3">
      <c r="L1" s="127" t="s">
        <v>276</v>
      </c>
    </row>
    <row r="2" spans="1:14" x14ac:dyDescent="0.3">
      <c r="L2" s="126" t="s">
        <v>278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69</v>
      </c>
      <c r="B5" s="168"/>
      <c r="C5" s="168"/>
      <c r="D5" s="168"/>
      <c r="E5" s="168"/>
      <c r="F5" s="168"/>
      <c r="G5" s="168"/>
      <c r="H5" s="168"/>
      <c r="I5" s="168"/>
      <c r="J5" s="168"/>
    </row>
    <row r="8" spans="1:14" x14ac:dyDescent="0.3">
      <c r="A8" s="18">
        <v>1</v>
      </c>
      <c r="B8" t="s">
        <v>70</v>
      </c>
      <c r="J8" s="17">
        <v>1491715.72</v>
      </c>
      <c r="K8" s="20"/>
      <c r="L8" s="20"/>
      <c r="M8" s="20"/>
      <c r="N8" s="20"/>
    </row>
    <row r="9" spans="1:14" x14ac:dyDescent="0.3">
      <c r="A9" s="18"/>
    </row>
    <row r="10" spans="1:14" x14ac:dyDescent="0.3">
      <c r="A10" s="18">
        <v>2</v>
      </c>
      <c r="B10" t="s">
        <v>71</v>
      </c>
      <c r="J10" s="19">
        <v>-64273.36</v>
      </c>
      <c r="K10" s="20"/>
    </row>
    <row r="11" spans="1:14" x14ac:dyDescent="0.3">
      <c r="A11" s="18"/>
    </row>
    <row r="12" spans="1:14" x14ac:dyDescent="0.3">
      <c r="A12" s="18">
        <v>3</v>
      </c>
      <c r="B12" t="s">
        <v>102</v>
      </c>
      <c r="J12" s="22">
        <f>J8 + J10</f>
        <v>1427442.3599999999</v>
      </c>
    </row>
    <row r="13" spans="1:14" x14ac:dyDescent="0.3">
      <c r="A13" s="18"/>
    </row>
    <row r="14" spans="1:14" x14ac:dyDescent="0.3">
      <c r="A14" s="18"/>
    </row>
    <row r="15" spans="1:14" x14ac:dyDescent="0.3">
      <c r="A15" s="18"/>
      <c r="B15" s="120" t="s">
        <v>267</v>
      </c>
    </row>
  </sheetData>
  <mergeCells count="2">
    <mergeCell ref="A3:J3"/>
    <mergeCell ref="A5:J5"/>
  </mergeCells>
  <pageMargins left="0.7" right="0.7" top="0.75" bottom="0.75" header="0.3" footer="0.3"/>
  <pageSetup scale="7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N15"/>
  <sheetViews>
    <sheetView workbookViewId="0">
      <selection activeCell="I17" sqref="I17"/>
    </sheetView>
  </sheetViews>
  <sheetFormatPr defaultRowHeight="14.4" x14ac:dyDescent="0.3"/>
  <cols>
    <col min="1" max="1" width="7.33203125" customWidth="1"/>
    <col min="10" max="10" width="20.88671875" customWidth="1"/>
  </cols>
  <sheetData>
    <row r="1" spans="1:14" x14ac:dyDescent="0.3">
      <c r="L1" s="127" t="s">
        <v>276</v>
      </c>
    </row>
    <row r="2" spans="1:14" x14ac:dyDescent="0.3">
      <c r="L2" s="126" t="s">
        <v>279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72</v>
      </c>
      <c r="B5" s="168"/>
      <c r="C5" s="168"/>
      <c r="D5" s="168"/>
      <c r="E5" s="168"/>
      <c r="F5" s="168"/>
      <c r="G5" s="168"/>
      <c r="H5" s="168"/>
      <c r="I5" s="168"/>
      <c r="J5" s="168"/>
    </row>
    <row r="8" spans="1:14" x14ac:dyDescent="0.3">
      <c r="A8" s="18">
        <v>1</v>
      </c>
      <c r="B8" t="s">
        <v>73</v>
      </c>
      <c r="J8" s="17">
        <v>20710</v>
      </c>
      <c r="K8" s="20"/>
      <c r="L8" s="20"/>
      <c r="M8" s="20"/>
      <c r="N8" s="20"/>
    </row>
    <row r="9" spans="1:14" x14ac:dyDescent="0.3">
      <c r="A9" s="18"/>
    </row>
    <row r="10" spans="1:14" x14ac:dyDescent="0.3">
      <c r="A10" s="18">
        <v>2</v>
      </c>
      <c r="B10" t="s">
        <v>292</v>
      </c>
      <c r="J10" s="19">
        <v>34000</v>
      </c>
      <c r="K10" s="20"/>
    </row>
    <row r="11" spans="1:14" x14ac:dyDescent="0.3">
      <c r="A11" s="18"/>
    </row>
    <row r="12" spans="1:14" x14ac:dyDescent="0.3">
      <c r="A12" s="18">
        <v>3</v>
      </c>
      <c r="B12" t="s">
        <v>102</v>
      </c>
      <c r="J12" s="22">
        <f>-J8 + J10</f>
        <v>13290</v>
      </c>
    </row>
    <row r="13" spans="1:14" x14ac:dyDescent="0.3">
      <c r="A13" s="18"/>
    </row>
    <row r="14" spans="1:14" x14ac:dyDescent="0.3">
      <c r="A14" s="18"/>
    </row>
    <row r="15" spans="1:14" x14ac:dyDescent="0.3">
      <c r="A15" s="18"/>
    </row>
  </sheetData>
  <mergeCells count="2">
    <mergeCell ref="A3:J3"/>
    <mergeCell ref="A5:J5"/>
  </mergeCells>
  <pageMargins left="0.7" right="0.7" top="0.75" bottom="0.75" header="0.3" footer="0.3"/>
  <pageSetup scale="7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  <pageSetUpPr fitToPage="1"/>
  </sheetPr>
  <dimension ref="A1:N16"/>
  <sheetViews>
    <sheetView workbookViewId="0">
      <selection activeCell="L20" sqref="L20"/>
    </sheetView>
  </sheetViews>
  <sheetFormatPr defaultRowHeight="14.4" x14ac:dyDescent="0.3"/>
  <cols>
    <col min="1" max="1" width="7.33203125" customWidth="1"/>
    <col min="10" max="10" width="20.88671875" customWidth="1"/>
  </cols>
  <sheetData>
    <row r="1" spans="1:14" x14ac:dyDescent="0.3">
      <c r="L1" s="127" t="s">
        <v>276</v>
      </c>
    </row>
    <row r="2" spans="1:14" x14ac:dyDescent="0.3">
      <c r="L2" s="126" t="s">
        <v>280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74</v>
      </c>
      <c r="B5" s="168"/>
      <c r="C5" s="168"/>
      <c r="D5" s="168"/>
      <c r="E5" s="168"/>
      <c r="F5" s="168"/>
      <c r="G5" s="168"/>
      <c r="H5" s="168"/>
      <c r="I5" s="168"/>
      <c r="J5" s="168"/>
    </row>
    <row r="8" spans="1:14" x14ac:dyDescent="0.3">
      <c r="A8" s="18">
        <v>1</v>
      </c>
      <c r="B8" t="s">
        <v>194</v>
      </c>
      <c r="J8" s="40">
        <f>9668+29223+12700+79471+38540+21957.82+52366.45</f>
        <v>243926.27000000002</v>
      </c>
      <c r="K8" s="20"/>
      <c r="L8" s="20"/>
      <c r="M8" s="20"/>
      <c r="N8" s="20"/>
    </row>
    <row r="9" spans="1:14" x14ac:dyDescent="0.3">
      <c r="A9" s="18"/>
      <c r="C9" t="s">
        <v>105</v>
      </c>
    </row>
    <row r="10" spans="1:14" x14ac:dyDescent="0.3">
      <c r="A10" s="18">
        <v>2</v>
      </c>
      <c r="B10" t="s">
        <v>106</v>
      </c>
      <c r="J10" s="19">
        <v>38540</v>
      </c>
      <c r="N10" s="20" t="s">
        <v>128</v>
      </c>
    </row>
    <row r="11" spans="1:14" x14ac:dyDescent="0.3">
      <c r="A11" s="18"/>
    </row>
    <row r="12" spans="1:14" x14ac:dyDescent="0.3">
      <c r="A12" s="18">
        <v>3</v>
      </c>
      <c r="B12" t="s">
        <v>130</v>
      </c>
      <c r="J12" s="17">
        <v>52366</v>
      </c>
      <c r="N12" s="20" t="s">
        <v>131</v>
      </c>
    </row>
    <row r="13" spans="1:14" x14ac:dyDescent="0.3">
      <c r="A13" s="18"/>
    </row>
    <row r="14" spans="1:14" x14ac:dyDescent="0.3">
      <c r="A14" s="18">
        <v>4</v>
      </c>
      <c r="B14" t="s">
        <v>132</v>
      </c>
      <c r="J14" s="17">
        <v>10000</v>
      </c>
    </row>
    <row r="15" spans="1:14" x14ac:dyDescent="0.3">
      <c r="A15" s="18"/>
    </row>
    <row r="16" spans="1:14" x14ac:dyDescent="0.3">
      <c r="A16" s="18"/>
      <c r="B16" t="s">
        <v>133</v>
      </c>
      <c r="J16" s="22">
        <f>SUM(J10:J15)</f>
        <v>100906</v>
      </c>
    </row>
  </sheetData>
  <mergeCells count="2">
    <mergeCell ref="A3:J3"/>
    <mergeCell ref="A5:J5"/>
  </mergeCells>
  <pageMargins left="0.7" right="0.7" top="0.75" bottom="0.75" header="0.3" footer="0.3"/>
  <pageSetup scale="7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N12"/>
  <sheetViews>
    <sheetView workbookViewId="0">
      <selection activeCell="L1" sqref="L1:L2"/>
    </sheetView>
  </sheetViews>
  <sheetFormatPr defaultRowHeight="14.4" x14ac:dyDescent="0.3"/>
  <cols>
    <col min="1" max="1" width="7.33203125" customWidth="1"/>
    <col min="10" max="10" width="20.88671875" customWidth="1"/>
  </cols>
  <sheetData>
    <row r="1" spans="1:14" x14ac:dyDescent="0.3">
      <c r="L1" s="127" t="s">
        <v>276</v>
      </c>
    </row>
    <row r="2" spans="1:14" x14ac:dyDescent="0.3">
      <c r="L2" s="126" t="s">
        <v>281</v>
      </c>
    </row>
    <row r="3" spans="1:14" ht="15.6" x14ac:dyDescent="0.3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21"/>
      <c r="L3" s="21"/>
      <c r="M3" s="21"/>
    </row>
    <row r="5" spans="1:14" x14ac:dyDescent="0.3">
      <c r="A5" s="168" t="s">
        <v>75</v>
      </c>
      <c r="B5" s="168"/>
      <c r="C5" s="168"/>
      <c r="D5" s="168"/>
      <c r="E5" s="168"/>
      <c r="F5" s="168"/>
      <c r="G5" s="168"/>
      <c r="H5" s="168"/>
      <c r="I5" s="168"/>
      <c r="J5" s="168"/>
    </row>
    <row r="8" spans="1:14" x14ac:dyDescent="0.3">
      <c r="A8" s="18">
        <v>1</v>
      </c>
      <c r="B8" t="s">
        <v>76</v>
      </c>
      <c r="J8" s="22">
        <v>-181483.87</v>
      </c>
      <c r="K8" s="20"/>
      <c r="L8" s="20"/>
      <c r="M8" s="20"/>
      <c r="N8" s="20"/>
    </row>
    <row r="9" spans="1:14" x14ac:dyDescent="0.3">
      <c r="A9" s="18"/>
    </row>
    <row r="10" spans="1:14" x14ac:dyDescent="0.3">
      <c r="A10" s="18"/>
    </row>
    <row r="11" spans="1:14" x14ac:dyDescent="0.3">
      <c r="A11" s="18"/>
    </row>
    <row r="12" spans="1:14" x14ac:dyDescent="0.3">
      <c r="A12" s="18"/>
    </row>
  </sheetData>
  <mergeCells count="2">
    <mergeCell ref="A3:J3"/>
    <mergeCell ref="A5:J5"/>
  </mergeCells>
  <pageMargins left="0.7" right="0.7" top="0.75" bottom="0.75" header="0.3" footer="0.3"/>
  <pageSetup scale="7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8635F6-DE37-48D9-9A53-656963FF24B6}">
  <ds:schemaRefs>
    <ds:schemaRef ds:uri="2b9e1b56-1bc3-4bb6-83f9-6df8fea7da23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97646d-5e46-4532-99d2-95b688ae320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1C2F61B-05FC-4EBD-8694-F6B3AB7F75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833D3C-3268-460A-95AA-E0C3A22EF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Test year 0419 to 0320</vt:lpstr>
      <vt:lpstr>Income Statement</vt:lpstr>
      <vt:lpstr>Pro Forma Analysis</vt:lpstr>
      <vt:lpstr>2.01</vt:lpstr>
      <vt:lpstr>2.02</vt:lpstr>
      <vt:lpstr>2.03</vt:lpstr>
      <vt:lpstr>2.04</vt:lpstr>
      <vt:lpstr>2.05</vt:lpstr>
      <vt:lpstr>2.06</vt:lpstr>
      <vt:lpstr>2.07</vt:lpstr>
      <vt:lpstr>2.08</vt:lpstr>
      <vt:lpstr>2.09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'2.01'!Print_Area</vt:lpstr>
      <vt:lpstr>'2.02'!Print_Area</vt:lpstr>
      <vt:lpstr>'2.03'!Print_Area</vt:lpstr>
      <vt:lpstr>'2.04'!Print_Area</vt:lpstr>
      <vt:lpstr>'2.05'!Print_Area</vt:lpstr>
      <vt:lpstr>'2.07'!Print_Area</vt:lpstr>
      <vt:lpstr>'2.08'!Print_Area</vt:lpstr>
      <vt:lpstr>'2.09'!Print_Area</vt:lpstr>
      <vt:lpstr>'2.10'!Print_Area</vt:lpstr>
      <vt:lpstr>'2.11'!Print_Area</vt:lpstr>
      <vt:lpstr>'2.12'!Print_Area</vt:lpstr>
      <vt:lpstr>'2.13'!Print_Area</vt:lpstr>
      <vt:lpstr>'2.14'!Print_Area</vt:lpstr>
      <vt:lpstr>'2.15'!Print_Area</vt:lpstr>
      <vt:lpstr>'2.16'!Print_Area</vt:lpstr>
      <vt:lpstr>'2.17'!Print_Area</vt:lpstr>
      <vt:lpstr>'Income Statement'!Print_Area</vt:lpstr>
      <vt:lpstr>'Pro Forma Analysis'!Print_Area</vt:lpstr>
      <vt:lpstr>'Test year 0419 to 0320'!Print_Area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Eric Blake</cp:lastModifiedBy>
  <cp:lastPrinted>2021-12-02T20:05:43Z</cp:lastPrinted>
  <dcterms:created xsi:type="dcterms:W3CDTF">2020-06-15T21:05:11Z</dcterms:created>
  <dcterms:modified xsi:type="dcterms:W3CDTF">2021-12-02T20:06:18Z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