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 Rate Increase Application\Data Requests\AG 1\"/>
    </mc:Choice>
  </mc:AlternateContent>
  <bookViews>
    <workbookView xWindow="0" yWindow="0" windowWidth="20490" windowHeight="7020"/>
  </bookViews>
  <sheets>
    <sheet name="2018 Original Ratio Sheet" sheetId="3" r:id="rId1"/>
    <sheet name="2018 Stripped Ratio Sheet" sheetId="4" r:id="rId2"/>
    <sheet name="2019 Original Ratio Sheet" sheetId="2" r:id="rId3"/>
    <sheet name="2019 Stripped Ratio Sheet" sheetId="5" r:id="rId4"/>
    <sheet name="2020 Original Ratio Sheet" sheetId="1" r:id="rId5"/>
    <sheet name="2020 Stripped Ratio Sheet" sheetId="6" r:id="rId6"/>
  </sheets>
  <definedNames>
    <definedName name="_xlnm.Print_Area" localSheetId="0">'2018 Original Ratio Sheet'!$A$1:$H$101</definedName>
    <definedName name="_xlnm.Print_Area" localSheetId="1">'2018 Stripped Ratio Sheet'!$A$1:$H$30</definedName>
    <definedName name="_xlnm.Print_Area" localSheetId="2">'2019 Original Ratio Sheet'!$A$1:$H$111</definedName>
    <definedName name="_xlnm.Print_Area" localSheetId="3">'2019 Stripped Ratio Sheet'!$A$1:$H$111</definedName>
    <definedName name="_xlnm.Print_Area" localSheetId="4">'2020 Original Ratio Sheet'!$A$1:$H$111</definedName>
    <definedName name="_xlnm.Print_Area" localSheetId="5">'2020 Stripped Ratio Sheet'!$A$1:$H$30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6" l="1"/>
  <c r="H15" i="6"/>
  <c r="H24" i="6"/>
  <c r="B27" i="6" s="1"/>
  <c r="G10" i="6"/>
  <c r="N27" i="6"/>
  <c r="H17" i="6" s="1"/>
  <c r="M17" i="6"/>
  <c r="N15" i="6"/>
  <c r="H13" i="6" s="1"/>
  <c r="N13" i="6"/>
  <c r="N11" i="6"/>
  <c r="H11" i="6" s="1"/>
  <c r="N9" i="6"/>
  <c r="K30" i="6" s="1"/>
  <c r="M7" i="6"/>
  <c r="N7" i="6" s="1"/>
  <c r="H15" i="5"/>
  <c r="H24" i="5"/>
  <c r="H23" i="5"/>
  <c r="B26" i="5" s="1"/>
  <c r="H22" i="5"/>
  <c r="N27" i="5"/>
  <c r="H17" i="5" s="1"/>
  <c r="N17" i="5"/>
  <c r="N15" i="5"/>
  <c r="H13" i="5" s="1"/>
  <c r="N13" i="5"/>
  <c r="N11" i="5"/>
  <c r="N9" i="5"/>
  <c r="K30" i="5" s="1"/>
  <c r="M7" i="5"/>
  <c r="N7" i="5" s="1"/>
  <c r="H23" i="4"/>
  <c r="H15" i="4"/>
  <c r="B101" i="3"/>
  <c r="H24" i="4"/>
  <c r="B27" i="4" s="1"/>
  <c r="N21" i="4"/>
  <c r="N19" i="4"/>
  <c r="N15" i="4"/>
  <c r="H13" i="4" s="1"/>
  <c r="N13" i="4"/>
  <c r="H12" i="4" s="1"/>
  <c r="N11" i="4"/>
  <c r="H11" i="4" s="1"/>
  <c r="N9" i="4"/>
  <c r="M7" i="4"/>
  <c r="N7" i="4" s="1"/>
  <c r="H92" i="3"/>
  <c r="B95" i="3" s="1"/>
  <c r="H91" i="3"/>
  <c r="G77" i="3"/>
  <c r="G66" i="3"/>
  <c r="L48" i="3"/>
  <c r="B46" i="3"/>
  <c r="B48" i="3" s="1"/>
  <c r="L45" i="3"/>
  <c r="B45" i="3"/>
  <c r="J38" i="3"/>
  <c r="H32" i="3"/>
  <c r="B34" i="3" s="1"/>
  <c r="H31" i="3"/>
  <c r="B33" i="3" s="1"/>
  <c r="B24" i="3"/>
  <c r="B23" i="3"/>
  <c r="N21" i="3"/>
  <c r="N27" i="3" s="1"/>
  <c r="N19" i="3"/>
  <c r="N15" i="3"/>
  <c r="H57" i="3" s="1"/>
  <c r="N13" i="3"/>
  <c r="N11" i="3"/>
  <c r="H67" i="3" s="1"/>
  <c r="H10" i="3"/>
  <c r="B14" i="3" s="1"/>
  <c r="N9" i="3"/>
  <c r="H55" i="3" s="1"/>
  <c r="H9" i="3"/>
  <c r="H11" i="3" s="1"/>
  <c r="B13" i="3" s="1"/>
  <c r="M7" i="3"/>
  <c r="N7" i="3" s="1"/>
  <c r="K31" i="6" l="1"/>
  <c r="K32" i="6"/>
  <c r="K34" i="6" s="1"/>
  <c r="H12" i="6"/>
  <c r="H26" i="6"/>
  <c r="B26" i="6" s="1"/>
  <c r="B29" i="6" s="1"/>
  <c r="K31" i="5"/>
  <c r="H12" i="5"/>
  <c r="K32" i="5"/>
  <c r="K34" i="5" s="1"/>
  <c r="H25" i="5"/>
  <c r="B25" i="5" s="1"/>
  <c r="B28" i="5" s="1"/>
  <c r="H11" i="5"/>
  <c r="H16" i="5" s="1"/>
  <c r="B11" i="5" s="1"/>
  <c r="B16" i="3"/>
  <c r="B26" i="3"/>
  <c r="H68" i="3"/>
  <c r="K30" i="3"/>
  <c r="H56" i="3"/>
  <c r="H58" i="3" s="1"/>
  <c r="H94" i="3"/>
  <c r="B94" i="3" s="1"/>
  <c r="B97" i="3" s="1"/>
  <c r="N27" i="4"/>
  <c r="H17" i="4" s="1"/>
  <c r="H16" i="4"/>
  <c r="H26" i="4"/>
  <c r="B26" i="4" s="1"/>
  <c r="B29" i="4" s="1"/>
  <c r="H73" i="3"/>
  <c r="H59" i="3"/>
  <c r="B36" i="3"/>
  <c r="H69" i="3"/>
  <c r="H79" i="3"/>
  <c r="K31" i="3"/>
  <c r="H80" i="3"/>
  <c r="B84" i="3" s="1"/>
  <c r="H16" i="6" l="1"/>
  <c r="B11" i="6" s="1"/>
  <c r="H81" i="3"/>
  <c r="B83" i="3" s="1"/>
  <c r="B86" i="3" s="1"/>
  <c r="H72" i="3"/>
  <c r="K32" i="3"/>
  <c r="K34" i="3" s="1"/>
  <c r="B58" i="3"/>
  <c r="B67" i="3"/>
  <c r="B11" i="4"/>
  <c r="B111" i="2"/>
  <c r="H93" i="2"/>
  <c r="H92" i="2"/>
  <c r="B95" i="2" s="1"/>
  <c r="H91" i="2"/>
  <c r="H94" i="2" s="1"/>
  <c r="B94" i="2" s="1"/>
  <c r="B97" i="2" s="1"/>
  <c r="H80" i="2"/>
  <c r="B84" i="2" s="1"/>
  <c r="G77" i="2"/>
  <c r="H68" i="2"/>
  <c r="G66" i="2"/>
  <c r="H59" i="2"/>
  <c r="H56" i="2"/>
  <c r="L48" i="2"/>
  <c r="B46" i="2"/>
  <c r="L45" i="2"/>
  <c r="B45" i="2"/>
  <c r="B48" i="2" s="1"/>
  <c r="J38" i="2"/>
  <c r="B34" i="2"/>
  <c r="H32" i="2"/>
  <c r="K31" i="2"/>
  <c r="H31" i="2"/>
  <c r="B33" i="2" s="1"/>
  <c r="B36" i="2" s="1"/>
  <c r="K30" i="2"/>
  <c r="K32" i="2" s="1"/>
  <c r="K34" i="2" s="1"/>
  <c r="N27" i="2"/>
  <c r="H73" i="2" s="1"/>
  <c r="B24" i="2"/>
  <c r="B23" i="2"/>
  <c r="B26" i="2" s="1"/>
  <c r="N17" i="2"/>
  <c r="H104" i="2" s="1"/>
  <c r="N15" i="2"/>
  <c r="H69" i="2" s="1"/>
  <c r="B14" i="2"/>
  <c r="N13" i="2"/>
  <c r="H105" i="2" s="1"/>
  <c r="B106" i="2" s="1"/>
  <c r="N11" i="2"/>
  <c r="H67" i="2" s="1"/>
  <c r="H72" i="2" s="1"/>
  <c r="B67" i="2" s="1"/>
  <c r="H11" i="2"/>
  <c r="B13" i="2" s="1"/>
  <c r="B16" i="2" s="1"/>
  <c r="H10" i="2"/>
  <c r="N9" i="2"/>
  <c r="H79" i="2" s="1"/>
  <c r="H81" i="2" s="1"/>
  <c r="B83" i="2" s="1"/>
  <c r="B86" i="2" s="1"/>
  <c r="H9" i="2"/>
  <c r="N7" i="2"/>
  <c r="M7" i="2"/>
  <c r="H103" i="2" l="1"/>
  <c r="H106" i="2" s="1"/>
  <c r="B105" i="2" s="1"/>
  <c r="B108" i="2" s="1"/>
  <c r="H55" i="2"/>
  <c r="H57" i="2"/>
  <c r="H58" i="2" l="1"/>
  <c r="B58" i="2" s="1"/>
  <c r="B111" i="1" l="1"/>
  <c r="B106" i="1"/>
  <c r="H105" i="1"/>
  <c r="H104" i="1"/>
  <c r="H94" i="1"/>
  <c r="B94" i="1"/>
  <c r="H92" i="1"/>
  <c r="B95" i="1" s="1"/>
  <c r="H91" i="1"/>
  <c r="B84" i="1"/>
  <c r="H80" i="1"/>
  <c r="H79" i="1"/>
  <c r="H81" i="1" s="1"/>
  <c r="B83" i="1" s="1"/>
  <c r="B86" i="1" s="1"/>
  <c r="G77" i="1"/>
  <c r="H68" i="1"/>
  <c r="G66" i="1"/>
  <c r="H59" i="1"/>
  <c r="H56" i="1"/>
  <c r="L48" i="1"/>
  <c r="B48" i="1"/>
  <c r="B46" i="1"/>
  <c r="L45" i="1"/>
  <c r="B45" i="1"/>
  <c r="J38" i="1"/>
  <c r="B34" i="1"/>
  <c r="H32" i="1"/>
  <c r="K31" i="1"/>
  <c r="H31" i="1"/>
  <c r="B33" i="1" s="1"/>
  <c r="B36" i="1" s="1"/>
  <c r="N27" i="1"/>
  <c r="H73" i="1" s="1"/>
  <c r="B24" i="1"/>
  <c r="B26" i="1" s="1"/>
  <c r="B23" i="1"/>
  <c r="M17" i="1"/>
  <c r="N15" i="1"/>
  <c r="H69" i="1" s="1"/>
  <c r="B14" i="1"/>
  <c r="N13" i="1"/>
  <c r="N11" i="1"/>
  <c r="H67" i="1" s="1"/>
  <c r="H10" i="1"/>
  <c r="N9" i="1"/>
  <c r="K30" i="1" s="1"/>
  <c r="K32" i="1" s="1"/>
  <c r="K34" i="1" s="1"/>
  <c r="H9" i="1"/>
  <c r="H11" i="1" s="1"/>
  <c r="B13" i="1" s="1"/>
  <c r="B16" i="1" s="1"/>
  <c r="N7" i="1"/>
  <c r="M7" i="1"/>
  <c r="B97" i="1" l="1"/>
  <c r="H72" i="1"/>
  <c r="B67" i="1" s="1"/>
  <c r="H103" i="1"/>
  <c r="H106" i="1" s="1"/>
  <c r="B105" i="1" s="1"/>
  <c r="B108" i="1" s="1"/>
  <c r="H55" i="1"/>
  <c r="H58" i="1" s="1"/>
  <c r="B58" i="1" s="1"/>
  <c r="H57" i="1"/>
</calcChain>
</file>

<file path=xl/comments1.xml><?xml version="1.0" encoding="utf-8"?>
<comments xmlns="http://schemas.openxmlformats.org/spreadsheetml/2006/main">
  <authors>
    <author>swest</author>
    <author>Michelle Herrman</author>
  </authors>
  <commentList>
    <comment ref="J9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29 STMT OF OPERATIONS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21 STMT OF OPERATIONS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16 STMT OF OPERATIONS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13 STMT OF OPERATIONS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PRINCIPAL &amp; INTEREST PMTS SPREADSHEET
(Use 12 month total)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36 BALANCE SHEET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29 BALANCE SHEET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36 BALANCE SHEET less EKPC current year balance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29 BALANCE SHEET less EKPC balance from 123.10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26 BALANCE SHEET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54 BALANCE SHEET</t>
        </r>
      </text>
    </comment>
    <comment ref="H70" authorId="1" shapeId="0">
      <text>
        <r>
          <rPr>
            <b/>
            <sz val="9"/>
            <color indexed="81"/>
            <rFont val="Tahoma"/>
            <family val="2"/>
          </rPr>
          <t>Michelle Herrman:</t>
        </r>
        <r>
          <rPr>
            <sz val="9"/>
            <color indexed="81"/>
            <rFont val="Tahoma"/>
            <family val="2"/>
          </rPr>
          <t xml:space="preserve">
419.00 INTR  12</t>
        </r>
      </text>
    </comment>
    <comment ref="H71" authorId="1" shapeId="0">
      <text>
        <r>
          <rPr>
            <b/>
            <sz val="9"/>
            <color indexed="81"/>
            <rFont val="Tahoma"/>
            <family val="2"/>
          </rPr>
          <t>Michelle Herrman:</t>
        </r>
        <r>
          <rPr>
            <sz val="9"/>
            <color indexed="81"/>
            <rFont val="Tahoma"/>
            <family val="2"/>
          </rPr>
          <t xml:space="preserve">
123.10 Cash Credit Entries Plus 136.00 credit</t>
        </r>
      </text>
    </comment>
    <comment ref="H93" authorId="1" shapeId="0">
      <text>
        <r>
          <rPr>
            <b/>
            <sz val="9"/>
            <color indexed="81"/>
            <rFont val="Tahoma"/>
            <family val="2"/>
          </rPr>
          <t>Michelle Herrman:</t>
        </r>
        <r>
          <rPr>
            <sz val="9"/>
            <color indexed="81"/>
            <rFont val="Tahoma"/>
            <family val="2"/>
          </rPr>
          <t xml:space="preserve">
123.10 Cash Credit Entries Plus 136.00 credit</t>
        </r>
      </text>
    </comment>
  </commentList>
</comments>
</file>

<file path=xl/comments2.xml><?xml version="1.0" encoding="utf-8"?>
<comments xmlns="http://schemas.openxmlformats.org/spreadsheetml/2006/main">
  <authors>
    <author>swest</author>
    <author>Michelle Herrman</author>
  </authors>
  <commentList>
    <comment ref="J9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29 STMT OF OPERATIONS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21 STMT OF OPERATIONS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16 STMT OF OPERATIONS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</rPr>
          <t>Michelle Herrman:</t>
        </r>
        <r>
          <rPr>
            <sz val="9"/>
            <color indexed="81"/>
            <rFont val="Tahoma"/>
            <family val="2"/>
          </rPr>
          <t xml:space="preserve">
419.00 INTR  12</t>
        </r>
      </text>
    </comment>
    <comment ref="H15" authorId="1" shapeId="0">
      <text>
        <r>
          <rPr>
            <b/>
            <sz val="9"/>
            <color indexed="81"/>
            <rFont val="Tahoma"/>
            <family val="2"/>
          </rPr>
          <t>Michelle Herrman:</t>
        </r>
        <r>
          <rPr>
            <sz val="9"/>
            <color indexed="81"/>
            <rFont val="Tahoma"/>
            <family val="2"/>
          </rPr>
          <t xml:space="preserve">
123.10 Cash Credit Entries Plus 136.00 credit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13 STMT OF OPERATIONS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PRINCIPAL &amp; INTEREST PMTS SPREADSHEET
(Use 12 month total)</t>
        </r>
      </text>
    </comment>
    <comment ref="H25" authorId="1" shapeId="0">
      <text>
        <r>
          <rPr>
            <b/>
            <sz val="9"/>
            <color indexed="81"/>
            <rFont val="Tahoma"/>
            <family val="2"/>
          </rPr>
          <t>Michelle Herrman:</t>
        </r>
        <r>
          <rPr>
            <sz val="9"/>
            <color indexed="81"/>
            <rFont val="Tahoma"/>
            <family val="2"/>
          </rPr>
          <t xml:space="preserve">
123.10 Cash Credit Entries Plus 136.00 credit</t>
        </r>
      </text>
    </comment>
  </commentList>
</comments>
</file>

<file path=xl/comments3.xml><?xml version="1.0" encoding="utf-8"?>
<comments xmlns="http://schemas.openxmlformats.org/spreadsheetml/2006/main">
  <authors>
    <author>swest</author>
    <author>Michelle Herrman</author>
  </authors>
  <commentList>
    <comment ref="J9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29 STMT OF OPERATIONS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21 STMT OF OPERATIONS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16 STMT OF OPERATIONS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13 STMT OF OPERATIONS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PRINCIPAL &amp; INTEREST PMTS SPREADSHEET
(Use 12 month total)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36 BALANCE SHEET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29 BALANCE SHEET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36 BALANCE SHEET less EKPC current year balance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29 BALANCE SHEET less EKPC balance from 123.10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26 BALANCE SHEET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54 BALANCE SHEET</t>
        </r>
      </text>
    </comment>
    <comment ref="H70" authorId="1" shapeId="0">
      <text>
        <r>
          <rPr>
            <b/>
            <sz val="9"/>
            <color indexed="81"/>
            <rFont val="Tahoma"/>
            <family val="2"/>
          </rPr>
          <t>Michelle Herrman:</t>
        </r>
        <r>
          <rPr>
            <sz val="9"/>
            <color indexed="81"/>
            <rFont val="Tahoma"/>
            <family val="2"/>
          </rPr>
          <t xml:space="preserve">
419.00 INTR  12</t>
        </r>
      </text>
    </comment>
    <comment ref="H71" authorId="1" shapeId="0">
      <text>
        <r>
          <rPr>
            <b/>
            <sz val="9"/>
            <color indexed="81"/>
            <rFont val="Tahoma"/>
            <family val="2"/>
          </rPr>
          <t>Michelle Herrman:</t>
        </r>
        <r>
          <rPr>
            <sz val="9"/>
            <color indexed="81"/>
            <rFont val="Tahoma"/>
            <family val="2"/>
          </rPr>
          <t xml:space="preserve">
123.10 Cash Credit Entries Plus 136.00 credit</t>
        </r>
      </text>
    </comment>
  </commentList>
</comments>
</file>

<file path=xl/comments4.xml><?xml version="1.0" encoding="utf-8"?>
<comments xmlns="http://schemas.openxmlformats.org/spreadsheetml/2006/main">
  <authors>
    <author>swest</author>
    <author>Michelle Herrman</author>
  </authors>
  <commentList>
    <comment ref="J9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29 STMT OF OPERATIONS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21 STMT OF OPERATIONS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16 STMT OF OPERATIONS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</rPr>
          <t>Michelle Herrman:</t>
        </r>
        <r>
          <rPr>
            <sz val="9"/>
            <color indexed="81"/>
            <rFont val="Tahoma"/>
            <family val="2"/>
          </rPr>
          <t xml:space="preserve">
419.00 INTR  12</t>
        </r>
      </text>
    </comment>
    <comment ref="H15" authorId="1" shapeId="0">
      <text>
        <r>
          <rPr>
            <b/>
            <sz val="9"/>
            <color indexed="81"/>
            <rFont val="Tahoma"/>
            <family val="2"/>
          </rPr>
          <t>Michelle Herrman:</t>
        </r>
        <r>
          <rPr>
            <sz val="9"/>
            <color indexed="81"/>
            <rFont val="Tahoma"/>
            <family val="2"/>
          </rPr>
          <t xml:space="preserve">
123.10 Cash Credit Entries Plus 136.00 credit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13 STMT OF OPERATIONS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PRINCIPAL &amp; INTEREST PMTS SPREADSHEET
(Use 12 month total)</t>
        </r>
      </text>
    </comment>
  </commentList>
</comments>
</file>

<file path=xl/comments5.xml><?xml version="1.0" encoding="utf-8"?>
<comments xmlns="http://schemas.openxmlformats.org/spreadsheetml/2006/main">
  <authors>
    <author>swest</author>
    <author>Michelle Herrman</author>
  </authors>
  <commentList>
    <comment ref="J9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29 STMT OF OPERATIONS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21 STMT OF OPERATIONS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16 STMT OF OPERATIONS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13 STMT OF OPERATIONS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PRINCIPAL &amp; INTEREST PMTS SPREADSHEET
(Use 12 month total)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36 BALANCE SHEET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29 BALANCE SHEET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36 BALANCE SHEET less EKPC current year balance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29 BALANCE SHEET less EKPC balance from 123.10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26 BALANCE SHEET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54 BALANCE SHEET</t>
        </r>
      </text>
    </comment>
    <comment ref="H70" authorId="1" shapeId="0">
      <text>
        <r>
          <rPr>
            <b/>
            <sz val="9"/>
            <color indexed="81"/>
            <rFont val="Tahoma"/>
            <family val="2"/>
          </rPr>
          <t>Michelle Herrman:</t>
        </r>
        <r>
          <rPr>
            <sz val="9"/>
            <color indexed="81"/>
            <rFont val="Tahoma"/>
            <family val="2"/>
          </rPr>
          <t xml:space="preserve">
419.00 INTR  12</t>
        </r>
      </text>
    </comment>
    <comment ref="H71" authorId="1" shapeId="0">
      <text>
        <r>
          <rPr>
            <b/>
            <sz val="9"/>
            <color indexed="81"/>
            <rFont val="Tahoma"/>
            <family val="2"/>
          </rPr>
          <t>Michelle Herrman:</t>
        </r>
        <r>
          <rPr>
            <sz val="9"/>
            <color indexed="81"/>
            <rFont val="Tahoma"/>
            <family val="2"/>
          </rPr>
          <t xml:space="preserve">
123.10 Cash Credit Entries Plus 136.00 credit</t>
        </r>
      </text>
    </comment>
  </commentList>
</comments>
</file>

<file path=xl/comments6.xml><?xml version="1.0" encoding="utf-8"?>
<comments xmlns="http://schemas.openxmlformats.org/spreadsheetml/2006/main">
  <authors>
    <author>swest</author>
    <author>Michelle Herrman</author>
  </authors>
  <commentList>
    <comment ref="J9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29 STMT OF OPERATIONS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21 STMT OF OPERATIONS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16 STMT OF OPERATIONS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</rPr>
          <t>Michelle Herrman:</t>
        </r>
        <r>
          <rPr>
            <sz val="9"/>
            <color indexed="81"/>
            <rFont val="Tahoma"/>
            <family val="2"/>
          </rPr>
          <t xml:space="preserve">
419.00 INTR  12</t>
        </r>
      </text>
    </comment>
    <comment ref="H15" authorId="1" shapeId="0">
      <text>
        <r>
          <rPr>
            <b/>
            <sz val="9"/>
            <color indexed="81"/>
            <rFont val="Tahoma"/>
            <family val="2"/>
          </rPr>
          <t>Michelle Herrman:</t>
        </r>
        <r>
          <rPr>
            <sz val="9"/>
            <color indexed="81"/>
            <rFont val="Tahoma"/>
            <family val="2"/>
          </rPr>
          <t xml:space="preserve">
123.10 Cash Credit Entries Plus 136.00 credit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LINE 13 STMT OF OPERATIONS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swest:</t>
        </r>
        <r>
          <rPr>
            <sz val="9"/>
            <color indexed="81"/>
            <rFont val="Tahoma"/>
            <family val="2"/>
          </rPr>
          <t xml:space="preserve">
PRINCIPAL &amp; INTEREST PMTS SPREADSHEET
(Use 12 month total)</t>
        </r>
      </text>
    </comment>
  </commentList>
</comments>
</file>

<file path=xl/sharedStrings.xml><?xml version="1.0" encoding="utf-8"?>
<sst xmlns="http://schemas.openxmlformats.org/spreadsheetml/2006/main" count="560" uniqueCount="108">
  <si>
    <t>SOUTH KENTUCKY RECC</t>
  </si>
  <si>
    <t>Complete this information below; these will feed to the ration analysis spreadsheet to left:</t>
  </si>
  <si>
    <t>RATIO ANALYSIS</t>
  </si>
  <si>
    <t xml:space="preserve">TIER: TIMES INTEREST EARNED RATIO </t>
  </si>
  <si>
    <t>Co-Op's ability to make interest pmts</t>
  </si>
  <si>
    <t>DATA</t>
  </si>
  <si>
    <t>PER CURRENT MONTH FORM 7</t>
  </si>
  <si>
    <t>RUS requirement:  1.25</t>
  </si>
  <si>
    <t>Less:</t>
  </si>
  <si>
    <t>Plus:</t>
  </si>
  <si>
    <t>12 Months Ending</t>
  </si>
  <si>
    <t>Interest on</t>
  </si>
  <si>
    <t>Current Form 7</t>
  </si>
  <si>
    <t>Margins</t>
  </si>
  <si>
    <t>+</t>
  </si>
  <si>
    <t>Long Term Debt</t>
  </si>
  <si>
    <t>Margins:</t>
  </si>
  <si>
    <t xml:space="preserve">       Interest on Long Term Debt</t>
  </si>
  <si>
    <t>Interest on LTD:</t>
  </si>
  <si>
    <t>Margins + Interest on LTD:</t>
  </si>
  <si>
    <t>Operating Margins</t>
  </si>
  <si>
    <t>Interest Expense</t>
  </si>
  <si>
    <t>Depreciation Expense</t>
  </si>
  <si>
    <t>Patronage Capital Received</t>
  </si>
  <si>
    <t>EKPC + CFC</t>
  </si>
  <si>
    <t xml:space="preserve">EQUITY RATIO </t>
  </si>
  <si>
    <t>Extent Members finance total assets</t>
  </si>
  <si>
    <t>Debt Service Billed</t>
  </si>
  <si>
    <t xml:space="preserve">                     </t>
  </si>
  <si>
    <t>RUS - Principal/FFB Principal</t>
  </si>
  <si>
    <t>Total Margins + Equity</t>
  </si>
  <si>
    <t>Total Margins + Equity:</t>
  </si>
  <si>
    <t>CFC- Principal</t>
  </si>
  <si>
    <t xml:space="preserve">     </t>
  </si>
  <si>
    <t>Total Assets</t>
  </si>
  <si>
    <t>Total Assets:</t>
  </si>
  <si>
    <t>RUS - Interest/ FFB Interest</t>
  </si>
  <si>
    <t xml:space="preserve">CFC - Interest </t>
  </si>
  <si>
    <t>CoBank Principal</t>
  </si>
  <si>
    <t>CoBank Interest</t>
  </si>
  <si>
    <t>Current Target is 35% to 45%</t>
  </si>
  <si>
    <t>Monticello Principal</t>
  </si>
  <si>
    <t>Monticello Interest</t>
  </si>
  <si>
    <t>Total Debt Service Billed</t>
  </si>
  <si>
    <t>2.a</t>
  </si>
  <si>
    <t>EQUITY RATIO WITHOUT EKPC</t>
  </si>
  <si>
    <t>Rolling 12 month TIER</t>
  </si>
  <si>
    <t>Total Margins + Equity (less EKPC):</t>
  </si>
  <si>
    <t>Total Assets less EKPC</t>
  </si>
  <si>
    <t xml:space="preserve">Total </t>
  </si>
  <si>
    <t>.</t>
  </si>
  <si>
    <t>Tier</t>
  </si>
  <si>
    <t xml:space="preserve">CURRENT RATIO  </t>
  </si>
  <si>
    <t xml:space="preserve">Measures ability to pay current debts </t>
  </si>
  <si>
    <t>2.a  Without EKPC</t>
  </si>
  <si>
    <t xml:space="preserve">   with current liabilities</t>
  </si>
  <si>
    <t>EKPC Assets:</t>
  </si>
  <si>
    <t xml:space="preserve">plus </t>
  </si>
  <si>
    <t>Current Assets</t>
  </si>
  <si>
    <t>Current Assets:</t>
  </si>
  <si>
    <t>Less</t>
  </si>
  <si>
    <t>Current Liabilities</t>
  </si>
  <si>
    <t>Current Liabilities:</t>
  </si>
  <si>
    <t>less</t>
  </si>
  <si>
    <t>At 7/31/20</t>
  </si>
  <si>
    <t>EKPC in 2020 Margins</t>
  </si>
  <si>
    <t>DSC RATIO</t>
  </si>
  <si>
    <t>Measures ability to cover cash</t>
  </si>
  <si>
    <t>PER 12 MONTH ROLLING CALCULATION</t>
  </si>
  <si>
    <t xml:space="preserve">  requirement of debt</t>
  </si>
  <si>
    <t>12 Months from 1/01/20 -12/31/20</t>
  </si>
  <si>
    <t>Interest + Margins + Depreciation Exp</t>
  </si>
  <si>
    <t>Int on LTD:</t>
  </si>
  <si>
    <t xml:space="preserve">Depr Exp: </t>
  </si>
  <si>
    <t>Total:</t>
  </si>
  <si>
    <t>Debt Billed:</t>
  </si>
  <si>
    <t>MDSC RATIO</t>
  </si>
  <si>
    <t>Interest + Oper Margins + Depr. Exp+ Interest Inc + Cash Pat. Cap</t>
  </si>
  <si>
    <t>RUS requires 1.25;  CFC requires 1.35</t>
  </si>
  <si>
    <t>Interest Income</t>
  </si>
  <si>
    <t>Cash Patronage Capital from Assoc</t>
  </si>
  <si>
    <t>EKPC 720778.97</t>
  </si>
  <si>
    <t>CFC 46,192.78</t>
  </si>
  <si>
    <t xml:space="preserve">ROLLING TIER: TIMES INTEREST EARNED RATIO </t>
  </si>
  <si>
    <t>Rolling 12 Months</t>
  </si>
  <si>
    <t>OTIER: OPERATING TIER</t>
  </si>
  <si>
    <t>RUS requirement:  1.10</t>
  </si>
  <si>
    <t>Oper. Margins</t>
  </si>
  <si>
    <t>+ Cash Patronage Recd +</t>
  </si>
  <si>
    <t>Interest on LTD</t>
  </si>
  <si>
    <t>Int on LTD</t>
  </si>
  <si>
    <t>Patronage Cash Received</t>
  </si>
  <si>
    <t>720778.97 EKPC &amp; CFC 46,192.78</t>
  </si>
  <si>
    <t>Total</t>
  </si>
  <si>
    <t>ROLLING OTIER: OPERATING TIER</t>
  </si>
  <si>
    <t>CO-Op's ability to make interest pmts</t>
  </si>
  <si>
    <t>CFC EKPC</t>
  </si>
  <si>
    <t>At 4/30/19</t>
  </si>
  <si>
    <t>EKPC in 2019 Margins</t>
  </si>
  <si>
    <t>12 Months from 1/01/19 -12/31/19</t>
  </si>
  <si>
    <t>EKPC 201,317.92</t>
  </si>
  <si>
    <t>Pat Cash Recd from EKPC &amp; CFC</t>
  </si>
  <si>
    <t>At 12/31/17</t>
  </si>
  <si>
    <t>EKPC in 2018 Margins</t>
  </si>
  <si>
    <t>12 Months from 1/1/18 -12/31/18</t>
  </si>
  <si>
    <t>+Cash Pa</t>
  </si>
  <si>
    <t>Cash Patronage from EKPC CFC</t>
  </si>
  <si>
    <t>Cash Patronage Capital from EKPC CFC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</si>
</sst>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>
      <alignment horizontal="centerContinuous"/>
    </xf>
    <xf numFmtId="0" fontId="0" fillId="2" borderId="0" xfId="0" applyFill="1"/>
    <xf numFmtId="17" fontId="2" fillId="0" borderId="0" xfId="0" applyNumberFormat="1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" xfId="0" applyFont="1" applyBorder="1"/>
    <xf numFmtId="0" fontId="0" fillId="0" borderId="0" xfId="0" applyAlignment="1">
      <alignment horizontal="centerContinuous"/>
    </xf>
    <xf numFmtId="14" fontId="0" fillId="0" borderId="0" xfId="0" applyNumberFormat="1"/>
    <xf numFmtId="14" fontId="0" fillId="2" borderId="0" xfId="0" applyNumberFormat="1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0" xfId="0" applyBorder="1" applyAlignment="1"/>
    <xf numFmtId="7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0" fontId="0" fillId="0" borderId="0" xfId="0" applyAlignment="1"/>
    <xf numFmtId="165" fontId="0" fillId="0" borderId="1" xfId="0" applyNumberFormat="1" applyBorder="1"/>
    <xf numFmtId="165" fontId="0" fillId="0" borderId="0" xfId="0" applyNumberFormat="1"/>
    <xf numFmtId="165" fontId="6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6" fontId="5" fillId="0" borderId="0" xfId="0" applyNumberFormat="1" applyFont="1" applyAlignment="1">
      <alignment horizontal="left"/>
    </xf>
    <xf numFmtId="165" fontId="0" fillId="0" borderId="0" xfId="0" applyNumberFormat="1" applyAlignment="1">
      <alignment horizontal="centerContinuous"/>
    </xf>
    <xf numFmtId="166" fontId="5" fillId="0" borderId="0" xfId="0" applyNumberFormat="1" applyFont="1" applyBorder="1" applyAlignment="1">
      <alignment horizontal="centerContinuous"/>
    </xf>
    <xf numFmtId="166" fontId="0" fillId="0" borderId="0" xfId="0" applyNumberFormat="1" applyBorder="1" applyAlignment="1">
      <alignment horizontal="centerContinuous"/>
    </xf>
    <xf numFmtId="5" fontId="0" fillId="2" borderId="0" xfId="2" applyNumberFormat="1" applyFont="1" applyFill="1"/>
    <xf numFmtId="0" fontId="6" fillId="0" borderId="0" xfId="0" applyFont="1"/>
    <xf numFmtId="164" fontId="1" fillId="3" borderId="0" xfId="0" applyNumberFormat="1" applyFont="1" applyFill="1"/>
    <xf numFmtId="0" fontId="6" fillId="0" borderId="0" xfId="0" applyFont="1" applyBorder="1" applyAlignment="1">
      <alignment horizontal="centerContinuous"/>
    </xf>
    <xf numFmtId="165" fontId="0" fillId="2" borderId="0" xfId="0" applyNumberFormat="1" applyFill="1"/>
    <xf numFmtId="164" fontId="0" fillId="3" borderId="0" xfId="0" applyNumberFormat="1" applyFill="1"/>
    <xf numFmtId="165" fontId="6" fillId="0" borderId="0" xfId="0" applyNumberFormat="1" applyFont="1" applyAlignment="1">
      <alignment horizontal="centerContinuous"/>
    </xf>
    <xf numFmtId="166" fontId="5" fillId="0" borderId="0" xfId="0" applyNumberFormat="1" applyFont="1" applyAlignment="1">
      <alignment horizontal="centerContinuous"/>
    </xf>
    <xf numFmtId="166" fontId="0" fillId="0" borderId="0" xfId="0" applyNumberFormat="1" applyAlignment="1">
      <alignment horizontal="centerContinuous"/>
    </xf>
    <xf numFmtId="18" fontId="4" fillId="0" borderId="0" xfId="0" quotePrefix="1" applyNumberFormat="1" applyFont="1"/>
    <xf numFmtId="0" fontId="1" fillId="0" borderId="0" xfId="0" applyFont="1"/>
    <xf numFmtId="2" fontId="0" fillId="0" borderId="0" xfId="0" applyNumberFormat="1"/>
    <xf numFmtId="22" fontId="0" fillId="0" borderId="0" xfId="0" applyNumberFormat="1"/>
    <xf numFmtId="0" fontId="4" fillId="0" borderId="2" xfId="0" applyFont="1" applyBorder="1"/>
    <xf numFmtId="43" fontId="4" fillId="0" borderId="3" xfId="1" applyFont="1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44" fontId="0" fillId="0" borderId="0" xfId="2" applyFont="1" applyBorder="1"/>
    <xf numFmtId="0" fontId="0" fillId="0" borderId="6" xfId="0" applyBorder="1"/>
    <xf numFmtId="0" fontId="0" fillId="0" borderId="5" xfId="0" applyBorder="1"/>
    <xf numFmtId="0" fontId="0" fillId="0" borderId="0" xfId="0" applyBorder="1"/>
    <xf numFmtId="43" fontId="1" fillId="0" borderId="0" xfId="1" applyFont="1" applyBorder="1"/>
    <xf numFmtId="0" fontId="6" fillId="0" borderId="0" xfId="0" applyFont="1" applyAlignment="1">
      <alignment horizontal="centerContinuous"/>
    </xf>
    <xf numFmtId="43" fontId="0" fillId="0" borderId="0" xfId="1" applyFont="1" applyBorder="1"/>
    <xf numFmtId="43" fontId="0" fillId="0" borderId="1" xfId="1" applyFont="1" applyBorder="1"/>
    <xf numFmtId="0" fontId="0" fillId="0" borderId="0" xfId="0" applyFont="1" applyBorder="1"/>
    <xf numFmtId="44" fontId="0" fillId="0" borderId="7" xfId="0" applyNumberFormat="1" applyBorder="1"/>
    <xf numFmtId="0" fontId="0" fillId="0" borderId="5" xfId="0" applyFont="1" applyBorder="1"/>
    <xf numFmtId="39" fontId="1" fillId="0" borderId="0" xfId="0" applyNumberFormat="1" applyFont="1" applyBorder="1"/>
    <xf numFmtId="43" fontId="0" fillId="0" borderId="1" xfId="1" applyFont="1" applyFill="1" applyBorder="1"/>
    <xf numFmtId="166" fontId="1" fillId="0" borderId="0" xfId="0" applyNumberFormat="1" applyFont="1" applyAlignment="1">
      <alignment horizontal="centerContinuous"/>
    </xf>
    <xf numFmtId="39" fontId="0" fillId="0" borderId="0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" fontId="0" fillId="0" borderId="0" xfId="0" applyNumberFormat="1"/>
    <xf numFmtId="0" fontId="4" fillId="2" borderId="0" xfId="0" applyFont="1" applyFill="1"/>
    <xf numFmtId="0" fontId="0" fillId="0" borderId="1" xfId="0" applyBorder="1" applyAlignment="1">
      <alignment horizontal="centerContinuous"/>
    </xf>
    <xf numFmtId="166" fontId="6" fillId="0" borderId="0" xfId="0" applyNumberFormat="1" applyFont="1" applyAlignment="1">
      <alignment horizontal="centerContinuous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1" xfId="0" quotePrefix="1" applyFont="1" applyBorder="1"/>
    <xf numFmtId="0" fontId="8" fillId="0" borderId="1" xfId="0" applyFont="1" applyBorder="1" applyAlignment="1"/>
    <xf numFmtId="165" fontId="0" fillId="0" borderId="0" xfId="0" applyNumberFormat="1" applyBorder="1"/>
    <xf numFmtId="0" fontId="0" fillId="2" borderId="0" xfId="0" applyFont="1" applyFill="1"/>
    <xf numFmtId="165" fontId="0" fillId="2" borderId="0" xfId="0" applyNumberFormat="1" applyFill="1" applyBorder="1"/>
    <xf numFmtId="7" fontId="6" fillId="0" borderId="0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 horizontal="centerContinuous"/>
    </xf>
    <xf numFmtId="2" fontId="0" fillId="0" borderId="0" xfId="0" applyNumberFormat="1" applyAlignment="1">
      <alignment horizontal="centerContinuous"/>
    </xf>
    <xf numFmtId="0" fontId="1" fillId="0" borderId="1" xfId="0" applyFont="1" applyBorder="1"/>
    <xf numFmtId="0" fontId="1" fillId="0" borderId="1" xfId="0" quotePrefix="1" applyFont="1" applyBorder="1"/>
    <xf numFmtId="43" fontId="0" fillId="2" borderId="1" xfId="1" applyFont="1" applyFill="1" applyBorder="1"/>
    <xf numFmtId="22" fontId="9" fillId="0" borderId="0" xfId="0" applyNumberFormat="1" applyFont="1"/>
    <xf numFmtId="44" fontId="0" fillId="0" borderId="0" xfId="2" applyFont="1"/>
    <xf numFmtId="0" fontId="0" fillId="4" borderId="0" xfId="0" applyFill="1"/>
    <xf numFmtId="0" fontId="0" fillId="0" borderId="0" xfId="0" applyFill="1"/>
    <xf numFmtId="0" fontId="3" fillId="4" borderId="0" xfId="0" applyFont="1" applyFill="1"/>
    <xf numFmtId="165" fontId="0" fillId="2" borderId="1" xfId="0" applyNumberFormat="1" applyFill="1" applyBorder="1"/>
    <xf numFmtId="0" fontId="0" fillId="0" borderId="1" xfId="0" quotePrefix="1" applyFont="1" applyBorder="1"/>
    <xf numFmtId="0" fontId="0" fillId="0" borderId="0" xfId="0" applyFont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01"/>
  <sheetViews>
    <sheetView tabSelected="1" workbookViewId="0">
      <selection activeCell="G101" sqref="G101"/>
    </sheetView>
  </sheetViews>
  <sheetFormatPr defaultRowHeight="12.75" x14ac:dyDescent="0.2"/>
  <cols>
    <col min="2" max="2" width="16.85546875" customWidth="1"/>
    <col min="7" max="7" width="24.5703125" customWidth="1"/>
    <col min="8" max="8" width="15.28515625" customWidth="1"/>
    <col min="10" max="10" width="19.140625" customWidth="1"/>
    <col min="11" max="11" width="11.140625" customWidth="1"/>
    <col min="12" max="12" width="15.85546875" customWidth="1"/>
    <col min="13" max="13" width="11.85546875" customWidth="1"/>
    <col min="14" max="14" width="23.57031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/>
      <c r="J1" s="2" t="s">
        <v>1</v>
      </c>
      <c r="K1" s="2"/>
      <c r="L1" s="2"/>
      <c r="M1" s="2"/>
      <c r="N1" s="2"/>
    </row>
    <row r="2" spans="1:14" ht="15.75" x14ac:dyDescent="0.25">
      <c r="A2" s="1" t="s">
        <v>2</v>
      </c>
      <c r="B2" s="1"/>
      <c r="C2" s="1"/>
      <c r="D2" s="1"/>
      <c r="E2" s="1"/>
      <c r="F2" s="1"/>
      <c r="G2" s="1"/>
      <c r="H2" s="1"/>
    </row>
    <row r="3" spans="1:14" ht="15.75" x14ac:dyDescent="0.25">
      <c r="A3" s="3">
        <v>43465</v>
      </c>
      <c r="B3" s="1"/>
      <c r="C3" s="1"/>
      <c r="D3" s="1"/>
      <c r="E3" s="1"/>
      <c r="F3" s="1"/>
      <c r="G3" s="1"/>
      <c r="H3" s="1"/>
    </row>
    <row r="4" spans="1:14" x14ac:dyDescent="0.2">
      <c r="B4" s="4"/>
    </row>
    <row r="5" spans="1:14" x14ac:dyDescent="0.2">
      <c r="A5" s="5">
        <v>1</v>
      </c>
      <c r="B5" s="6" t="s">
        <v>3</v>
      </c>
      <c r="C5" s="7"/>
      <c r="D5" s="7"/>
      <c r="E5" s="7"/>
      <c r="G5" s="5" t="s">
        <v>4</v>
      </c>
      <c r="J5" s="8" t="s">
        <v>5</v>
      </c>
    </row>
    <row r="6" spans="1:14" x14ac:dyDescent="0.2">
      <c r="B6" s="7" t="s">
        <v>6</v>
      </c>
      <c r="C6" s="9"/>
      <c r="D6" s="9"/>
      <c r="E6" s="9"/>
      <c r="G6" s="5" t="s">
        <v>7</v>
      </c>
      <c r="L6" t="s">
        <v>8</v>
      </c>
      <c r="M6" t="s">
        <v>9</v>
      </c>
      <c r="N6" t="s">
        <v>10</v>
      </c>
    </row>
    <row r="7" spans="1:14" x14ac:dyDescent="0.2">
      <c r="G7" s="5"/>
      <c r="K7" s="10">
        <v>43100</v>
      </c>
      <c r="L7" s="11">
        <v>43100</v>
      </c>
      <c r="M7" s="10">
        <f>L7+365</f>
        <v>43465</v>
      </c>
      <c r="N7" s="10">
        <f>M7</f>
        <v>43465</v>
      </c>
    </row>
    <row r="8" spans="1:14" x14ac:dyDescent="0.2">
      <c r="D8" s="12" t="s">
        <v>11</v>
      </c>
      <c r="G8" t="s">
        <v>12</v>
      </c>
    </row>
    <row r="9" spans="1:14" x14ac:dyDescent="0.2">
      <c r="B9" s="13" t="s">
        <v>13</v>
      </c>
      <c r="C9" s="13" t="s">
        <v>14</v>
      </c>
      <c r="D9" s="14" t="s">
        <v>15</v>
      </c>
      <c r="E9" s="15"/>
      <c r="G9" t="s">
        <v>16</v>
      </c>
      <c r="H9" s="16">
        <f>M9</f>
        <v>7178907.6900000004</v>
      </c>
      <c r="J9" t="s">
        <v>13</v>
      </c>
      <c r="K9" s="17">
        <v>9377791.1899999995</v>
      </c>
      <c r="L9" s="18">
        <v>9377791.1899999995</v>
      </c>
      <c r="M9" s="18">
        <v>7178907.6900000004</v>
      </c>
      <c r="N9" s="17">
        <f>K9-L9+M9</f>
        <v>7178907.6900000004</v>
      </c>
    </row>
    <row r="10" spans="1:14" x14ac:dyDescent="0.2">
      <c r="B10" s="19" t="s">
        <v>17</v>
      </c>
      <c r="C10" s="19"/>
      <c r="D10" s="19"/>
      <c r="E10" s="9"/>
      <c r="G10" t="s">
        <v>18</v>
      </c>
      <c r="H10" s="20">
        <f>M13</f>
        <v>5365629.09</v>
      </c>
      <c r="K10" s="17"/>
      <c r="L10" s="17"/>
      <c r="M10" s="17"/>
      <c r="N10" s="17"/>
    </row>
    <row r="11" spans="1:14" x14ac:dyDescent="0.2">
      <c r="G11" t="s">
        <v>19</v>
      </c>
      <c r="H11" s="21">
        <f>SUM(H9:H10)</f>
        <v>12544536.780000001</v>
      </c>
      <c r="J11" t="s">
        <v>20</v>
      </c>
      <c r="K11" s="17">
        <v>1613888.22</v>
      </c>
      <c r="L11" s="18">
        <v>1613888.22</v>
      </c>
      <c r="M11" s="18">
        <v>2888435.88</v>
      </c>
      <c r="N11" s="17">
        <f>K11-L11+M11</f>
        <v>2888435.88</v>
      </c>
    </row>
    <row r="12" spans="1:14" x14ac:dyDescent="0.2">
      <c r="H12" s="21"/>
      <c r="K12" s="17"/>
      <c r="L12" s="17"/>
      <c r="M12" s="17"/>
      <c r="N12" s="17"/>
    </row>
    <row r="13" spans="1:14" x14ac:dyDescent="0.2">
      <c r="B13" s="22">
        <f>H11</f>
        <v>12544536.780000001</v>
      </c>
      <c r="C13" s="23"/>
      <c r="D13" s="23"/>
      <c r="E13" s="12"/>
      <c r="G13" s="24"/>
      <c r="H13" s="21"/>
      <c r="J13" t="s">
        <v>21</v>
      </c>
      <c r="K13" s="17">
        <v>5191802.3899999997</v>
      </c>
      <c r="L13" s="18">
        <v>5191802.3899999997</v>
      </c>
      <c r="M13" s="18">
        <v>5365629.09</v>
      </c>
      <c r="N13" s="17">
        <f>K13-L13+M13</f>
        <v>5365629.09</v>
      </c>
    </row>
    <row r="14" spans="1:14" x14ac:dyDescent="0.2">
      <c r="B14" s="25">
        <f>H10</f>
        <v>5365629.09</v>
      </c>
      <c r="C14" s="9"/>
      <c r="D14" s="9"/>
      <c r="H14" s="21"/>
      <c r="K14" s="17"/>
      <c r="L14" s="17"/>
      <c r="M14" s="17"/>
      <c r="N14" s="17"/>
    </row>
    <row r="15" spans="1:14" x14ac:dyDescent="0.2">
      <c r="H15" s="21"/>
      <c r="J15" t="s">
        <v>22</v>
      </c>
      <c r="K15" s="17">
        <v>8264253.4900000002</v>
      </c>
      <c r="L15" s="18">
        <v>8264253.4900000002</v>
      </c>
      <c r="M15" s="18">
        <v>8668426.8399999999</v>
      </c>
      <c r="N15" s="17">
        <f>K15-L15+M15</f>
        <v>8668426.8399999999</v>
      </c>
    </row>
    <row r="16" spans="1:14" x14ac:dyDescent="0.2">
      <c r="B16" s="26">
        <f>B13/B14</f>
        <v>2.3379433370412119</v>
      </c>
      <c r="C16" s="27"/>
      <c r="D16" s="27"/>
      <c r="H16" s="21"/>
      <c r="K16" s="17"/>
      <c r="L16" s="17"/>
      <c r="M16" s="17"/>
      <c r="N16" s="17"/>
    </row>
    <row r="17" spans="1:14" x14ac:dyDescent="0.2">
      <c r="H17" s="21"/>
    </row>
    <row r="18" spans="1:14" x14ac:dyDescent="0.2">
      <c r="A18" s="5">
        <v>2</v>
      </c>
      <c r="B18" s="6" t="s">
        <v>25</v>
      </c>
      <c r="C18" s="9"/>
      <c r="D18" s="9"/>
      <c r="G18" s="5" t="s">
        <v>26</v>
      </c>
      <c r="H18" s="21"/>
      <c r="J18" s="29" t="s">
        <v>27</v>
      </c>
      <c r="K18" s="17"/>
      <c r="L18" s="17" t="s">
        <v>28</v>
      </c>
      <c r="M18" s="17"/>
      <c r="N18" s="17"/>
    </row>
    <row r="19" spans="1:14" x14ac:dyDescent="0.2">
      <c r="B19" s="7"/>
      <c r="G19" t="s">
        <v>12</v>
      </c>
      <c r="H19" s="21"/>
      <c r="J19" t="s">
        <v>29</v>
      </c>
      <c r="M19" s="4"/>
      <c r="N19" s="30">
        <f>267119.33+2119429.52</f>
        <v>2386548.85</v>
      </c>
    </row>
    <row r="20" spans="1:14" x14ac:dyDescent="0.2">
      <c r="B20" s="31" t="s">
        <v>30</v>
      </c>
      <c r="C20" s="23"/>
      <c r="D20" s="23"/>
      <c r="G20" t="s">
        <v>31</v>
      </c>
      <c r="H20" s="32">
        <v>137746783.58000001</v>
      </c>
      <c r="J20" t="s">
        <v>32</v>
      </c>
      <c r="L20" t="s">
        <v>33</v>
      </c>
      <c r="M20" s="4"/>
      <c r="N20" s="33">
        <v>1197745.3600000001</v>
      </c>
    </row>
    <row r="21" spans="1:14" x14ac:dyDescent="0.2">
      <c r="B21" s="9" t="s">
        <v>34</v>
      </c>
      <c r="C21" s="9"/>
      <c r="D21" s="9"/>
      <c r="G21" t="s">
        <v>35</v>
      </c>
      <c r="H21" s="32">
        <v>309307124.37</v>
      </c>
      <c r="J21" t="s">
        <v>36</v>
      </c>
      <c r="M21" s="4"/>
      <c r="N21" s="33">
        <f>39294.51+2788074.3</f>
        <v>2827368.8099999996</v>
      </c>
    </row>
    <row r="22" spans="1:14" x14ac:dyDescent="0.2">
      <c r="H22" s="21"/>
      <c r="J22" t="s">
        <v>37</v>
      </c>
      <c r="M22" s="4"/>
      <c r="N22" s="33">
        <v>483283.7</v>
      </c>
    </row>
    <row r="23" spans="1:14" x14ac:dyDescent="0.2">
      <c r="B23" s="34">
        <f>H20</f>
        <v>137746783.58000001</v>
      </c>
      <c r="C23" s="9"/>
      <c r="D23" s="9"/>
      <c r="H23" s="21"/>
      <c r="J23" t="s">
        <v>38</v>
      </c>
      <c r="M23" s="4"/>
      <c r="N23" s="33">
        <v>2536175.39</v>
      </c>
    </row>
    <row r="24" spans="1:14" x14ac:dyDescent="0.2">
      <c r="B24" s="25">
        <f>H21</f>
        <v>309307124.37</v>
      </c>
      <c r="C24" s="9"/>
      <c r="D24" s="9"/>
      <c r="H24" s="21"/>
      <c r="J24" t="s">
        <v>39</v>
      </c>
      <c r="M24" s="4"/>
      <c r="N24" s="33">
        <v>1920820.34</v>
      </c>
    </row>
    <row r="25" spans="1:14" x14ac:dyDescent="0.2">
      <c r="G25" s="5" t="s">
        <v>40</v>
      </c>
      <c r="H25" s="21"/>
      <c r="J25" t="s">
        <v>41</v>
      </c>
      <c r="M25" s="4"/>
      <c r="N25" s="33">
        <v>146666.66</v>
      </c>
    </row>
    <row r="26" spans="1:14" x14ac:dyDescent="0.2">
      <c r="B26" s="35">
        <f>B23/B24</f>
        <v>0.44533983451097064</v>
      </c>
      <c r="C26" s="36"/>
      <c r="D26" s="36"/>
      <c r="H26" s="21"/>
      <c r="J26" t="s">
        <v>42</v>
      </c>
      <c r="M26" s="4"/>
      <c r="N26" s="33">
        <v>139333.34</v>
      </c>
    </row>
    <row r="27" spans="1:14" x14ac:dyDescent="0.2">
      <c r="B27" s="35"/>
      <c r="C27" s="36"/>
      <c r="D27" s="36"/>
      <c r="H27" s="21"/>
      <c r="J27" t="s">
        <v>43</v>
      </c>
      <c r="N27" s="17">
        <f>SUM(N19:N26)</f>
        <v>11637942.449999999</v>
      </c>
    </row>
    <row r="28" spans="1:14" x14ac:dyDescent="0.2">
      <c r="A28" s="37" t="s">
        <v>44</v>
      </c>
      <c r="B28" s="35" t="s">
        <v>45</v>
      </c>
      <c r="C28" s="36"/>
      <c r="D28" s="36"/>
      <c r="H28" s="21"/>
    </row>
    <row r="29" spans="1:14" x14ac:dyDescent="0.2">
      <c r="B29" s="35"/>
      <c r="C29" s="36"/>
      <c r="D29" s="36"/>
      <c r="H29" s="21"/>
      <c r="J29" t="s">
        <v>46</v>
      </c>
    </row>
    <row r="30" spans="1:14" x14ac:dyDescent="0.2">
      <c r="B30" s="31" t="s">
        <v>30</v>
      </c>
      <c r="C30" s="23"/>
      <c r="D30" s="23"/>
      <c r="G30" t="s">
        <v>12</v>
      </c>
      <c r="H30" s="21"/>
      <c r="J30" t="s">
        <v>13</v>
      </c>
      <c r="K30" s="17">
        <f>N9</f>
        <v>7178907.6900000004</v>
      </c>
    </row>
    <row r="31" spans="1:14" x14ac:dyDescent="0.2">
      <c r="B31" s="9" t="s">
        <v>34</v>
      </c>
      <c r="C31" s="9"/>
      <c r="D31" s="9"/>
      <c r="G31" t="s">
        <v>47</v>
      </c>
      <c r="H31" s="32">
        <f>137746783.58-69328850.1</f>
        <v>68417933.480000019</v>
      </c>
      <c r="J31" t="s">
        <v>15</v>
      </c>
      <c r="K31" s="17">
        <f>N13</f>
        <v>5365629.09</v>
      </c>
    </row>
    <row r="32" spans="1:14" x14ac:dyDescent="0.2">
      <c r="B32" s="35"/>
      <c r="C32" s="36"/>
      <c r="D32" s="36"/>
      <c r="G32" s="38" t="s">
        <v>48</v>
      </c>
      <c r="H32" s="32">
        <f>309307124.37-69328850.1</f>
        <v>239978274.27000001</v>
      </c>
      <c r="J32" t="s">
        <v>49</v>
      </c>
      <c r="K32" s="17">
        <f>SUM(K30:K31)</f>
        <v>12544536.780000001</v>
      </c>
    </row>
    <row r="33" spans="1:13" x14ac:dyDescent="0.2">
      <c r="B33" s="34">
        <f>H31</f>
        <v>68417933.480000019</v>
      </c>
      <c r="C33" s="9"/>
      <c r="D33" s="9"/>
      <c r="H33" s="21"/>
      <c r="L33" t="s">
        <v>50</v>
      </c>
    </row>
    <row r="34" spans="1:13" x14ac:dyDescent="0.2">
      <c r="B34" s="25">
        <f>H32</f>
        <v>239978274.27000001</v>
      </c>
      <c r="C34" s="9"/>
      <c r="D34" s="9"/>
      <c r="H34" s="21"/>
      <c r="J34" t="s">
        <v>51</v>
      </c>
      <c r="K34" s="39">
        <f>K32/K31</f>
        <v>2.3379433370412119</v>
      </c>
    </row>
    <row r="35" spans="1:13" x14ac:dyDescent="0.2">
      <c r="H35" s="21"/>
    </row>
    <row r="36" spans="1:13" x14ac:dyDescent="0.2">
      <c r="B36" s="35">
        <f>B33/B34</f>
        <v>0.28510053123818563</v>
      </c>
      <c r="C36" s="36"/>
      <c r="D36" s="36"/>
      <c r="H36" s="21"/>
    </row>
    <row r="37" spans="1:13" x14ac:dyDescent="0.2">
      <c r="B37" s="35"/>
      <c r="C37" s="36"/>
      <c r="D37" s="36"/>
      <c r="H37" s="21"/>
    </row>
    <row r="38" spans="1:13" ht="13.5" thickBot="1" x14ac:dyDescent="0.25">
      <c r="H38" s="21"/>
      <c r="J38" s="40">
        <f ca="1">NOW()</f>
        <v>44591.808694907406</v>
      </c>
    </row>
    <row r="39" spans="1:13" x14ac:dyDescent="0.2">
      <c r="A39" s="5">
        <v>3</v>
      </c>
      <c r="B39" s="6" t="s">
        <v>52</v>
      </c>
      <c r="C39" s="9"/>
      <c r="D39" s="9"/>
      <c r="G39" s="5" t="s">
        <v>53</v>
      </c>
      <c r="H39" s="21"/>
      <c r="J39" s="41" t="s">
        <v>54</v>
      </c>
      <c r="K39" s="42">
        <v>-123.1</v>
      </c>
      <c r="L39" s="43"/>
      <c r="M39" s="44"/>
    </row>
    <row r="40" spans="1:13" x14ac:dyDescent="0.2">
      <c r="G40" s="5" t="s">
        <v>55</v>
      </c>
      <c r="H40" s="21"/>
      <c r="J40" s="45" t="s">
        <v>56</v>
      </c>
      <c r="K40" s="10">
        <v>43465</v>
      </c>
      <c r="L40" s="46">
        <v>66736273.200000003</v>
      </c>
      <c r="M40" s="47"/>
    </row>
    <row r="41" spans="1:13" x14ac:dyDescent="0.2">
      <c r="G41" t="s">
        <v>12</v>
      </c>
      <c r="H41" s="21"/>
      <c r="J41" s="48"/>
      <c r="K41" s="49" t="s">
        <v>57</v>
      </c>
      <c r="L41" s="50">
        <v>2592576.9</v>
      </c>
      <c r="M41" s="47"/>
    </row>
    <row r="42" spans="1:13" x14ac:dyDescent="0.2">
      <c r="B42" s="51" t="s">
        <v>58</v>
      </c>
      <c r="C42" s="9"/>
      <c r="D42" s="9"/>
      <c r="G42" t="s">
        <v>59</v>
      </c>
      <c r="H42" s="32">
        <v>32454649.120000001</v>
      </c>
      <c r="J42" s="48"/>
      <c r="K42" s="49" t="s">
        <v>57</v>
      </c>
      <c r="L42" s="50"/>
      <c r="M42" s="47"/>
    </row>
    <row r="43" spans="1:13" x14ac:dyDescent="0.2">
      <c r="B43" s="9" t="s">
        <v>61</v>
      </c>
      <c r="C43" s="9"/>
      <c r="D43" s="9"/>
      <c r="G43" t="s">
        <v>62</v>
      </c>
      <c r="H43" s="32">
        <v>22153553.699999999</v>
      </c>
      <c r="J43" s="48"/>
      <c r="K43" t="s">
        <v>57</v>
      </c>
      <c r="L43" s="52">
        <v>0</v>
      </c>
      <c r="M43" s="47"/>
    </row>
    <row r="44" spans="1:13" x14ac:dyDescent="0.2">
      <c r="B44" s="29"/>
      <c r="H44" s="21"/>
      <c r="J44" s="48"/>
      <c r="K44" t="s">
        <v>63</v>
      </c>
      <c r="L44" s="53">
        <v>0</v>
      </c>
      <c r="M44" s="47"/>
    </row>
    <row r="45" spans="1:13" x14ac:dyDescent="0.2">
      <c r="B45" s="34">
        <f>H42</f>
        <v>32454649.120000001</v>
      </c>
      <c r="C45" s="9"/>
      <c r="D45" s="9"/>
      <c r="H45" s="21"/>
      <c r="J45" s="48"/>
      <c r="K45" s="54" t="s">
        <v>102</v>
      </c>
      <c r="L45" s="55">
        <f>SUM(L40:L44)</f>
        <v>69328850.100000009</v>
      </c>
      <c r="M45" s="47"/>
    </row>
    <row r="46" spans="1:13" x14ac:dyDescent="0.2">
      <c r="B46" s="25">
        <f>H43</f>
        <v>22153553.699999999</v>
      </c>
      <c r="C46" s="9"/>
      <c r="D46" s="9"/>
      <c r="H46" s="21"/>
      <c r="J46" s="56" t="s">
        <v>103</v>
      </c>
      <c r="K46" s="54"/>
      <c r="L46" s="57">
        <v>2592576.9</v>
      </c>
      <c r="M46" s="47"/>
    </row>
    <row r="47" spans="1:13" x14ac:dyDescent="0.2">
      <c r="H47" s="21"/>
      <c r="J47" s="48"/>
      <c r="K47" s="49"/>
      <c r="L47" s="58"/>
      <c r="M47" s="47"/>
    </row>
    <row r="48" spans="1:13" x14ac:dyDescent="0.2">
      <c r="B48" s="35">
        <f>B45/B46</f>
        <v>1.4649861398986295</v>
      </c>
      <c r="C48" s="59"/>
      <c r="D48" s="36"/>
      <c r="H48" s="21"/>
      <c r="J48" s="48"/>
      <c r="K48" s="49"/>
      <c r="L48" s="60">
        <f>SUM(L46:L47)</f>
        <v>2592576.9</v>
      </c>
      <c r="M48" s="47"/>
    </row>
    <row r="49" spans="1:13" x14ac:dyDescent="0.2">
      <c r="B49" s="29"/>
      <c r="H49" s="21"/>
      <c r="J49" s="48"/>
      <c r="K49" s="49"/>
      <c r="L49" s="49"/>
      <c r="M49" s="47"/>
    </row>
    <row r="50" spans="1:13" ht="13.5" thickBot="1" x14ac:dyDescent="0.25">
      <c r="A50" s="5">
        <v>4</v>
      </c>
      <c r="B50" s="6" t="s">
        <v>66</v>
      </c>
      <c r="C50" s="9"/>
      <c r="D50" s="9"/>
      <c r="E50" s="9"/>
      <c r="G50" s="5" t="s">
        <v>67</v>
      </c>
      <c r="H50" s="21"/>
      <c r="J50" s="61"/>
      <c r="K50" s="62"/>
      <c r="L50" s="62"/>
      <c r="M50" s="63"/>
    </row>
    <row r="51" spans="1:13" x14ac:dyDescent="0.2">
      <c r="B51" s="5" t="s">
        <v>68</v>
      </c>
      <c r="G51" s="5" t="s">
        <v>69</v>
      </c>
      <c r="H51" s="21"/>
    </row>
    <row r="52" spans="1:13" x14ac:dyDescent="0.2">
      <c r="G52" s="5"/>
      <c r="H52" s="21"/>
    </row>
    <row r="53" spans="1:13" x14ac:dyDescent="0.2">
      <c r="G53" s="5"/>
      <c r="H53" s="21"/>
    </row>
    <row r="54" spans="1:13" x14ac:dyDescent="0.2">
      <c r="G54" s="65" t="s">
        <v>104</v>
      </c>
      <c r="H54" s="21"/>
    </row>
    <row r="55" spans="1:13" x14ac:dyDescent="0.2">
      <c r="B55" s="66" t="s">
        <v>71</v>
      </c>
      <c r="C55" s="66"/>
      <c r="D55" s="66"/>
      <c r="G55" s="38" t="s">
        <v>16</v>
      </c>
      <c r="H55" s="16">
        <f>N9</f>
        <v>7178907.6900000004</v>
      </c>
    </row>
    <row r="56" spans="1:13" x14ac:dyDescent="0.2">
      <c r="B56" s="9" t="s">
        <v>27</v>
      </c>
      <c r="C56" s="9"/>
      <c r="D56" s="9"/>
      <c r="G56" s="38" t="s">
        <v>72</v>
      </c>
      <c r="H56" s="21">
        <f>N13</f>
        <v>5365629.09</v>
      </c>
    </row>
    <row r="57" spans="1:13" x14ac:dyDescent="0.2">
      <c r="G57" s="38" t="s">
        <v>73</v>
      </c>
      <c r="H57" s="21">
        <f>N15</f>
        <v>8668426.8399999999</v>
      </c>
    </row>
    <row r="58" spans="1:13" x14ac:dyDescent="0.2">
      <c r="B58" s="67">
        <f>H58/H59</f>
        <v>1.822741752774349</v>
      </c>
      <c r="C58" s="9"/>
      <c r="D58" s="9"/>
      <c r="G58" s="38" t="s">
        <v>74</v>
      </c>
      <c r="H58" s="21">
        <f>SUM(H55:H57)</f>
        <v>21212963.620000001</v>
      </c>
    </row>
    <row r="59" spans="1:13" x14ac:dyDescent="0.2">
      <c r="G59" s="38" t="s">
        <v>75</v>
      </c>
      <c r="H59" s="21">
        <f>N27</f>
        <v>11637942.449999999</v>
      </c>
    </row>
    <row r="60" spans="1:13" x14ac:dyDescent="0.2">
      <c r="H60" s="21"/>
    </row>
    <row r="61" spans="1:13" x14ac:dyDescent="0.2">
      <c r="H61" s="21"/>
    </row>
    <row r="62" spans="1:13" x14ac:dyDescent="0.2">
      <c r="A62" s="5">
        <v>5</v>
      </c>
      <c r="B62" s="6" t="s">
        <v>76</v>
      </c>
      <c r="C62" s="6"/>
      <c r="D62" s="6"/>
      <c r="E62" s="6"/>
      <c r="G62" s="5" t="s">
        <v>67</v>
      </c>
      <c r="H62" s="21"/>
    </row>
    <row r="63" spans="1:13" x14ac:dyDescent="0.2">
      <c r="G63" s="5" t="s">
        <v>69</v>
      </c>
      <c r="H63" s="21"/>
    </row>
    <row r="64" spans="1:13" x14ac:dyDescent="0.2">
      <c r="B64" s="68" t="s">
        <v>77</v>
      </c>
      <c r="C64" s="29"/>
      <c r="D64" s="29"/>
      <c r="G64" s="5" t="s">
        <v>78</v>
      </c>
      <c r="H64" s="21"/>
    </row>
    <row r="65" spans="1:9" x14ac:dyDescent="0.2">
      <c r="B65" s="9" t="s">
        <v>27</v>
      </c>
      <c r="C65" s="9"/>
      <c r="D65" s="9"/>
      <c r="H65" s="21"/>
    </row>
    <row r="66" spans="1:9" x14ac:dyDescent="0.2">
      <c r="G66" s="5" t="str">
        <f>G54</f>
        <v>12 Months from 1/1/18 -12/31/18</v>
      </c>
      <c r="H66" s="21"/>
    </row>
    <row r="67" spans="1:9" x14ac:dyDescent="0.2">
      <c r="B67" s="67">
        <f>H72/H73</f>
        <v>1.568862696171865</v>
      </c>
      <c r="C67" s="9"/>
      <c r="D67" s="9"/>
      <c r="G67" s="38" t="s">
        <v>20</v>
      </c>
      <c r="H67" s="16">
        <f>N11</f>
        <v>2888435.88</v>
      </c>
    </row>
    <row r="68" spans="1:9" x14ac:dyDescent="0.2">
      <c r="G68" s="38" t="s">
        <v>72</v>
      </c>
      <c r="H68" s="21">
        <f>N13</f>
        <v>5365629.09</v>
      </c>
    </row>
    <row r="69" spans="1:9" x14ac:dyDescent="0.2">
      <c r="G69" s="38" t="s">
        <v>73</v>
      </c>
      <c r="H69" s="21">
        <f>N15</f>
        <v>8668426.8399999999</v>
      </c>
    </row>
    <row r="70" spans="1:9" x14ac:dyDescent="0.2">
      <c r="G70" s="38" t="s">
        <v>79</v>
      </c>
      <c r="H70" s="32">
        <v>1302624.96</v>
      </c>
      <c r="I70" s="4"/>
    </row>
    <row r="71" spans="1:9" x14ac:dyDescent="0.2">
      <c r="G71" s="38" t="s">
        <v>80</v>
      </c>
      <c r="H71" s="32">
        <v>33217</v>
      </c>
      <c r="I71" s="4"/>
    </row>
    <row r="72" spans="1:9" x14ac:dyDescent="0.2">
      <c r="G72" s="38" t="s">
        <v>74</v>
      </c>
      <c r="H72" s="21">
        <f>SUM(H67:H71)</f>
        <v>18258333.77</v>
      </c>
    </row>
    <row r="73" spans="1:9" x14ac:dyDescent="0.2">
      <c r="G73" s="38" t="s">
        <v>75</v>
      </c>
      <c r="H73" s="21">
        <f>N27</f>
        <v>11637942.449999999</v>
      </c>
    </row>
    <row r="74" spans="1:9" x14ac:dyDescent="0.2">
      <c r="H74" s="21"/>
    </row>
    <row r="75" spans="1:9" x14ac:dyDescent="0.2">
      <c r="A75" s="5">
        <v>6</v>
      </c>
      <c r="B75" s="69" t="s">
        <v>83</v>
      </c>
      <c r="C75" s="7"/>
      <c r="D75" s="7"/>
      <c r="E75" s="7"/>
      <c r="G75" s="5" t="s">
        <v>4</v>
      </c>
    </row>
    <row r="76" spans="1:9" x14ac:dyDescent="0.2">
      <c r="B76" s="7"/>
      <c r="C76" s="9"/>
      <c r="D76" s="9"/>
      <c r="E76" s="9"/>
      <c r="G76" s="5" t="s">
        <v>7</v>
      </c>
    </row>
    <row r="77" spans="1:9" x14ac:dyDescent="0.2">
      <c r="G77" s="5" t="str">
        <f>G54</f>
        <v>12 Months from 1/1/18 -12/31/18</v>
      </c>
      <c r="H77" s="21"/>
    </row>
    <row r="78" spans="1:9" x14ac:dyDescent="0.2">
      <c r="D78" s="12" t="s">
        <v>11</v>
      </c>
      <c r="G78" t="s">
        <v>84</v>
      </c>
    </row>
    <row r="79" spans="1:9" x14ac:dyDescent="0.2">
      <c r="B79" s="13" t="s">
        <v>13</v>
      </c>
      <c r="C79" s="13" t="s">
        <v>14</v>
      </c>
      <c r="D79" s="14" t="s">
        <v>15</v>
      </c>
      <c r="E79" s="15"/>
      <c r="G79" t="s">
        <v>16</v>
      </c>
      <c r="H79" s="16">
        <f>N9</f>
        <v>7178907.6900000004</v>
      </c>
    </row>
    <row r="80" spans="1:9" x14ac:dyDescent="0.2">
      <c r="B80" s="19" t="s">
        <v>17</v>
      </c>
      <c r="C80" s="19"/>
      <c r="D80" s="19"/>
      <c r="E80" s="9"/>
      <c r="G80" t="s">
        <v>18</v>
      </c>
      <c r="H80" s="20">
        <f>N13</f>
        <v>5365629.09</v>
      </c>
    </row>
    <row r="81" spans="1:8" x14ac:dyDescent="0.2">
      <c r="G81" t="s">
        <v>19</v>
      </c>
      <c r="H81" s="21">
        <f>SUM(H79:H80)</f>
        <v>12544536.780000001</v>
      </c>
    </row>
    <row r="82" spans="1:8" x14ac:dyDescent="0.2">
      <c r="H82" s="21"/>
    </row>
    <row r="83" spans="1:8" x14ac:dyDescent="0.2">
      <c r="B83" s="22">
        <f>H81</f>
        <v>12544536.780000001</v>
      </c>
      <c r="C83" s="23"/>
      <c r="D83" s="23"/>
      <c r="E83" s="12"/>
      <c r="G83" s="24"/>
      <c r="H83" s="21"/>
    </row>
    <row r="84" spans="1:8" x14ac:dyDescent="0.2">
      <c r="B84" s="25">
        <f>H80</f>
        <v>5365629.09</v>
      </c>
      <c r="C84" s="9"/>
      <c r="D84" s="9"/>
      <c r="H84" s="21"/>
    </row>
    <row r="85" spans="1:8" x14ac:dyDescent="0.2">
      <c r="H85" s="21"/>
    </row>
    <row r="86" spans="1:8" x14ac:dyDescent="0.2">
      <c r="B86" s="26">
        <f>B83/B84</f>
        <v>2.3379433370412119</v>
      </c>
      <c r="C86" s="27"/>
      <c r="D86" s="27"/>
      <c r="H86" s="21"/>
    </row>
    <row r="88" spans="1:8" x14ac:dyDescent="0.2">
      <c r="A88" s="5">
        <v>7</v>
      </c>
      <c r="B88" s="5" t="s">
        <v>85</v>
      </c>
      <c r="G88" s="5" t="s">
        <v>4</v>
      </c>
    </row>
    <row r="89" spans="1:8" x14ac:dyDescent="0.2">
      <c r="G89" s="5" t="s">
        <v>86</v>
      </c>
    </row>
    <row r="90" spans="1:8" x14ac:dyDescent="0.2">
      <c r="B90" s="70"/>
      <c r="C90" s="70"/>
      <c r="D90" s="70"/>
      <c r="E90" s="71" t="s">
        <v>11</v>
      </c>
    </row>
    <row r="91" spans="1:8" x14ac:dyDescent="0.2">
      <c r="B91" s="72" t="s">
        <v>87</v>
      </c>
      <c r="C91" s="73" t="s">
        <v>88</v>
      </c>
      <c r="D91" s="72"/>
      <c r="E91" s="74" t="s">
        <v>15</v>
      </c>
      <c r="G91" s="38" t="s">
        <v>20</v>
      </c>
      <c r="H91" s="16">
        <f>M11</f>
        <v>2888435.88</v>
      </c>
    </row>
    <row r="92" spans="1:8" x14ac:dyDescent="0.2">
      <c r="C92" t="s">
        <v>89</v>
      </c>
      <c r="G92" s="38" t="s">
        <v>90</v>
      </c>
      <c r="H92" s="75">
        <f>M13</f>
        <v>5365629.09</v>
      </c>
    </row>
    <row r="93" spans="1:8" x14ac:dyDescent="0.2">
      <c r="G93" s="91" t="s">
        <v>107</v>
      </c>
      <c r="H93" s="89">
        <v>24566</v>
      </c>
    </row>
    <row r="94" spans="1:8" x14ac:dyDescent="0.2">
      <c r="B94" s="78">
        <f>H94</f>
        <v>8254064.9699999997</v>
      </c>
      <c r="C94" s="9"/>
      <c r="D94" s="9"/>
      <c r="G94" s="38" t="s">
        <v>93</v>
      </c>
      <c r="H94" s="21">
        <f>SUM(H91:H92)</f>
        <v>8254064.9699999997</v>
      </c>
    </row>
    <row r="95" spans="1:8" x14ac:dyDescent="0.2">
      <c r="B95" s="25">
        <f>H92</f>
        <v>5365629.09</v>
      </c>
      <c r="C95" s="9"/>
      <c r="D95" s="9"/>
    </row>
    <row r="97" spans="2:4" x14ac:dyDescent="0.2">
      <c r="B97" s="79">
        <f>B94/B95</f>
        <v>1.5383219435318813</v>
      </c>
      <c r="C97" s="80"/>
      <c r="D97" s="80"/>
    </row>
    <row r="101" spans="2:4" x14ac:dyDescent="0.2">
      <c r="B101" s="84">
        <f ca="1">NOW()</f>
        <v>44591.808694907406</v>
      </c>
    </row>
  </sheetData>
  <pageMargins left="0.7" right="0.7" top="0.75" bottom="0.75" header="0.3" footer="0.3"/>
  <pageSetup paperSize="5" scale="6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9"/>
  <sheetViews>
    <sheetView workbookViewId="0">
      <selection activeCell="I28" sqref="I28"/>
    </sheetView>
  </sheetViews>
  <sheetFormatPr defaultRowHeight="12.75" x14ac:dyDescent="0.2"/>
  <cols>
    <col min="2" max="2" width="16.85546875" customWidth="1"/>
    <col min="7" max="7" width="22.85546875" customWidth="1"/>
    <col min="8" max="8" width="15.28515625" customWidth="1"/>
    <col min="10" max="10" width="19.140625" customWidth="1"/>
    <col min="11" max="11" width="11.140625" customWidth="1"/>
    <col min="12" max="12" width="15.85546875" customWidth="1"/>
    <col min="13" max="13" width="11.85546875" customWidth="1"/>
    <col min="14" max="14" width="23.57031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/>
      <c r="J1" s="2" t="s">
        <v>1</v>
      </c>
      <c r="K1" s="2"/>
      <c r="L1" s="2"/>
      <c r="M1" s="2"/>
      <c r="N1" s="2"/>
    </row>
    <row r="2" spans="1:14" ht="15.75" x14ac:dyDescent="0.25">
      <c r="A2" s="1" t="s">
        <v>2</v>
      </c>
      <c r="B2" s="1"/>
      <c r="C2" s="1"/>
      <c r="D2" s="1"/>
      <c r="E2" s="1"/>
      <c r="F2" s="1"/>
      <c r="G2" s="1"/>
      <c r="H2" s="1"/>
    </row>
    <row r="3" spans="1:14" ht="15.75" x14ac:dyDescent="0.25">
      <c r="A3" s="3">
        <v>43465</v>
      </c>
      <c r="B3" s="1"/>
      <c r="C3" s="1"/>
      <c r="D3" s="1"/>
      <c r="E3" s="1"/>
      <c r="F3" s="1"/>
      <c r="G3" s="1"/>
      <c r="H3" s="1"/>
    </row>
    <row r="4" spans="1:14" x14ac:dyDescent="0.2">
      <c r="B4" s="4"/>
    </row>
    <row r="5" spans="1:14" x14ac:dyDescent="0.2">
      <c r="H5" s="21"/>
      <c r="J5" s="8" t="s">
        <v>5</v>
      </c>
    </row>
    <row r="6" spans="1:14" x14ac:dyDescent="0.2">
      <c r="A6" s="5">
        <v>5</v>
      </c>
      <c r="B6" s="6" t="s">
        <v>76</v>
      </c>
      <c r="C6" s="6"/>
      <c r="D6" s="6"/>
      <c r="E6" s="6"/>
      <c r="G6" s="5" t="s">
        <v>67</v>
      </c>
      <c r="H6" s="21"/>
      <c r="L6" t="s">
        <v>8</v>
      </c>
      <c r="M6" t="s">
        <v>9</v>
      </c>
      <c r="N6" t="s">
        <v>10</v>
      </c>
    </row>
    <row r="7" spans="1:14" x14ac:dyDescent="0.2">
      <c r="G7" s="5" t="s">
        <v>69</v>
      </c>
      <c r="H7" s="21"/>
      <c r="K7" s="10">
        <v>43100</v>
      </c>
      <c r="L7" s="11">
        <v>43100</v>
      </c>
      <c r="M7" s="10">
        <f>L7+365</f>
        <v>43465</v>
      </c>
      <c r="N7" s="10">
        <f>M7</f>
        <v>43465</v>
      </c>
    </row>
    <row r="8" spans="1:14" x14ac:dyDescent="0.2">
      <c r="B8" s="68" t="s">
        <v>77</v>
      </c>
      <c r="C8" s="29"/>
      <c r="D8" s="29"/>
      <c r="G8" s="5" t="s">
        <v>78</v>
      </c>
      <c r="H8" s="21"/>
    </row>
    <row r="9" spans="1:14" x14ac:dyDescent="0.2">
      <c r="B9" s="9" t="s">
        <v>27</v>
      </c>
      <c r="C9" s="9"/>
      <c r="D9" s="9"/>
      <c r="H9" s="21"/>
      <c r="J9" t="s">
        <v>13</v>
      </c>
      <c r="K9" s="17">
        <v>9377791.1899999995</v>
      </c>
      <c r="L9" s="18">
        <v>9377791.1899999995</v>
      </c>
      <c r="M9" s="18">
        <v>7178907.6900000004</v>
      </c>
      <c r="N9" s="17">
        <f>K9-L9+M9</f>
        <v>7178907.6900000004</v>
      </c>
    </row>
    <row r="10" spans="1:14" x14ac:dyDescent="0.2">
      <c r="G10" s="5"/>
      <c r="H10" s="21"/>
      <c r="K10" s="17"/>
      <c r="L10" s="17"/>
      <c r="M10" s="17"/>
      <c r="N10" s="17"/>
    </row>
    <row r="11" spans="1:14" x14ac:dyDescent="0.2">
      <c r="B11" s="67">
        <f>H16/H17</f>
        <v>1.5667518419460822</v>
      </c>
      <c r="C11" s="9"/>
      <c r="D11" s="9"/>
      <c r="G11" s="38" t="s">
        <v>20</v>
      </c>
      <c r="H11" s="16">
        <f>N11</f>
        <v>2888435.88</v>
      </c>
      <c r="J11" t="s">
        <v>20</v>
      </c>
      <c r="K11" s="17">
        <v>1613888.22</v>
      </c>
      <c r="L11" s="18">
        <v>1613888.22</v>
      </c>
      <c r="M11" s="18">
        <v>2888435.88</v>
      </c>
      <c r="N11" s="17">
        <f>K11-L11+M11</f>
        <v>2888435.88</v>
      </c>
    </row>
    <row r="12" spans="1:14" x14ac:dyDescent="0.2">
      <c r="G12" s="38" t="s">
        <v>72</v>
      </c>
      <c r="H12" s="21">
        <f>N13</f>
        <v>5365629.09</v>
      </c>
      <c r="K12" s="17"/>
      <c r="L12" s="17"/>
      <c r="M12" s="17"/>
      <c r="N12" s="17"/>
    </row>
    <row r="13" spans="1:14" x14ac:dyDescent="0.2">
      <c r="G13" s="38" t="s">
        <v>73</v>
      </c>
      <c r="H13" s="21">
        <f>N15</f>
        <v>8668426.8399999999</v>
      </c>
      <c r="J13" t="s">
        <v>21</v>
      </c>
      <c r="K13" s="17">
        <v>5191802.3899999997</v>
      </c>
      <c r="L13" s="18">
        <v>5191802.3899999997</v>
      </c>
      <c r="M13" s="18">
        <v>5365629.09</v>
      </c>
      <c r="N13" s="17">
        <f>K13-L13+M13</f>
        <v>5365629.09</v>
      </c>
    </row>
    <row r="14" spans="1:14" x14ac:dyDescent="0.2">
      <c r="G14" s="38" t="s">
        <v>79</v>
      </c>
      <c r="H14" s="32">
        <v>1302624.96</v>
      </c>
      <c r="I14" s="4"/>
      <c r="K14" s="17"/>
      <c r="L14" s="17"/>
      <c r="M14" s="17"/>
      <c r="N14" s="17"/>
    </row>
    <row r="15" spans="1:14" x14ac:dyDescent="0.2">
      <c r="G15" s="38" t="s">
        <v>80</v>
      </c>
      <c r="H15" s="32">
        <f>33217-24566</f>
        <v>8651</v>
      </c>
      <c r="I15" s="88"/>
      <c r="J15" t="s">
        <v>22</v>
      </c>
      <c r="K15" s="17">
        <v>8264253.4900000002</v>
      </c>
      <c r="L15" s="18">
        <v>8264253.4900000002</v>
      </c>
      <c r="M15" s="18">
        <v>8668426.8399999999</v>
      </c>
      <c r="N15" s="17">
        <f>K15-L15+M15</f>
        <v>8668426.8399999999</v>
      </c>
    </row>
    <row r="16" spans="1:14" x14ac:dyDescent="0.2">
      <c r="G16" s="38" t="s">
        <v>74</v>
      </c>
      <c r="H16" s="21">
        <f>SUM(H11:H15)</f>
        <v>18233767.77</v>
      </c>
      <c r="K16" s="17"/>
      <c r="L16" s="17"/>
      <c r="M16" s="17"/>
      <c r="N16" s="17"/>
    </row>
    <row r="17" spans="1:14" x14ac:dyDescent="0.2">
      <c r="G17" s="38" t="s">
        <v>75</v>
      </c>
      <c r="H17" s="21">
        <f>N27</f>
        <v>11637942.449999999</v>
      </c>
    </row>
    <row r="18" spans="1:14" x14ac:dyDescent="0.2">
      <c r="H18" s="21"/>
      <c r="J18" s="29" t="s">
        <v>27</v>
      </c>
      <c r="K18" s="17"/>
      <c r="L18" s="17" t="s">
        <v>28</v>
      </c>
      <c r="M18" s="17"/>
      <c r="N18" s="17"/>
    </row>
    <row r="19" spans="1:14" x14ac:dyDescent="0.2">
      <c r="J19" t="s">
        <v>29</v>
      </c>
      <c r="M19" s="4"/>
      <c r="N19" s="30">
        <f>267119.33+2119429.52</f>
        <v>2386548.85</v>
      </c>
    </row>
    <row r="20" spans="1:14" x14ac:dyDescent="0.2">
      <c r="A20" s="5">
        <v>7</v>
      </c>
      <c r="B20" s="5" t="s">
        <v>85</v>
      </c>
      <c r="G20" s="5" t="s">
        <v>4</v>
      </c>
      <c r="J20" t="s">
        <v>32</v>
      </c>
      <c r="L20" t="s">
        <v>33</v>
      </c>
      <c r="M20" s="4"/>
      <c r="N20" s="33">
        <v>1197745.3600000001</v>
      </c>
    </row>
    <row r="21" spans="1:14" x14ac:dyDescent="0.2">
      <c r="G21" s="5" t="s">
        <v>86</v>
      </c>
      <c r="J21" t="s">
        <v>36</v>
      </c>
      <c r="M21" s="4"/>
      <c r="N21" s="33">
        <f>39294.51+2788074.3</f>
        <v>2827368.8099999996</v>
      </c>
    </row>
    <row r="22" spans="1:14" x14ac:dyDescent="0.2">
      <c r="D22" s="12" t="s">
        <v>11</v>
      </c>
      <c r="J22" t="s">
        <v>37</v>
      </c>
      <c r="M22" s="4"/>
      <c r="N22" s="33">
        <v>483283.7</v>
      </c>
    </row>
    <row r="23" spans="1:14" x14ac:dyDescent="0.2">
      <c r="B23" s="81" t="s">
        <v>87</v>
      </c>
      <c r="C23" s="90" t="s">
        <v>105</v>
      </c>
      <c r="D23" s="14" t="s">
        <v>15</v>
      </c>
      <c r="G23" s="38" t="s">
        <v>20</v>
      </c>
      <c r="H23" s="16">
        <f>M11</f>
        <v>2888435.88</v>
      </c>
      <c r="J23" t="s">
        <v>38</v>
      </c>
      <c r="M23" s="4"/>
      <c r="N23" s="33">
        <v>2536175.39</v>
      </c>
    </row>
    <row r="24" spans="1:14" x14ac:dyDescent="0.2">
      <c r="B24" t="s">
        <v>89</v>
      </c>
      <c r="G24" s="38" t="s">
        <v>90</v>
      </c>
      <c r="H24" s="75">
        <f>M13</f>
        <v>5365629.09</v>
      </c>
      <c r="J24" t="s">
        <v>39</v>
      </c>
      <c r="M24" s="4"/>
      <c r="N24" s="33">
        <v>1920820.34</v>
      </c>
    </row>
    <row r="25" spans="1:14" x14ac:dyDescent="0.2">
      <c r="G25" s="91" t="s">
        <v>106</v>
      </c>
      <c r="H25" s="89"/>
      <c r="I25" s="86"/>
      <c r="J25" t="s">
        <v>41</v>
      </c>
      <c r="M25" s="4"/>
      <c r="N25" s="33">
        <v>146666.66</v>
      </c>
    </row>
    <row r="26" spans="1:14" x14ac:dyDescent="0.2">
      <c r="B26" s="78">
        <f>H26</f>
        <v>8254064.9699999997</v>
      </c>
      <c r="C26" s="9"/>
      <c r="D26" s="9"/>
      <c r="G26" s="38" t="s">
        <v>93</v>
      </c>
      <c r="H26" s="21">
        <f>SUM(H23:H24)</f>
        <v>8254064.9699999997</v>
      </c>
      <c r="J26" t="s">
        <v>42</v>
      </c>
      <c r="M26" s="4"/>
      <c r="N26" s="33">
        <v>139333.34</v>
      </c>
    </row>
    <row r="27" spans="1:14" x14ac:dyDescent="0.2">
      <c r="B27" s="25">
        <f>H24</f>
        <v>5365629.09</v>
      </c>
      <c r="C27" s="9"/>
      <c r="D27" s="9"/>
      <c r="J27" t="s">
        <v>43</v>
      </c>
      <c r="N27" s="17">
        <f>SUM(N19:N26)</f>
        <v>11637942.449999999</v>
      </c>
    </row>
    <row r="28" spans="1:14" x14ac:dyDescent="0.2">
      <c r="J28" s="49"/>
      <c r="K28" s="49"/>
      <c r="L28" s="49"/>
      <c r="M28" s="49"/>
    </row>
    <row r="29" spans="1:14" x14ac:dyDescent="0.2">
      <c r="B29" s="79">
        <f>B26/B27</f>
        <v>1.5383219435318813</v>
      </c>
      <c r="C29" s="80"/>
      <c r="D29" s="80"/>
      <c r="J29" s="49"/>
      <c r="K29" s="49"/>
      <c r="L29" s="49"/>
      <c r="M29" s="49"/>
    </row>
    <row r="49" spans="10:10" x14ac:dyDescent="0.2">
      <c r="J49" s="87"/>
    </row>
  </sheetData>
  <pageMargins left="0.7" right="0.7" top="0.75" bottom="0.75" header="0.3" footer="0.3"/>
  <pageSetup paperSize="5" scale="6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11"/>
  <sheetViews>
    <sheetView topLeftCell="B88" workbookViewId="0">
      <selection activeCell="B90" sqref="B90:F92"/>
    </sheetView>
  </sheetViews>
  <sheetFormatPr defaultRowHeight="12.75" x14ac:dyDescent="0.2"/>
  <cols>
    <col min="2" max="2" width="16.85546875" customWidth="1"/>
    <col min="7" max="7" width="29.85546875" customWidth="1"/>
    <col min="8" max="8" width="15.42578125" customWidth="1"/>
    <col min="10" max="10" width="19.140625" customWidth="1"/>
    <col min="11" max="11" width="11.140625" customWidth="1"/>
    <col min="12" max="12" width="15.85546875" customWidth="1"/>
    <col min="13" max="13" width="11.85546875" customWidth="1"/>
    <col min="14" max="14" width="23.425781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/>
      <c r="J1" s="2" t="s">
        <v>1</v>
      </c>
      <c r="K1" s="2"/>
      <c r="L1" s="2"/>
      <c r="M1" s="2"/>
      <c r="N1" s="2"/>
    </row>
    <row r="2" spans="1:14" ht="15.75" x14ac:dyDescent="0.25">
      <c r="A2" s="1" t="s">
        <v>2</v>
      </c>
      <c r="B2" s="1"/>
      <c r="C2" s="1"/>
      <c r="D2" s="1"/>
      <c r="E2" s="1"/>
      <c r="F2" s="1"/>
      <c r="G2" s="1"/>
      <c r="H2" s="1"/>
    </row>
    <row r="3" spans="1:14" ht="15.75" x14ac:dyDescent="0.25">
      <c r="A3" s="3">
        <v>43829</v>
      </c>
      <c r="B3" s="1"/>
      <c r="C3" s="1"/>
      <c r="D3" s="1"/>
      <c r="E3" s="1"/>
      <c r="F3" s="1"/>
      <c r="G3" s="1"/>
      <c r="H3" s="1"/>
    </row>
    <row r="4" spans="1:14" x14ac:dyDescent="0.2">
      <c r="B4" s="4"/>
    </row>
    <row r="5" spans="1:14" x14ac:dyDescent="0.2">
      <c r="A5" s="5">
        <v>1</v>
      </c>
      <c r="B5" s="6" t="s">
        <v>3</v>
      </c>
      <c r="C5" s="7"/>
      <c r="D5" s="7"/>
      <c r="E5" s="7"/>
      <c r="G5" s="5" t="s">
        <v>4</v>
      </c>
      <c r="J5" s="8" t="s">
        <v>5</v>
      </c>
    </row>
    <row r="6" spans="1:14" x14ac:dyDescent="0.2">
      <c r="B6" s="7" t="s">
        <v>6</v>
      </c>
      <c r="C6" s="9"/>
      <c r="D6" s="9"/>
      <c r="E6" s="9"/>
      <c r="G6" s="5" t="s">
        <v>7</v>
      </c>
      <c r="L6" t="s">
        <v>8</v>
      </c>
      <c r="M6" t="s">
        <v>9</v>
      </c>
      <c r="N6" t="s">
        <v>10</v>
      </c>
    </row>
    <row r="7" spans="1:14" x14ac:dyDescent="0.2">
      <c r="G7" s="5"/>
      <c r="K7" s="10">
        <v>43465</v>
      </c>
      <c r="L7" s="11">
        <v>43465</v>
      </c>
      <c r="M7" s="10">
        <f>L7+365</f>
        <v>43830</v>
      </c>
      <c r="N7" s="10">
        <f>M7</f>
        <v>43830</v>
      </c>
    </row>
    <row r="8" spans="1:14" x14ac:dyDescent="0.2">
      <c r="D8" s="12" t="s">
        <v>11</v>
      </c>
      <c r="G8" t="s">
        <v>12</v>
      </c>
    </row>
    <row r="9" spans="1:14" x14ac:dyDescent="0.2">
      <c r="B9" s="13" t="s">
        <v>13</v>
      </c>
      <c r="C9" s="13" t="s">
        <v>14</v>
      </c>
      <c r="D9" s="14" t="s">
        <v>15</v>
      </c>
      <c r="E9" s="15"/>
      <c r="G9" t="s">
        <v>16</v>
      </c>
      <c r="H9" s="16">
        <f>M9</f>
        <v>6737133.0199999996</v>
      </c>
      <c r="J9" t="s">
        <v>13</v>
      </c>
      <c r="K9" s="17">
        <v>7178907.6900000004</v>
      </c>
      <c r="L9" s="18">
        <v>7178907.6900000004</v>
      </c>
      <c r="M9" s="18">
        <v>6737133.0199999996</v>
      </c>
      <c r="N9" s="17">
        <f>K9-L9+M9</f>
        <v>6737133.0199999996</v>
      </c>
    </row>
    <row r="10" spans="1:14" x14ac:dyDescent="0.2">
      <c r="B10" s="19" t="s">
        <v>17</v>
      </c>
      <c r="C10" s="19"/>
      <c r="D10" s="19"/>
      <c r="E10" s="9"/>
      <c r="G10" t="s">
        <v>18</v>
      </c>
      <c r="H10" s="20">
        <f>M13</f>
        <v>5598697.4100000001</v>
      </c>
      <c r="K10" s="17"/>
      <c r="L10" s="17"/>
      <c r="M10" s="17"/>
      <c r="N10" s="17"/>
    </row>
    <row r="11" spans="1:14" x14ac:dyDescent="0.2">
      <c r="G11" t="s">
        <v>19</v>
      </c>
      <c r="H11" s="21">
        <f>SUM(H9:H10)</f>
        <v>12335830.43</v>
      </c>
      <c r="J11" t="s">
        <v>20</v>
      </c>
      <c r="K11" s="17">
        <v>2888435.88</v>
      </c>
      <c r="L11" s="18">
        <v>2888435.88</v>
      </c>
      <c r="M11" s="18">
        <v>94343.66</v>
      </c>
      <c r="N11" s="17">
        <f>K11-L11+M11</f>
        <v>94343.66</v>
      </c>
    </row>
    <row r="12" spans="1:14" x14ac:dyDescent="0.2">
      <c r="H12" s="21"/>
      <c r="K12" s="17"/>
      <c r="L12" s="17"/>
      <c r="M12" s="17"/>
      <c r="N12" s="17"/>
    </row>
    <row r="13" spans="1:14" x14ac:dyDescent="0.2">
      <c r="B13" s="22">
        <f>H11</f>
        <v>12335830.43</v>
      </c>
      <c r="C13" s="23"/>
      <c r="D13" s="23"/>
      <c r="E13" s="12"/>
      <c r="G13" s="24"/>
      <c r="H13" s="21"/>
      <c r="J13" t="s">
        <v>21</v>
      </c>
      <c r="K13" s="17">
        <v>5365629.09</v>
      </c>
      <c r="L13" s="18">
        <v>5365629.09</v>
      </c>
      <c r="M13" s="18">
        <v>5598697.4100000001</v>
      </c>
      <c r="N13" s="17">
        <f>K13-L13+M13</f>
        <v>5598697.4100000001</v>
      </c>
    </row>
    <row r="14" spans="1:14" x14ac:dyDescent="0.2">
      <c r="B14" s="25">
        <f>H10</f>
        <v>5598697.4100000001</v>
      </c>
      <c r="C14" s="9"/>
      <c r="D14" s="9"/>
      <c r="H14" s="21"/>
      <c r="K14" s="17"/>
      <c r="L14" s="17"/>
      <c r="M14" s="17"/>
      <c r="N14" s="17"/>
    </row>
    <row r="15" spans="1:14" x14ac:dyDescent="0.2">
      <c r="H15" s="21"/>
      <c r="J15" t="s">
        <v>22</v>
      </c>
      <c r="K15" s="17">
        <v>8668426.8399999999</v>
      </c>
      <c r="L15" s="18">
        <v>8668426.8399999999</v>
      </c>
      <c r="M15" s="18">
        <v>8994853.6099999994</v>
      </c>
      <c r="N15" s="17">
        <f>K15-L15+M15</f>
        <v>8994853.6099999994</v>
      </c>
    </row>
    <row r="16" spans="1:14" x14ac:dyDescent="0.2">
      <c r="B16" s="26">
        <f>B13/B14</f>
        <v>2.2033393710413081</v>
      </c>
      <c r="C16" s="27"/>
      <c r="D16" s="27"/>
      <c r="H16" s="21"/>
      <c r="K16" s="17"/>
      <c r="L16" s="17"/>
      <c r="M16" s="17"/>
      <c r="N16" s="17"/>
    </row>
    <row r="17" spans="1:14" x14ac:dyDescent="0.2">
      <c r="H17" s="21"/>
      <c r="J17" t="s">
        <v>23</v>
      </c>
      <c r="K17" s="85">
        <v>24565.98</v>
      </c>
      <c r="L17" s="2">
        <v>24565.98</v>
      </c>
      <c r="M17" s="2">
        <v>271162.89</v>
      </c>
      <c r="N17" s="17">
        <f t="shared" ref="N17" si="0">K17-L17+M17</f>
        <v>271162.89</v>
      </c>
    </row>
    <row r="18" spans="1:14" x14ac:dyDescent="0.2">
      <c r="A18" s="5">
        <v>2</v>
      </c>
      <c r="B18" s="6" t="s">
        <v>25</v>
      </c>
      <c r="C18" s="9"/>
      <c r="D18" s="9"/>
      <c r="G18" s="5" t="s">
        <v>26</v>
      </c>
      <c r="H18" s="21"/>
      <c r="J18" s="29" t="s">
        <v>27</v>
      </c>
      <c r="K18" s="17"/>
      <c r="L18" s="17" t="s">
        <v>28</v>
      </c>
      <c r="M18" s="17"/>
      <c r="N18" s="17"/>
    </row>
    <row r="19" spans="1:14" x14ac:dyDescent="0.2">
      <c r="B19" s="7"/>
      <c r="G19" t="s">
        <v>12</v>
      </c>
      <c r="H19" s="21"/>
      <c r="J19" t="s">
        <v>29</v>
      </c>
      <c r="M19" s="4"/>
      <c r="N19" s="30">
        <v>2769094.84</v>
      </c>
    </row>
    <row r="20" spans="1:14" x14ac:dyDescent="0.2">
      <c r="B20" s="31" t="s">
        <v>30</v>
      </c>
      <c r="C20" s="23"/>
      <c r="D20" s="23"/>
      <c r="G20" t="s">
        <v>31</v>
      </c>
      <c r="H20" s="32">
        <v>144429108.59</v>
      </c>
      <c r="J20" t="s">
        <v>32</v>
      </c>
      <c r="L20" t="s">
        <v>33</v>
      </c>
      <c r="M20" s="4"/>
      <c r="N20" s="33">
        <v>1140587.27</v>
      </c>
    </row>
    <row r="21" spans="1:14" x14ac:dyDescent="0.2">
      <c r="B21" s="9" t="s">
        <v>34</v>
      </c>
      <c r="C21" s="9"/>
      <c r="D21" s="9"/>
      <c r="G21" t="s">
        <v>35</v>
      </c>
      <c r="H21" s="32">
        <v>307246501.06999999</v>
      </c>
      <c r="J21" t="s">
        <v>36</v>
      </c>
      <c r="M21" s="4"/>
      <c r="N21" s="33">
        <v>3221745.11</v>
      </c>
    </row>
    <row r="22" spans="1:14" x14ac:dyDescent="0.2">
      <c r="H22" s="21"/>
      <c r="J22" t="s">
        <v>37</v>
      </c>
      <c r="M22" s="4"/>
      <c r="N22" s="33">
        <v>422709.58</v>
      </c>
    </row>
    <row r="23" spans="1:14" x14ac:dyDescent="0.2">
      <c r="B23" s="34">
        <f>H20</f>
        <v>144429108.59</v>
      </c>
      <c r="C23" s="9"/>
      <c r="D23" s="9"/>
      <c r="H23" s="21"/>
      <c r="J23" t="s">
        <v>38</v>
      </c>
      <c r="M23" s="4"/>
      <c r="N23" s="33">
        <v>2628981.15</v>
      </c>
    </row>
    <row r="24" spans="1:14" x14ac:dyDescent="0.2">
      <c r="B24" s="25">
        <f>H21</f>
        <v>307246501.06999999</v>
      </c>
      <c r="C24" s="9"/>
      <c r="D24" s="9"/>
      <c r="H24" s="21"/>
      <c r="J24" t="s">
        <v>39</v>
      </c>
      <c r="M24" s="4"/>
      <c r="N24" s="33">
        <v>1827949.47</v>
      </c>
    </row>
    <row r="25" spans="1:14" x14ac:dyDescent="0.2">
      <c r="G25" s="5" t="s">
        <v>40</v>
      </c>
      <c r="H25" s="21"/>
      <c r="J25" t="s">
        <v>41</v>
      </c>
      <c r="M25" s="4"/>
      <c r="N25" s="33">
        <v>146666.66</v>
      </c>
    </row>
    <row r="26" spans="1:14" x14ac:dyDescent="0.2">
      <c r="B26" s="35">
        <f>B23/B24</f>
        <v>0.47007568218684032</v>
      </c>
      <c r="C26" s="36"/>
      <c r="D26" s="36"/>
      <c r="H26" s="21"/>
      <c r="J26" t="s">
        <v>42</v>
      </c>
      <c r="M26" s="4"/>
      <c r="N26" s="33">
        <v>132366.67000000001</v>
      </c>
    </row>
    <row r="27" spans="1:14" x14ac:dyDescent="0.2">
      <c r="B27" s="35"/>
      <c r="C27" s="36"/>
      <c r="D27" s="36"/>
      <c r="H27" s="21"/>
      <c r="J27" t="s">
        <v>43</v>
      </c>
      <c r="N27" s="17">
        <f>SUM(N19:N26)</f>
        <v>12290100.75</v>
      </c>
    </row>
    <row r="28" spans="1:14" x14ac:dyDescent="0.2">
      <c r="A28" s="37" t="s">
        <v>44</v>
      </c>
      <c r="B28" s="35" t="s">
        <v>45</v>
      </c>
      <c r="C28" s="36"/>
      <c r="D28" s="36"/>
      <c r="H28" s="21"/>
    </row>
    <row r="29" spans="1:14" x14ac:dyDescent="0.2">
      <c r="B29" s="35"/>
      <c r="C29" s="36"/>
      <c r="D29" s="36"/>
      <c r="H29" s="21"/>
      <c r="J29" t="s">
        <v>46</v>
      </c>
    </row>
    <row r="30" spans="1:14" x14ac:dyDescent="0.2">
      <c r="B30" s="31" t="s">
        <v>30</v>
      </c>
      <c r="C30" s="23"/>
      <c r="D30" s="23"/>
      <c r="G30" t="s">
        <v>12</v>
      </c>
      <c r="H30" s="21"/>
      <c r="J30" t="s">
        <v>13</v>
      </c>
      <c r="K30" s="17">
        <f>N9</f>
        <v>6737133.0199999996</v>
      </c>
    </row>
    <row r="31" spans="1:14" x14ac:dyDescent="0.2">
      <c r="B31" s="9" t="s">
        <v>34</v>
      </c>
      <c r="C31" s="9"/>
      <c r="D31" s="9"/>
      <c r="G31" t="s">
        <v>47</v>
      </c>
      <c r="H31" s="32">
        <f>144429108.59-73820530.34</f>
        <v>70608578.25</v>
      </c>
      <c r="J31" t="s">
        <v>15</v>
      </c>
      <c r="K31" s="17">
        <f>N13</f>
        <v>5598697.4100000001</v>
      </c>
    </row>
    <row r="32" spans="1:14" x14ac:dyDescent="0.2">
      <c r="B32" s="35"/>
      <c r="C32" s="36"/>
      <c r="D32" s="36"/>
      <c r="G32" s="38" t="s">
        <v>48</v>
      </c>
      <c r="H32" s="32">
        <f>307246501.07-73820530.34</f>
        <v>233425970.72999999</v>
      </c>
      <c r="J32" t="s">
        <v>49</v>
      </c>
      <c r="K32" s="17">
        <f>SUM(K30:K31)</f>
        <v>12335830.43</v>
      </c>
    </row>
    <row r="33" spans="1:13" x14ac:dyDescent="0.2">
      <c r="B33" s="34">
        <f>H31</f>
        <v>70608578.25</v>
      </c>
      <c r="C33" s="9"/>
      <c r="D33" s="9"/>
      <c r="H33" s="21"/>
      <c r="L33" t="s">
        <v>50</v>
      </c>
    </row>
    <row r="34" spans="1:13" x14ac:dyDescent="0.2">
      <c r="B34" s="25">
        <f>H32</f>
        <v>233425970.72999999</v>
      </c>
      <c r="C34" s="9"/>
      <c r="D34" s="9"/>
      <c r="H34" s="21"/>
      <c r="J34" t="s">
        <v>51</v>
      </c>
      <c r="K34" s="39">
        <f>K32/K31</f>
        <v>2.2033393710413081</v>
      </c>
    </row>
    <row r="35" spans="1:13" x14ac:dyDescent="0.2">
      <c r="H35" s="21"/>
    </row>
    <row r="36" spans="1:13" x14ac:dyDescent="0.2">
      <c r="B36" s="35">
        <f>B33/B34</f>
        <v>0.30248809945690142</v>
      </c>
      <c r="C36" s="36"/>
      <c r="D36" s="36"/>
      <c r="H36" s="21"/>
    </row>
    <row r="37" spans="1:13" x14ac:dyDescent="0.2">
      <c r="B37" s="35"/>
      <c r="C37" s="36"/>
      <c r="D37" s="36"/>
      <c r="H37" s="21"/>
    </row>
    <row r="38" spans="1:13" ht="13.5" thickBot="1" x14ac:dyDescent="0.25">
      <c r="H38" s="21"/>
      <c r="J38" s="40">
        <f ca="1">NOW()</f>
        <v>44591.808694907406</v>
      </c>
    </row>
    <row r="39" spans="1:13" x14ac:dyDescent="0.2">
      <c r="A39" s="5">
        <v>3</v>
      </c>
      <c r="B39" s="6" t="s">
        <v>52</v>
      </c>
      <c r="C39" s="9"/>
      <c r="D39" s="9"/>
      <c r="G39" s="5" t="s">
        <v>53</v>
      </c>
      <c r="H39" s="21"/>
      <c r="J39" s="41" t="s">
        <v>54</v>
      </c>
      <c r="K39" s="42">
        <v>-123.1</v>
      </c>
      <c r="L39" s="43"/>
      <c r="M39" s="44"/>
    </row>
    <row r="40" spans="1:13" x14ac:dyDescent="0.2">
      <c r="G40" s="5" t="s">
        <v>55</v>
      </c>
      <c r="H40" s="21"/>
      <c r="J40" s="45" t="s">
        <v>56</v>
      </c>
      <c r="K40" s="10">
        <v>43465</v>
      </c>
      <c r="L40" s="46">
        <v>69328850.099999994</v>
      </c>
      <c r="M40" s="47"/>
    </row>
    <row r="41" spans="1:13" x14ac:dyDescent="0.2">
      <c r="G41" t="s">
        <v>12</v>
      </c>
      <c r="H41" s="21"/>
      <c r="J41" s="48"/>
      <c r="K41" s="49" t="s">
        <v>57</v>
      </c>
      <c r="L41" s="50">
        <v>4712752.51</v>
      </c>
      <c r="M41" s="47"/>
    </row>
    <row r="42" spans="1:13" x14ac:dyDescent="0.2">
      <c r="B42" s="51" t="s">
        <v>58</v>
      </c>
      <c r="C42" s="9"/>
      <c r="D42" s="9"/>
      <c r="G42" t="s">
        <v>59</v>
      </c>
      <c r="H42" s="32">
        <v>22623011.100000001</v>
      </c>
      <c r="J42" s="48"/>
      <c r="K42" s="49" t="s">
        <v>60</v>
      </c>
      <c r="L42" s="50">
        <v>-19754.349999999999</v>
      </c>
      <c r="M42" s="47"/>
    </row>
    <row r="43" spans="1:13" x14ac:dyDescent="0.2">
      <c r="B43" s="9" t="s">
        <v>61</v>
      </c>
      <c r="C43" s="9"/>
      <c r="D43" s="9"/>
      <c r="G43" t="s">
        <v>62</v>
      </c>
      <c r="H43" s="32">
        <v>22303876.969999999</v>
      </c>
      <c r="J43" s="48"/>
      <c r="K43" t="s">
        <v>57</v>
      </c>
      <c r="L43" s="52">
        <v>0</v>
      </c>
      <c r="M43" s="47"/>
    </row>
    <row r="44" spans="1:13" x14ac:dyDescent="0.2">
      <c r="B44" s="29"/>
      <c r="H44" s="21"/>
      <c r="J44" s="48"/>
      <c r="K44" t="s">
        <v>63</v>
      </c>
      <c r="L44" s="53">
        <v>-201317.92</v>
      </c>
      <c r="M44" s="47"/>
    </row>
    <row r="45" spans="1:13" x14ac:dyDescent="0.2">
      <c r="B45" s="34">
        <f>H42</f>
        <v>22623011.100000001</v>
      </c>
      <c r="C45" s="9"/>
      <c r="D45" s="9"/>
      <c r="H45" s="21"/>
      <c r="J45" s="48"/>
      <c r="K45" s="54" t="s">
        <v>97</v>
      </c>
      <c r="L45" s="55">
        <f>SUM(L40:L44)</f>
        <v>73820530.340000004</v>
      </c>
      <c r="M45" s="47"/>
    </row>
    <row r="46" spans="1:13" x14ac:dyDescent="0.2">
      <c r="B46" s="25">
        <f>H43</f>
        <v>22303876.969999999</v>
      </c>
      <c r="C46" s="9"/>
      <c r="D46" s="9"/>
      <c r="H46" s="21"/>
      <c r="J46" s="56" t="s">
        <v>98</v>
      </c>
      <c r="K46" s="54"/>
      <c r="L46" s="57">
        <v>4712752.51</v>
      </c>
      <c r="M46" s="47"/>
    </row>
    <row r="47" spans="1:13" x14ac:dyDescent="0.2">
      <c r="H47" s="21"/>
      <c r="J47" s="48"/>
      <c r="K47" s="49"/>
      <c r="L47" s="58">
        <v>-19754.349999999999</v>
      </c>
      <c r="M47" s="47"/>
    </row>
    <row r="48" spans="1:13" x14ac:dyDescent="0.2">
      <c r="B48" s="35">
        <f>B45/B46</f>
        <v>1.0143084599340848</v>
      </c>
      <c r="C48" s="59"/>
      <c r="D48" s="36"/>
      <c r="H48" s="21"/>
      <c r="J48" s="48"/>
      <c r="K48" s="49"/>
      <c r="L48" s="60">
        <f>SUM(L46:L47)</f>
        <v>4692998.16</v>
      </c>
      <c r="M48" s="47"/>
    </row>
    <row r="49" spans="1:13" x14ac:dyDescent="0.2">
      <c r="B49" s="29"/>
      <c r="H49" s="21"/>
      <c r="J49" s="48"/>
      <c r="K49" s="49"/>
      <c r="L49" s="49"/>
      <c r="M49" s="47"/>
    </row>
    <row r="50" spans="1:13" ht="13.5" thickBot="1" x14ac:dyDescent="0.25">
      <c r="A50" s="5">
        <v>4</v>
      </c>
      <c r="B50" s="6" t="s">
        <v>66</v>
      </c>
      <c r="C50" s="9"/>
      <c r="D50" s="9"/>
      <c r="E50" s="9"/>
      <c r="G50" s="5" t="s">
        <v>67</v>
      </c>
      <c r="H50" s="21"/>
      <c r="J50" s="61"/>
      <c r="K50" s="62"/>
      <c r="L50" s="62"/>
      <c r="M50" s="63"/>
    </row>
    <row r="51" spans="1:13" x14ac:dyDescent="0.2">
      <c r="B51" s="5" t="s">
        <v>68</v>
      </c>
      <c r="G51" s="5" t="s">
        <v>69</v>
      </c>
      <c r="H51" s="21"/>
    </row>
    <row r="52" spans="1:13" x14ac:dyDescent="0.2">
      <c r="G52" s="5"/>
      <c r="H52" s="21"/>
    </row>
    <row r="53" spans="1:13" x14ac:dyDescent="0.2">
      <c r="G53" s="5"/>
      <c r="H53" s="21"/>
    </row>
    <row r="54" spans="1:13" x14ac:dyDescent="0.2">
      <c r="G54" s="65" t="s">
        <v>99</v>
      </c>
      <c r="H54" s="21"/>
    </row>
    <row r="55" spans="1:13" x14ac:dyDescent="0.2">
      <c r="B55" s="66" t="s">
        <v>71</v>
      </c>
      <c r="C55" s="66"/>
      <c r="D55" s="66"/>
      <c r="G55" s="38" t="s">
        <v>16</v>
      </c>
      <c r="H55" s="16">
        <f>N9</f>
        <v>6737133.0199999996</v>
      </c>
    </row>
    <row r="56" spans="1:13" x14ac:dyDescent="0.2">
      <c r="B56" s="9" t="s">
        <v>27</v>
      </c>
      <c r="C56" s="9"/>
      <c r="D56" s="9"/>
      <c r="G56" s="38" t="s">
        <v>72</v>
      </c>
      <c r="H56" s="21">
        <f>N13</f>
        <v>5598697.4100000001</v>
      </c>
    </row>
    <row r="57" spans="1:13" x14ac:dyDescent="0.2">
      <c r="G57" s="38" t="s">
        <v>73</v>
      </c>
      <c r="H57" s="21">
        <f>N15</f>
        <v>8994853.6099999994</v>
      </c>
    </row>
    <row r="58" spans="1:13" x14ac:dyDescent="0.2">
      <c r="B58" s="67">
        <f>H58/H59</f>
        <v>1.735598794013141</v>
      </c>
      <c r="C58" s="9"/>
      <c r="D58" s="9"/>
      <c r="G58" s="38" t="s">
        <v>74</v>
      </c>
      <c r="H58" s="21">
        <f>SUM(H55:H57)</f>
        <v>21330684.039999999</v>
      </c>
    </row>
    <row r="59" spans="1:13" x14ac:dyDescent="0.2">
      <c r="G59" s="38" t="s">
        <v>75</v>
      </c>
      <c r="H59" s="21">
        <f>N27</f>
        <v>12290100.75</v>
      </c>
    </row>
    <row r="60" spans="1:13" x14ac:dyDescent="0.2">
      <c r="H60" s="21"/>
    </row>
    <row r="61" spans="1:13" x14ac:dyDescent="0.2">
      <c r="H61" s="21"/>
    </row>
    <row r="62" spans="1:13" x14ac:dyDescent="0.2">
      <c r="A62" s="5">
        <v>5</v>
      </c>
      <c r="B62" s="6" t="s">
        <v>76</v>
      </c>
      <c r="C62" s="6"/>
      <c r="D62" s="6"/>
      <c r="E62" s="6"/>
      <c r="G62" s="5" t="s">
        <v>67</v>
      </c>
      <c r="H62" s="21"/>
    </row>
    <row r="63" spans="1:13" x14ac:dyDescent="0.2">
      <c r="G63" s="5" t="s">
        <v>69</v>
      </c>
      <c r="H63" s="21"/>
    </row>
    <row r="64" spans="1:13" x14ac:dyDescent="0.2">
      <c r="B64" s="68" t="s">
        <v>77</v>
      </c>
      <c r="C64" s="29"/>
      <c r="D64" s="29"/>
      <c r="G64" s="5" t="s">
        <v>78</v>
      </c>
      <c r="H64" s="21"/>
    </row>
    <row r="65" spans="1:9" x14ac:dyDescent="0.2">
      <c r="B65" s="9" t="s">
        <v>27</v>
      </c>
      <c r="C65" s="9"/>
      <c r="D65" s="9"/>
      <c r="H65" s="21"/>
    </row>
    <row r="66" spans="1:9" x14ac:dyDescent="0.2">
      <c r="G66" s="5" t="str">
        <f>G54</f>
        <v>12 Months from 1/01/19 -12/31/19</v>
      </c>
      <c r="H66" s="21"/>
    </row>
    <row r="67" spans="1:9" x14ac:dyDescent="0.2">
      <c r="B67" s="67">
        <f>H72/H73</f>
        <v>1.3322030325910876</v>
      </c>
      <c r="C67" s="9"/>
      <c r="D67" s="9"/>
      <c r="G67" s="38" t="s">
        <v>20</v>
      </c>
      <c r="H67" s="16">
        <f>N11</f>
        <v>94343.66</v>
      </c>
    </row>
    <row r="68" spans="1:9" x14ac:dyDescent="0.2">
      <c r="G68" s="38" t="s">
        <v>72</v>
      </c>
      <c r="H68" s="21">
        <f>N13</f>
        <v>5598697.4100000001</v>
      </c>
    </row>
    <row r="69" spans="1:9" x14ac:dyDescent="0.2">
      <c r="G69" s="38" t="s">
        <v>73</v>
      </c>
      <c r="H69" s="21">
        <f>N15</f>
        <v>8994853.6099999994</v>
      </c>
    </row>
    <row r="70" spans="1:9" x14ac:dyDescent="0.2">
      <c r="G70" s="38" t="s">
        <v>79</v>
      </c>
      <c r="H70" s="32">
        <v>1396382.87</v>
      </c>
      <c r="I70" s="4"/>
    </row>
    <row r="71" spans="1:9" x14ac:dyDescent="0.2">
      <c r="G71" s="38" t="s">
        <v>80</v>
      </c>
      <c r="H71" s="32">
        <v>288631.94</v>
      </c>
      <c r="I71" s="4" t="s">
        <v>100</v>
      </c>
    </row>
    <row r="72" spans="1:9" x14ac:dyDescent="0.2">
      <c r="G72" s="38" t="s">
        <v>74</v>
      </c>
      <c r="H72" s="21">
        <f>SUM(H67:H71)</f>
        <v>16372909.49</v>
      </c>
    </row>
    <row r="73" spans="1:9" x14ac:dyDescent="0.2">
      <c r="G73" s="38" t="s">
        <v>75</v>
      </c>
      <c r="H73" s="21">
        <f>N27</f>
        <v>12290100.75</v>
      </c>
    </row>
    <row r="74" spans="1:9" x14ac:dyDescent="0.2">
      <c r="H74" s="21"/>
    </row>
    <row r="75" spans="1:9" x14ac:dyDescent="0.2">
      <c r="A75" s="5">
        <v>6</v>
      </c>
      <c r="B75" s="69" t="s">
        <v>83</v>
      </c>
      <c r="C75" s="7"/>
      <c r="D75" s="7"/>
      <c r="E75" s="7"/>
      <c r="G75" s="5" t="s">
        <v>4</v>
      </c>
    </row>
    <row r="76" spans="1:9" x14ac:dyDescent="0.2">
      <c r="B76" s="7"/>
      <c r="C76" s="9"/>
      <c r="D76" s="9"/>
      <c r="E76" s="9"/>
      <c r="G76" s="5" t="s">
        <v>7</v>
      </c>
    </row>
    <row r="77" spans="1:9" x14ac:dyDescent="0.2">
      <c r="G77" s="5" t="str">
        <f>G54</f>
        <v>12 Months from 1/01/19 -12/31/19</v>
      </c>
      <c r="H77" s="21"/>
    </row>
    <row r="78" spans="1:9" x14ac:dyDescent="0.2">
      <c r="D78" s="12" t="s">
        <v>11</v>
      </c>
      <c r="G78" t="s">
        <v>84</v>
      </c>
    </row>
    <row r="79" spans="1:9" x14ac:dyDescent="0.2">
      <c r="B79" s="13" t="s">
        <v>13</v>
      </c>
      <c r="C79" s="13" t="s">
        <v>14</v>
      </c>
      <c r="D79" s="14" t="s">
        <v>15</v>
      </c>
      <c r="E79" s="15"/>
      <c r="G79" t="s">
        <v>16</v>
      </c>
      <c r="H79" s="16">
        <f>N9</f>
        <v>6737133.0199999996</v>
      </c>
    </row>
    <row r="80" spans="1:9" x14ac:dyDescent="0.2">
      <c r="B80" s="19" t="s">
        <v>17</v>
      </c>
      <c r="C80" s="19"/>
      <c r="D80" s="19"/>
      <c r="E80" s="9"/>
      <c r="G80" t="s">
        <v>18</v>
      </c>
      <c r="H80" s="20">
        <f>N13</f>
        <v>5598697.4100000001</v>
      </c>
    </row>
    <row r="81" spans="1:8" x14ac:dyDescent="0.2">
      <c r="G81" t="s">
        <v>19</v>
      </c>
      <c r="H81" s="21">
        <f>SUM(H79:H80)</f>
        <v>12335830.43</v>
      </c>
    </row>
    <row r="82" spans="1:8" x14ac:dyDescent="0.2">
      <c r="H82" s="21"/>
    </row>
    <row r="83" spans="1:8" x14ac:dyDescent="0.2">
      <c r="B83" s="22">
        <f>H81</f>
        <v>12335830.43</v>
      </c>
      <c r="C83" s="23"/>
      <c r="D83" s="23"/>
      <c r="E83" s="12"/>
      <c r="G83" s="24"/>
      <c r="H83" s="21"/>
    </row>
    <row r="84" spans="1:8" x14ac:dyDescent="0.2">
      <c r="B84" s="25">
        <f>H80</f>
        <v>5598697.4100000001</v>
      </c>
      <c r="C84" s="9"/>
      <c r="D84" s="9"/>
      <c r="H84" s="21"/>
    </row>
    <row r="85" spans="1:8" x14ac:dyDescent="0.2">
      <c r="H85" s="21"/>
    </row>
    <row r="86" spans="1:8" x14ac:dyDescent="0.2">
      <c r="B86" s="26">
        <f>B83/B84</f>
        <v>2.2033393710413081</v>
      </c>
      <c r="C86" s="27"/>
      <c r="D86" s="27"/>
      <c r="H86" s="21"/>
    </row>
    <row r="88" spans="1:8" x14ac:dyDescent="0.2">
      <c r="A88" s="5">
        <v>7</v>
      </c>
      <c r="B88" s="5" t="s">
        <v>85</v>
      </c>
      <c r="G88" s="5" t="s">
        <v>4</v>
      </c>
    </row>
    <row r="89" spans="1:8" x14ac:dyDescent="0.2">
      <c r="B89" s="70"/>
      <c r="C89" s="70"/>
      <c r="D89" s="70"/>
      <c r="E89" s="70"/>
      <c r="F89" s="70"/>
      <c r="G89" s="5" t="s">
        <v>86</v>
      </c>
    </row>
    <row r="90" spans="1:8" x14ac:dyDescent="0.2">
      <c r="B90" s="70"/>
      <c r="C90" s="70"/>
      <c r="D90" s="70"/>
      <c r="E90" s="71" t="s">
        <v>11</v>
      </c>
    </row>
    <row r="91" spans="1:8" x14ac:dyDescent="0.2">
      <c r="B91" s="72" t="s">
        <v>87</v>
      </c>
      <c r="C91" s="73" t="s">
        <v>88</v>
      </c>
      <c r="D91" s="72"/>
      <c r="E91" s="74" t="s">
        <v>15</v>
      </c>
      <c r="G91" s="38" t="s">
        <v>20</v>
      </c>
      <c r="H91" s="16">
        <f>M11</f>
        <v>94343.66</v>
      </c>
    </row>
    <row r="92" spans="1:8" x14ac:dyDescent="0.2">
      <c r="C92" t="s">
        <v>89</v>
      </c>
      <c r="G92" s="38" t="s">
        <v>90</v>
      </c>
      <c r="H92" s="75">
        <f>M13</f>
        <v>5598697.4100000001</v>
      </c>
    </row>
    <row r="93" spans="1:8" x14ac:dyDescent="0.2">
      <c r="G93" s="76" t="s">
        <v>101</v>
      </c>
      <c r="H93" s="77">
        <f>201317.92+69844.97</f>
        <v>271162.89</v>
      </c>
    </row>
    <row r="94" spans="1:8" x14ac:dyDescent="0.2">
      <c r="B94" s="78">
        <f>H94</f>
        <v>5964203.96</v>
      </c>
      <c r="C94" s="9"/>
      <c r="D94" s="9"/>
      <c r="G94" s="38" t="s">
        <v>93</v>
      </c>
      <c r="H94" s="21">
        <f>SUM(H91:H93)</f>
        <v>5964203.96</v>
      </c>
    </row>
    <row r="95" spans="1:8" x14ac:dyDescent="0.2">
      <c r="B95" s="25">
        <f>H92</f>
        <v>5598697.4100000001</v>
      </c>
      <c r="C95" s="9"/>
      <c r="D95" s="9"/>
    </row>
    <row r="97" spans="1:8" x14ac:dyDescent="0.2">
      <c r="B97" s="79">
        <f>B94/B95</f>
        <v>1.0652842122432189</v>
      </c>
      <c r="C97" s="80"/>
      <c r="D97" s="80"/>
    </row>
    <row r="99" spans="1:8" x14ac:dyDescent="0.2">
      <c r="A99" s="5">
        <v>8</v>
      </c>
      <c r="B99" s="5" t="s">
        <v>94</v>
      </c>
    </row>
    <row r="100" spans="1:8" x14ac:dyDescent="0.2">
      <c r="G100" s="5" t="s">
        <v>95</v>
      </c>
    </row>
    <row r="101" spans="1:8" x14ac:dyDescent="0.2">
      <c r="D101" s="12" t="s">
        <v>11</v>
      </c>
      <c r="G101" s="5" t="s">
        <v>86</v>
      </c>
    </row>
    <row r="102" spans="1:8" x14ac:dyDescent="0.2">
      <c r="B102" s="81" t="s">
        <v>87</v>
      </c>
      <c r="C102" s="82" t="s">
        <v>14</v>
      </c>
      <c r="D102" s="14" t="s">
        <v>15</v>
      </c>
    </row>
    <row r="103" spans="1:8" x14ac:dyDescent="0.2">
      <c r="B103" t="s">
        <v>89</v>
      </c>
      <c r="G103" s="38" t="s">
        <v>20</v>
      </c>
      <c r="H103" s="16">
        <f>N11</f>
        <v>94343.66</v>
      </c>
    </row>
    <row r="104" spans="1:8" x14ac:dyDescent="0.2">
      <c r="G104" s="76" t="s">
        <v>91</v>
      </c>
      <c r="H104" s="18">
        <f>N17</f>
        <v>271162.89</v>
      </c>
    </row>
    <row r="105" spans="1:8" x14ac:dyDescent="0.2">
      <c r="B105" s="78">
        <f>H106</f>
        <v>5964203.96</v>
      </c>
      <c r="C105" s="9"/>
      <c r="D105" s="9"/>
      <c r="G105" s="38" t="s">
        <v>90</v>
      </c>
      <c r="H105" s="20">
        <f>N13</f>
        <v>5598697.4100000001</v>
      </c>
    </row>
    <row r="106" spans="1:8" x14ac:dyDescent="0.2">
      <c r="B106" s="25">
        <f>H105</f>
        <v>5598697.4100000001</v>
      </c>
      <c r="C106" s="9"/>
      <c r="D106" s="9"/>
      <c r="G106" s="38" t="s">
        <v>93</v>
      </c>
      <c r="H106" s="21">
        <f>SUM(H103:H105)</f>
        <v>5964203.96</v>
      </c>
    </row>
    <row r="108" spans="1:8" x14ac:dyDescent="0.2">
      <c r="B108" s="79">
        <f>B105/B106</f>
        <v>1.0652842122432189</v>
      </c>
      <c r="C108" s="80"/>
      <c r="D108" s="80"/>
    </row>
    <row r="111" spans="1:8" x14ac:dyDescent="0.2">
      <c r="B111" s="84">
        <f ca="1">NOW()</f>
        <v>44591.808694907406</v>
      </c>
    </row>
  </sheetData>
  <pageMargins left="0.7" right="0.7" top="0.75" bottom="0.75" header="0.3" footer="0.3"/>
  <pageSetup paperSize="5" scale="64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99"/>
  <sheetViews>
    <sheetView topLeftCell="B1" workbookViewId="0">
      <selection activeCell="G26" sqref="G26"/>
    </sheetView>
  </sheetViews>
  <sheetFormatPr defaultRowHeight="12.75" x14ac:dyDescent="0.2"/>
  <cols>
    <col min="2" max="2" width="16.85546875" customWidth="1"/>
    <col min="7" max="7" width="29.85546875" customWidth="1"/>
    <col min="8" max="8" width="15.42578125" customWidth="1"/>
    <col min="10" max="10" width="19.140625" customWidth="1"/>
    <col min="11" max="11" width="11.140625" customWidth="1"/>
    <col min="12" max="12" width="15.85546875" customWidth="1"/>
    <col min="13" max="13" width="11.85546875" customWidth="1"/>
    <col min="14" max="14" width="23.425781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/>
      <c r="J1" s="2" t="s">
        <v>1</v>
      </c>
      <c r="K1" s="2"/>
      <c r="L1" s="2"/>
      <c r="M1" s="2"/>
      <c r="N1" s="2"/>
    </row>
    <row r="2" spans="1:14" ht="15.75" x14ac:dyDescent="0.25">
      <c r="A2" s="1" t="s">
        <v>2</v>
      </c>
      <c r="B2" s="1"/>
      <c r="C2" s="1"/>
      <c r="D2" s="1"/>
      <c r="E2" s="1"/>
      <c r="F2" s="1"/>
      <c r="G2" s="1"/>
      <c r="H2" s="1"/>
    </row>
    <row r="3" spans="1:14" ht="15.75" x14ac:dyDescent="0.25">
      <c r="A3" s="3">
        <v>43829</v>
      </c>
      <c r="B3" s="1"/>
      <c r="C3" s="1"/>
      <c r="D3" s="1"/>
      <c r="E3" s="1"/>
      <c r="F3" s="1"/>
      <c r="G3" s="1"/>
      <c r="H3" s="1"/>
    </row>
    <row r="4" spans="1:14" x14ac:dyDescent="0.2">
      <c r="B4" s="4"/>
    </row>
    <row r="5" spans="1:14" x14ac:dyDescent="0.2">
      <c r="A5" s="5">
        <v>1</v>
      </c>
      <c r="H5" s="21"/>
      <c r="J5" s="8" t="s">
        <v>5</v>
      </c>
    </row>
    <row r="6" spans="1:14" x14ac:dyDescent="0.2">
      <c r="B6" s="6" t="s">
        <v>76</v>
      </c>
      <c r="C6" s="6"/>
      <c r="D6" s="6"/>
      <c r="E6" s="6"/>
      <c r="G6" s="5" t="s">
        <v>67</v>
      </c>
      <c r="H6" s="21"/>
      <c r="L6" t="s">
        <v>8</v>
      </c>
      <c r="M6" t="s">
        <v>9</v>
      </c>
      <c r="N6" t="s">
        <v>10</v>
      </c>
    </row>
    <row r="7" spans="1:14" x14ac:dyDescent="0.2">
      <c r="G7" s="5" t="s">
        <v>69</v>
      </c>
      <c r="H7" s="21"/>
      <c r="K7" s="10">
        <v>43465</v>
      </c>
      <c r="L7" s="11">
        <v>43465</v>
      </c>
      <c r="M7" s="10">
        <f>L7+365</f>
        <v>43830</v>
      </c>
      <c r="N7" s="10">
        <f>M7</f>
        <v>43830</v>
      </c>
    </row>
    <row r="8" spans="1:14" x14ac:dyDescent="0.2">
      <c r="B8" s="68" t="s">
        <v>77</v>
      </c>
      <c r="C8" s="29"/>
      <c r="D8" s="29"/>
      <c r="G8" s="5" t="s">
        <v>78</v>
      </c>
      <c r="H8" s="21"/>
    </row>
    <row r="9" spans="1:14" x14ac:dyDescent="0.2">
      <c r="B9" s="9" t="s">
        <v>27</v>
      </c>
      <c r="C9" s="9"/>
      <c r="D9" s="9"/>
      <c r="H9" s="21"/>
      <c r="J9" t="s">
        <v>13</v>
      </c>
      <c r="K9" s="17">
        <v>7178907.6900000004</v>
      </c>
      <c r="L9" s="18">
        <v>7178907.6900000004</v>
      </c>
      <c r="M9" s="18">
        <v>6737133.0199999996</v>
      </c>
      <c r="N9" s="17">
        <f>K9-L9+M9</f>
        <v>6737133.0199999996</v>
      </c>
    </row>
    <row r="10" spans="1:14" x14ac:dyDescent="0.2">
      <c r="G10" s="5"/>
      <c r="H10" s="21"/>
      <c r="K10" s="17"/>
      <c r="L10" s="17"/>
      <c r="M10" s="17"/>
      <c r="N10" s="17"/>
    </row>
    <row r="11" spans="1:14" x14ac:dyDescent="0.2">
      <c r="B11" s="67">
        <f>H16/H17</f>
        <v>1.3101395120784507</v>
      </c>
      <c r="C11" s="9"/>
      <c r="D11" s="9"/>
      <c r="G11" s="38" t="s">
        <v>20</v>
      </c>
      <c r="H11" s="16">
        <f>N11</f>
        <v>94343.66</v>
      </c>
      <c r="J11" t="s">
        <v>20</v>
      </c>
      <c r="K11" s="17">
        <v>2888435.88</v>
      </c>
      <c r="L11" s="18">
        <v>2888435.88</v>
      </c>
      <c r="M11" s="18">
        <v>94343.66</v>
      </c>
      <c r="N11" s="17">
        <f>K11-L11+M11</f>
        <v>94343.66</v>
      </c>
    </row>
    <row r="12" spans="1:14" x14ac:dyDescent="0.2">
      <c r="G12" s="38" t="s">
        <v>72</v>
      </c>
      <c r="H12" s="21">
        <f>N13</f>
        <v>5598697.4100000001</v>
      </c>
      <c r="K12" s="17"/>
      <c r="L12" s="17"/>
      <c r="M12" s="17"/>
      <c r="N12" s="17"/>
    </row>
    <row r="13" spans="1:14" x14ac:dyDescent="0.2">
      <c r="G13" s="38" t="s">
        <v>73</v>
      </c>
      <c r="H13" s="21">
        <f>N15</f>
        <v>8994853.6099999994</v>
      </c>
      <c r="J13" t="s">
        <v>21</v>
      </c>
      <c r="K13" s="17">
        <v>5365629.09</v>
      </c>
      <c r="L13" s="18">
        <v>5365629.09</v>
      </c>
      <c r="M13" s="18">
        <v>5598697.4100000001</v>
      </c>
      <c r="N13" s="17">
        <f>K13-L13+M13</f>
        <v>5598697.4100000001</v>
      </c>
    </row>
    <row r="14" spans="1:14" x14ac:dyDescent="0.2">
      <c r="G14" s="38" t="s">
        <v>79</v>
      </c>
      <c r="H14" s="32">
        <v>1396382.87</v>
      </c>
      <c r="K14" s="17"/>
      <c r="L14" s="17"/>
      <c r="M14" s="17"/>
      <c r="N14" s="17"/>
    </row>
    <row r="15" spans="1:14" x14ac:dyDescent="0.2">
      <c r="G15" s="38" t="s">
        <v>80</v>
      </c>
      <c r="H15" s="32">
        <f>288631.94-271162.89</f>
        <v>17469.049999999988</v>
      </c>
      <c r="I15" s="86"/>
      <c r="J15" t="s">
        <v>22</v>
      </c>
      <c r="K15" s="17">
        <v>8668426.8399999999</v>
      </c>
      <c r="L15" s="18">
        <v>8668426.8399999999</v>
      </c>
      <c r="M15" s="18">
        <v>8994853.6099999994</v>
      </c>
      <c r="N15" s="17">
        <f>K15-L15+M15</f>
        <v>8994853.6099999994</v>
      </c>
    </row>
    <row r="16" spans="1:14" x14ac:dyDescent="0.2">
      <c r="G16" s="38" t="s">
        <v>74</v>
      </c>
      <c r="H16" s="21">
        <f>SUM(H11:H15)</f>
        <v>16101746.600000001</v>
      </c>
      <c r="K16" s="17"/>
      <c r="L16" s="17"/>
      <c r="M16" s="17"/>
      <c r="N16" s="17"/>
    </row>
    <row r="17" spans="1:14" x14ac:dyDescent="0.2">
      <c r="G17" s="38" t="s">
        <v>75</v>
      </c>
      <c r="H17" s="21">
        <f>N27</f>
        <v>12290100.75</v>
      </c>
      <c r="J17" t="s">
        <v>23</v>
      </c>
      <c r="K17" s="85">
        <v>24565.98</v>
      </c>
      <c r="L17" s="2">
        <v>24565.98</v>
      </c>
      <c r="M17" s="2">
        <v>271162.89</v>
      </c>
      <c r="N17" s="17">
        <f t="shared" ref="N17" si="0">K17-L17+M17</f>
        <v>271162.89</v>
      </c>
    </row>
    <row r="18" spans="1:14" x14ac:dyDescent="0.2">
      <c r="A18" s="5">
        <v>2</v>
      </c>
      <c r="H18" s="21"/>
      <c r="J18" s="29" t="s">
        <v>27</v>
      </c>
      <c r="K18" s="17"/>
      <c r="L18" s="17" t="s">
        <v>28</v>
      </c>
      <c r="M18" s="17"/>
      <c r="N18" s="17"/>
    </row>
    <row r="19" spans="1:14" x14ac:dyDescent="0.2">
      <c r="B19" s="5" t="s">
        <v>85</v>
      </c>
      <c r="G19" s="5" t="s">
        <v>4</v>
      </c>
      <c r="J19" t="s">
        <v>29</v>
      </c>
      <c r="M19" s="4"/>
      <c r="N19" s="30">
        <v>2769094.84</v>
      </c>
    </row>
    <row r="20" spans="1:14" x14ac:dyDescent="0.2">
      <c r="B20" s="70"/>
      <c r="C20" s="70"/>
      <c r="D20" s="70"/>
      <c r="E20" s="70"/>
      <c r="F20" s="70"/>
      <c r="G20" s="5" t="s">
        <v>86</v>
      </c>
      <c r="J20" t="s">
        <v>32</v>
      </c>
      <c r="L20" t="s">
        <v>33</v>
      </c>
      <c r="M20" s="4"/>
      <c r="N20" s="33">
        <v>1140587.27</v>
      </c>
    </row>
    <row r="21" spans="1:14" x14ac:dyDescent="0.2">
      <c r="B21" s="70"/>
      <c r="C21" s="70"/>
      <c r="D21" s="70"/>
      <c r="E21" s="71" t="s">
        <v>11</v>
      </c>
      <c r="J21" t="s">
        <v>36</v>
      </c>
      <c r="M21" s="4"/>
      <c r="N21" s="33">
        <v>3221745.11</v>
      </c>
    </row>
    <row r="22" spans="1:14" x14ac:dyDescent="0.2">
      <c r="B22" s="72" t="s">
        <v>87</v>
      </c>
      <c r="C22" s="73" t="s">
        <v>88</v>
      </c>
      <c r="D22" s="72"/>
      <c r="E22" s="74" t="s">
        <v>15</v>
      </c>
      <c r="G22" s="38" t="s">
        <v>20</v>
      </c>
      <c r="H22" s="16">
        <f>M11</f>
        <v>94343.66</v>
      </c>
      <c r="J22" t="s">
        <v>37</v>
      </c>
      <c r="M22" s="4"/>
      <c r="N22" s="33">
        <v>422709.58</v>
      </c>
    </row>
    <row r="23" spans="1:14" x14ac:dyDescent="0.2">
      <c r="C23" t="s">
        <v>89</v>
      </c>
      <c r="G23" s="38" t="s">
        <v>90</v>
      </c>
      <c r="H23" s="75">
        <f>M13</f>
        <v>5598697.4100000001</v>
      </c>
      <c r="J23" t="s">
        <v>38</v>
      </c>
      <c r="M23" s="4"/>
      <c r="N23" s="33">
        <v>2628981.15</v>
      </c>
    </row>
    <row r="24" spans="1:14" x14ac:dyDescent="0.2">
      <c r="G24" s="76" t="s">
        <v>101</v>
      </c>
      <c r="H24" s="77">
        <f>201317.92+69844.97</f>
        <v>271162.89</v>
      </c>
      <c r="I24" s="86"/>
      <c r="J24" t="s">
        <v>39</v>
      </c>
      <c r="M24" s="4"/>
      <c r="N24" s="33">
        <v>1827949.47</v>
      </c>
    </row>
    <row r="25" spans="1:14" x14ac:dyDescent="0.2">
      <c r="B25" s="78">
        <f>H25</f>
        <v>5964203.96</v>
      </c>
      <c r="C25" s="9"/>
      <c r="D25" s="9"/>
      <c r="G25" s="38" t="s">
        <v>93</v>
      </c>
      <c r="H25" s="21">
        <f>SUM(H22:H24)</f>
        <v>5964203.96</v>
      </c>
      <c r="J25" t="s">
        <v>41</v>
      </c>
      <c r="M25" s="4"/>
      <c r="N25" s="33">
        <v>146666.66</v>
      </c>
    </row>
    <row r="26" spans="1:14" x14ac:dyDescent="0.2">
      <c r="B26" s="25">
        <f>H23</f>
        <v>5598697.4100000001</v>
      </c>
      <c r="C26" s="9"/>
      <c r="D26" s="9"/>
      <c r="J26" t="s">
        <v>42</v>
      </c>
      <c r="M26" s="4"/>
      <c r="N26" s="33">
        <v>132366.67000000001</v>
      </c>
    </row>
    <row r="27" spans="1:14" x14ac:dyDescent="0.2">
      <c r="J27" t="s">
        <v>43</v>
      </c>
      <c r="N27" s="17">
        <f>SUM(N19:N26)</f>
        <v>12290100.75</v>
      </c>
    </row>
    <row r="28" spans="1:14" x14ac:dyDescent="0.2">
      <c r="A28" s="37" t="s">
        <v>44</v>
      </c>
      <c r="B28" s="79">
        <f>B25/B26</f>
        <v>1.0652842122432189</v>
      </c>
      <c r="C28" s="80"/>
      <c r="D28" s="80"/>
    </row>
    <row r="29" spans="1:14" x14ac:dyDescent="0.2">
      <c r="J29" t="s">
        <v>46</v>
      </c>
    </row>
    <row r="30" spans="1:14" x14ac:dyDescent="0.2">
      <c r="J30" t="s">
        <v>13</v>
      </c>
      <c r="K30" s="17">
        <f>N9</f>
        <v>6737133.0199999996</v>
      </c>
    </row>
    <row r="31" spans="1:14" x14ac:dyDescent="0.2">
      <c r="J31" t="s">
        <v>15</v>
      </c>
      <c r="K31" s="17">
        <f>N13</f>
        <v>5598697.4100000001</v>
      </c>
    </row>
    <row r="32" spans="1:14" x14ac:dyDescent="0.2">
      <c r="J32" t="s">
        <v>49</v>
      </c>
      <c r="K32" s="17">
        <f>SUM(K30:K31)</f>
        <v>12335830.43</v>
      </c>
    </row>
    <row r="33" spans="1:12" x14ac:dyDescent="0.2">
      <c r="L33" t="s">
        <v>50</v>
      </c>
    </row>
    <row r="34" spans="1:12" x14ac:dyDescent="0.2">
      <c r="J34" t="s">
        <v>51</v>
      </c>
      <c r="K34" s="39">
        <f>K32/K31</f>
        <v>2.2033393710413081</v>
      </c>
    </row>
    <row r="39" spans="1:12" x14ac:dyDescent="0.2">
      <c r="A39" s="5">
        <v>3</v>
      </c>
    </row>
    <row r="50" spans="1:1" x14ac:dyDescent="0.2">
      <c r="A50" s="5">
        <v>4</v>
      </c>
    </row>
    <row r="62" spans="1:1" x14ac:dyDescent="0.2">
      <c r="A62" s="5">
        <v>5</v>
      </c>
    </row>
    <row r="70" spans="1:9" x14ac:dyDescent="0.2">
      <c r="I70" s="4"/>
    </row>
    <row r="71" spans="1:9" x14ac:dyDescent="0.2">
      <c r="I71" s="4"/>
    </row>
    <row r="75" spans="1:9" x14ac:dyDescent="0.2">
      <c r="A75" s="5">
        <v>6</v>
      </c>
    </row>
    <row r="88" spans="1:1" x14ac:dyDescent="0.2">
      <c r="A88" s="5">
        <v>7</v>
      </c>
    </row>
    <row r="99" spans="1:1" x14ac:dyDescent="0.2">
      <c r="A99" s="5">
        <v>8</v>
      </c>
    </row>
  </sheetData>
  <pageMargins left="0.7" right="0.7" top="0.75" bottom="0.75" header="0.3" footer="0.3"/>
  <pageSetup paperSize="5" scale="6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11"/>
  <sheetViews>
    <sheetView topLeftCell="B73" workbookViewId="0">
      <selection activeCell="J76" sqref="J76"/>
    </sheetView>
  </sheetViews>
  <sheetFormatPr defaultRowHeight="12.75" x14ac:dyDescent="0.2"/>
  <cols>
    <col min="2" max="2" width="16.85546875" customWidth="1"/>
    <col min="7" max="7" width="22.85546875" customWidth="1"/>
    <col min="8" max="8" width="15.42578125" customWidth="1"/>
    <col min="10" max="10" width="19.140625" customWidth="1"/>
    <col min="11" max="11" width="11.140625" customWidth="1"/>
    <col min="12" max="12" width="15.85546875" customWidth="1"/>
    <col min="13" max="13" width="11.85546875" customWidth="1"/>
    <col min="14" max="14" width="23.425781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/>
      <c r="J1" s="2" t="s">
        <v>1</v>
      </c>
      <c r="K1" s="2"/>
      <c r="L1" s="2"/>
      <c r="M1" s="2"/>
      <c r="N1" s="2"/>
    </row>
    <row r="2" spans="1:14" ht="15.75" x14ac:dyDescent="0.25">
      <c r="A2" s="1" t="s">
        <v>2</v>
      </c>
      <c r="B2" s="1"/>
      <c r="C2" s="1"/>
      <c r="D2" s="1"/>
      <c r="E2" s="1"/>
      <c r="F2" s="1"/>
      <c r="G2" s="1"/>
      <c r="H2" s="1"/>
    </row>
    <row r="3" spans="1:14" ht="15.75" x14ac:dyDescent="0.25">
      <c r="A3" s="3">
        <v>44196</v>
      </c>
      <c r="B3" s="1"/>
      <c r="C3" s="1"/>
      <c r="D3" s="1"/>
      <c r="E3" s="1"/>
      <c r="F3" s="1"/>
      <c r="G3" s="1"/>
      <c r="H3" s="1"/>
    </row>
    <row r="4" spans="1:14" x14ac:dyDescent="0.2">
      <c r="B4" s="4"/>
    </row>
    <row r="5" spans="1:14" x14ac:dyDescent="0.2">
      <c r="A5" s="5">
        <v>1</v>
      </c>
      <c r="B5" s="6" t="s">
        <v>3</v>
      </c>
      <c r="C5" s="7"/>
      <c r="D5" s="7"/>
      <c r="E5" s="7"/>
      <c r="G5" s="5" t="s">
        <v>4</v>
      </c>
      <c r="J5" s="8" t="s">
        <v>5</v>
      </c>
    </row>
    <row r="6" spans="1:14" x14ac:dyDescent="0.2">
      <c r="B6" s="7" t="s">
        <v>6</v>
      </c>
      <c r="C6" s="9"/>
      <c r="D6" s="9"/>
      <c r="E6" s="9"/>
      <c r="G6" s="5" t="s">
        <v>7</v>
      </c>
      <c r="L6" t="s">
        <v>8</v>
      </c>
      <c r="M6" t="s">
        <v>9</v>
      </c>
      <c r="N6" t="s">
        <v>10</v>
      </c>
    </row>
    <row r="7" spans="1:14" x14ac:dyDescent="0.2">
      <c r="G7" s="5"/>
      <c r="K7" s="10">
        <v>43830</v>
      </c>
      <c r="L7" s="11">
        <v>43830</v>
      </c>
      <c r="M7" s="10">
        <f>L7+365</f>
        <v>44195</v>
      </c>
      <c r="N7" s="10">
        <f>M7</f>
        <v>44195</v>
      </c>
    </row>
    <row r="8" spans="1:14" x14ac:dyDescent="0.2">
      <c r="D8" s="12" t="s">
        <v>11</v>
      </c>
      <c r="G8" t="s">
        <v>12</v>
      </c>
    </row>
    <row r="9" spans="1:14" x14ac:dyDescent="0.2">
      <c r="B9" s="13" t="s">
        <v>13</v>
      </c>
      <c r="C9" s="13" t="s">
        <v>14</v>
      </c>
      <c r="D9" s="14" t="s">
        <v>15</v>
      </c>
      <c r="E9" s="15"/>
      <c r="G9" t="s">
        <v>16</v>
      </c>
      <c r="H9" s="16">
        <f>M9</f>
        <v>9010255.4100000001</v>
      </c>
      <c r="J9" t="s">
        <v>13</v>
      </c>
      <c r="K9" s="17">
        <v>6737133.0199999996</v>
      </c>
      <c r="L9" s="18">
        <v>6737133.0199999996</v>
      </c>
      <c r="M9" s="18">
        <v>9010255.4100000001</v>
      </c>
      <c r="N9" s="17">
        <f>K9-L9+M9</f>
        <v>9010255.4100000001</v>
      </c>
    </row>
    <row r="10" spans="1:14" x14ac:dyDescent="0.2">
      <c r="B10" s="19" t="s">
        <v>17</v>
      </c>
      <c r="C10" s="19"/>
      <c r="D10" s="19"/>
      <c r="E10" s="9"/>
      <c r="G10" t="s">
        <v>18</v>
      </c>
      <c r="H10" s="20">
        <f>M13</f>
        <v>5489308.8200000003</v>
      </c>
      <c r="K10" s="17"/>
      <c r="L10" s="17"/>
      <c r="M10" s="17"/>
      <c r="N10" s="17"/>
    </row>
    <row r="11" spans="1:14" x14ac:dyDescent="0.2">
      <c r="G11" t="s">
        <v>19</v>
      </c>
      <c r="H11" s="21">
        <f>SUM(H9:H10)</f>
        <v>14499564.23</v>
      </c>
      <c r="J11" t="s">
        <v>20</v>
      </c>
      <c r="K11" s="17">
        <v>94343.66</v>
      </c>
      <c r="L11" s="18">
        <v>94343.66</v>
      </c>
      <c r="M11" s="18">
        <v>2168358.06</v>
      </c>
      <c r="N11" s="17">
        <f>K11-L11+M11</f>
        <v>2168358.06</v>
      </c>
    </row>
    <row r="12" spans="1:14" x14ac:dyDescent="0.2">
      <c r="H12" s="21"/>
      <c r="K12" s="17"/>
      <c r="L12" s="17"/>
      <c r="M12" s="17"/>
      <c r="N12" s="17"/>
    </row>
    <row r="13" spans="1:14" x14ac:dyDescent="0.2">
      <c r="B13" s="22">
        <f>H11</f>
        <v>14499564.23</v>
      </c>
      <c r="C13" s="23"/>
      <c r="D13" s="23"/>
      <c r="E13" s="12"/>
      <c r="G13" s="24"/>
      <c r="H13" s="21"/>
      <c r="J13" t="s">
        <v>21</v>
      </c>
      <c r="K13" s="17">
        <v>5598697.4100000001</v>
      </c>
      <c r="L13" s="18">
        <v>5598697.4100000001</v>
      </c>
      <c r="M13" s="18">
        <v>5489308.8200000003</v>
      </c>
      <c r="N13" s="17">
        <f>K13-L13+M13</f>
        <v>5489308.8200000003</v>
      </c>
    </row>
    <row r="14" spans="1:14" x14ac:dyDescent="0.2">
      <c r="B14" s="25">
        <f>H10</f>
        <v>5489308.8200000003</v>
      </c>
      <c r="C14" s="9"/>
      <c r="D14" s="9"/>
      <c r="H14" s="21"/>
      <c r="K14" s="17"/>
      <c r="L14" s="17"/>
      <c r="M14" s="17"/>
      <c r="N14" s="17"/>
    </row>
    <row r="15" spans="1:14" x14ac:dyDescent="0.2">
      <c r="H15" s="21"/>
      <c r="J15" t="s">
        <v>22</v>
      </c>
      <c r="K15" s="17">
        <v>8994853.6099999994</v>
      </c>
      <c r="L15" s="18">
        <v>8994853.6099999994</v>
      </c>
      <c r="M15" s="18">
        <v>9295541.9199999999</v>
      </c>
      <c r="N15" s="17">
        <f>K15-L15+M15</f>
        <v>9295541.9199999999</v>
      </c>
    </row>
    <row r="16" spans="1:14" x14ac:dyDescent="0.2">
      <c r="B16" s="26">
        <f>B13/B14</f>
        <v>2.6414189300429993</v>
      </c>
      <c r="C16" s="27"/>
      <c r="D16" s="27"/>
      <c r="H16" s="21"/>
      <c r="K16" s="17"/>
      <c r="L16" s="17"/>
      <c r="M16" s="17"/>
      <c r="N16" s="17"/>
    </row>
    <row r="17" spans="1:14" x14ac:dyDescent="0.2">
      <c r="H17" s="21"/>
      <c r="J17" t="s">
        <v>23</v>
      </c>
      <c r="L17" s="2">
        <v>0</v>
      </c>
      <c r="M17" s="28">
        <f>720778.97+46192.78</f>
        <v>766971.75</v>
      </c>
      <c r="N17" t="s">
        <v>24</v>
      </c>
    </row>
    <row r="18" spans="1:14" x14ac:dyDescent="0.2">
      <c r="A18" s="5">
        <v>2</v>
      </c>
      <c r="B18" s="6" t="s">
        <v>25</v>
      </c>
      <c r="C18" s="9"/>
      <c r="D18" s="9"/>
      <c r="G18" s="5" t="s">
        <v>26</v>
      </c>
      <c r="H18" s="21"/>
      <c r="J18" s="29" t="s">
        <v>27</v>
      </c>
      <c r="K18" s="17"/>
      <c r="L18" s="17" t="s">
        <v>28</v>
      </c>
      <c r="M18" s="17"/>
      <c r="N18" s="17"/>
    </row>
    <row r="19" spans="1:14" x14ac:dyDescent="0.2">
      <c r="B19" s="7"/>
      <c r="G19" t="s">
        <v>12</v>
      </c>
      <c r="H19" s="21"/>
      <c r="J19" t="s">
        <v>29</v>
      </c>
      <c r="M19" s="4"/>
      <c r="N19" s="30">
        <v>3229615.71</v>
      </c>
    </row>
    <row r="20" spans="1:14" x14ac:dyDescent="0.2">
      <c r="B20" s="31" t="s">
        <v>30</v>
      </c>
      <c r="C20" s="23"/>
      <c r="D20" s="23"/>
      <c r="G20" t="s">
        <v>31</v>
      </c>
      <c r="H20" s="32">
        <v>149721023.30000001</v>
      </c>
      <c r="J20" t="s">
        <v>32</v>
      </c>
      <c r="L20" t="s">
        <v>33</v>
      </c>
      <c r="M20" s="4"/>
      <c r="N20" s="33">
        <v>1019700.24</v>
      </c>
    </row>
    <row r="21" spans="1:14" x14ac:dyDescent="0.2">
      <c r="B21" s="9" t="s">
        <v>34</v>
      </c>
      <c r="C21" s="9"/>
      <c r="D21" s="9"/>
      <c r="G21" t="s">
        <v>35</v>
      </c>
      <c r="H21" s="32">
        <v>322150196.64999998</v>
      </c>
      <c r="J21" t="s">
        <v>36</v>
      </c>
      <c r="M21" s="4"/>
      <c r="N21" s="33">
        <v>3260739.95</v>
      </c>
    </row>
    <row r="22" spans="1:14" x14ac:dyDescent="0.2">
      <c r="H22" s="21"/>
      <c r="J22" t="s">
        <v>37</v>
      </c>
      <c r="M22" s="4"/>
      <c r="N22" s="33">
        <v>368457.19</v>
      </c>
    </row>
    <row r="23" spans="1:14" x14ac:dyDescent="0.2">
      <c r="B23" s="34">
        <f>H20</f>
        <v>149721023.30000001</v>
      </c>
      <c r="C23" s="9"/>
      <c r="D23" s="9"/>
      <c r="H23" s="21"/>
      <c r="J23" t="s">
        <v>38</v>
      </c>
      <c r="M23" s="4"/>
      <c r="N23" s="33">
        <v>2725182.93</v>
      </c>
    </row>
    <row r="24" spans="1:14" x14ac:dyDescent="0.2">
      <c r="B24" s="25">
        <f>H21</f>
        <v>322150196.64999998</v>
      </c>
      <c r="C24" s="9"/>
      <c r="D24" s="9"/>
      <c r="H24" s="21"/>
      <c r="J24" t="s">
        <v>39</v>
      </c>
      <c r="M24" s="4"/>
      <c r="N24" s="33">
        <v>1736424.48</v>
      </c>
    </row>
    <row r="25" spans="1:14" x14ac:dyDescent="0.2">
      <c r="G25" s="5" t="s">
        <v>40</v>
      </c>
      <c r="H25" s="21"/>
      <c r="J25" t="s">
        <v>41</v>
      </c>
      <c r="M25" s="4"/>
      <c r="N25" s="33">
        <v>146666.66</v>
      </c>
    </row>
    <row r="26" spans="1:14" x14ac:dyDescent="0.2">
      <c r="B26" s="35">
        <f>B23/B24</f>
        <v>0.46475533728344853</v>
      </c>
      <c r="C26" s="36"/>
      <c r="D26" s="36"/>
      <c r="H26" s="21"/>
      <c r="J26" t="s">
        <v>42</v>
      </c>
      <c r="M26" s="4"/>
      <c r="N26" s="33">
        <v>125400</v>
      </c>
    </row>
    <row r="27" spans="1:14" x14ac:dyDescent="0.2">
      <c r="B27" s="35"/>
      <c r="C27" s="36"/>
      <c r="D27" s="36"/>
      <c r="H27" s="21"/>
      <c r="J27" t="s">
        <v>43</v>
      </c>
      <c r="N27" s="17">
        <f>SUM(N19:N26)</f>
        <v>12612187.160000002</v>
      </c>
    </row>
    <row r="28" spans="1:14" x14ac:dyDescent="0.2">
      <c r="A28" s="37" t="s">
        <v>44</v>
      </c>
      <c r="B28" s="35" t="s">
        <v>45</v>
      </c>
      <c r="C28" s="36"/>
      <c r="D28" s="36"/>
      <c r="H28" s="21"/>
    </row>
    <row r="29" spans="1:14" x14ac:dyDescent="0.2">
      <c r="B29" s="35"/>
      <c r="C29" s="36"/>
      <c r="D29" s="36"/>
      <c r="H29" s="21"/>
      <c r="J29" t="s">
        <v>46</v>
      </c>
    </row>
    <row r="30" spans="1:14" x14ac:dyDescent="0.2">
      <c r="B30" s="31" t="s">
        <v>30</v>
      </c>
      <c r="C30" s="23"/>
      <c r="D30" s="23"/>
      <c r="G30" t="s">
        <v>12</v>
      </c>
      <c r="H30" s="21"/>
      <c r="J30" t="s">
        <v>13</v>
      </c>
      <c r="K30" s="17">
        <f>N9</f>
        <v>9010255.4100000001</v>
      </c>
    </row>
    <row r="31" spans="1:14" x14ac:dyDescent="0.2">
      <c r="B31" s="9" t="s">
        <v>34</v>
      </c>
      <c r="C31" s="9"/>
      <c r="D31" s="9"/>
      <c r="G31" t="s">
        <v>47</v>
      </c>
      <c r="H31" s="32">
        <f>149721023.3-78184434.37</f>
        <v>71536588.930000007</v>
      </c>
      <c r="J31" t="s">
        <v>15</v>
      </c>
      <c r="K31" s="17">
        <f>N13</f>
        <v>5489308.8200000003</v>
      </c>
    </row>
    <row r="32" spans="1:14" x14ac:dyDescent="0.2">
      <c r="B32" s="35"/>
      <c r="C32" s="36"/>
      <c r="D32" s="36"/>
      <c r="G32" s="38" t="s">
        <v>48</v>
      </c>
      <c r="H32" s="32">
        <f>322150196.65-78184434.37</f>
        <v>243965762.27999997</v>
      </c>
      <c r="J32" t="s">
        <v>49</v>
      </c>
      <c r="K32" s="17">
        <f>SUM(K30:K31)</f>
        <v>14499564.23</v>
      </c>
    </row>
    <row r="33" spans="1:13" x14ac:dyDescent="0.2">
      <c r="B33" s="34">
        <f>H31</f>
        <v>71536588.930000007</v>
      </c>
      <c r="C33" s="9"/>
      <c r="D33" s="9"/>
      <c r="H33" s="21"/>
      <c r="L33" t="s">
        <v>50</v>
      </c>
    </row>
    <row r="34" spans="1:13" x14ac:dyDescent="0.2">
      <c r="B34" s="25">
        <f>H32</f>
        <v>243965762.27999997</v>
      </c>
      <c r="C34" s="9"/>
      <c r="D34" s="9"/>
      <c r="H34" s="21"/>
      <c r="J34" t="s">
        <v>51</v>
      </c>
      <c r="K34" s="39">
        <f>K32/K31</f>
        <v>2.6414189300429993</v>
      </c>
    </row>
    <row r="35" spans="1:13" x14ac:dyDescent="0.2">
      <c r="H35" s="21"/>
    </row>
    <row r="36" spans="1:13" x14ac:dyDescent="0.2">
      <c r="B36" s="35">
        <f>B33/B34</f>
        <v>0.29322388625948803</v>
      </c>
      <c r="C36" s="36"/>
      <c r="D36" s="36"/>
      <c r="H36" s="21"/>
    </row>
    <row r="37" spans="1:13" x14ac:dyDescent="0.2">
      <c r="B37" s="35"/>
      <c r="C37" s="36"/>
      <c r="D37" s="36"/>
      <c r="H37" s="21"/>
    </row>
    <row r="38" spans="1:13" ht="13.5" thickBot="1" x14ac:dyDescent="0.25">
      <c r="H38" s="21"/>
      <c r="J38" s="40">
        <f ca="1">NOW()</f>
        <v>44591.808694907406</v>
      </c>
    </row>
    <row r="39" spans="1:13" x14ac:dyDescent="0.2">
      <c r="A39" s="5">
        <v>3</v>
      </c>
      <c r="B39" s="6" t="s">
        <v>52</v>
      </c>
      <c r="C39" s="9"/>
      <c r="D39" s="9"/>
      <c r="G39" s="5" t="s">
        <v>53</v>
      </c>
      <c r="H39" s="21"/>
      <c r="J39" s="41" t="s">
        <v>54</v>
      </c>
      <c r="K39" s="42">
        <v>-123.1</v>
      </c>
      <c r="L39" s="43"/>
      <c r="M39" s="44"/>
    </row>
    <row r="40" spans="1:13" x14ac:dyDescent="0.2">
      <c r="G40" s="5" t="s">
        <v>55</v>
      </c>
      <c r="H40" s="21"/>
      <c r="J40" s="45" t="s">
        <v>56</v>
      </c>
      <c r="K40" s="10">
        <v>43830</v>
      </c>
      <c r="L40" s="46">
        <v>73820530.340000004</v>
      </c>
      <c r="M40" s="47"/>
    </row>
    <row r="41" spans="1:13" x14ac:dyDescent="0.2">
      <c r="G41" t="s">
        <v>12</v>
      </c>
      <c r="H41" s="21"/>
      <c r="J41" s="48"/>
      <c r="K41" s="49" t="s">
        <v>57</v>
      </c>
      <c r="L41" s="50">
        <v>5108607</v>
      </c>
      <c r="M41" s="47"/>
    </row>
    <row r="42" spans="1:13" x14ac:dyDescent="0.2">
      <c r="B42" s="51" t="s">
        <v>58</v>
      </c>
      <c r="C42" s="9"/>
      <c r="D42" s="9"/>
      <c r="G42" t="s">
        <v>59</v>
      </c>
      <c r="H42" s="32">
        <v>31773376.579999998</v>
      </c>
      <c r="J42" s="48"/>
      <c r="K42" s="49" t="s">
        <v>60</v>
      </c>
      <c r="L42" s="50">
        <v>-23924</v>
      </c>
      <c r="M42" s="47"/>
    </row>
    <row r="43" spans="1:13" x14ac:dyDescent="0.2">
      <c r="B43" s="9" t="s">
        <v>61</v>
      </c>
      <c r="C43" s="9"/>
      <c r="D43" s="9"/>
      <c r="G43" t="s">
        <v>62</v>
      </c>
      <c r="H43" s="32">
        <v>23678230.989999998</v>
      </c>
      <c r="J43" s="48"/>
      <c r="K43" t="s">
        <v>57</v>
      </c>
      <c r="L43" s="52">
        <v>0</v>
      </c>
      <c r="M43" s="47"/>
    </row>
    <row r="44" spans="1:13" x14ac:dyDescent="0.2">
      <c r="B44" s="29"/>
      <c r="H44" s="21"/>
      <c r="J44" s="48"/>
      <c r="K44" t="s">
        <v>63</v>
      </c>
      <c r="L44" s="53">
        <v>-720778.97</v>
      </c>
      <c r="M44" s="47"/>
    </row>
    <row r="45" spans="1:13" x14ac:dyDescent="0.2">
      <c r="B45" s="34">
        <f>H42</f>
        <v>31773376.579999998</v>
      </c>
      <c r="C45" s="9"/>
      <c r="D45" s="9"/>
      <c r="H45" s="21"/>
      <c r="J45" s="48"/>
      <c r="K45" s="54" t="s">
        <v>64</v>
      </c>
      <c r="L45" s="55">
        <f>SUM(L40:L44)</f>
        <v>78184434.370000005</v>
      </c>
      <c r="M45" s="47"/>
    </row>
    <row r="46" spans="1:13" x14ac:dyDescent="0.2">
      <c r="B46" s="25">
        <f>H43</f>
        <v>23678230.989999998</v>
      </c>
      <c r="C46" s="9"/>
      <c r="D46" s="9"/>
      <c r="H46" s="21"/>
      <c r="J46" s="56" t="s">
        <v>65</v>
      </c>
      <c r="K46" s="54"/>
      <c r="L46" s="57">
        <v>5108607</v>
      </c>
      <c r="M46" s="47"/>
    </row>
    <row r="47" spans="1:13" x14ac:dyDescent="0.2">
      <c r="H47" s="21"/>
      <c r="J47" s="48"/>
      <c r="K47" s="49"/>
      <c r="L47" s="58">
        <v>-23924</v>
      </c>
      <c r="M47" s="47"/>
    </row>
    <row r="48" spans="1:13" x14ac:dyDescent="0.2">
      <c r="B48" s="35">
        <f>B45/B46</f>
        <v>1.3418813505712828</v>
      </c>
      <c r="C48" s="59"/>
      <c r="D48" s="36"/>
      <c r="H48" s="21"/>
      <c r="J48" s="48"/>
      <c r="K48" s="49"/>
      <c r="L48" s="60">
        <f>SUM(L46:L47)</f>
        <v>5084683</v>
      </c>
      <c r="M48" s="47"/>
    </row>
    <row r="49" spans="1:13" x14ac:dyDescent="0.2">
      <c r="B49" s="29"/>
      <c r="H49" s="21"/>
      <c r="J49" s="48"/>
      <c r="K49" s="49"/>
      <c r="L49" s="49"/>
      <c r="M49" s="47"/>
    </row>
    <row r="50" spans="1:13" ht="13.5" thickBot="1" x14ac:dyDescent="0.25">
      <c r="A50" s="5">
        <v>4</v>
      </c>
      <c r="B50" s="6" t="s">
        <v>66</v>
      </c>
      <c r="C50" s="9"/>
      <c r="D50" s="9"/>
      <c r="E50" s="9"/>
      <c r="G50" s="5" t="s">
        <v>67</v>
      </c>
      <c r="H50" s="21"/>
      <c r="J50" s="61"/>
      <c r="K50" s="62"/>
      <c r="L50" s="62"/>
      <c r="M50" s="63"/>
    </row>
    <row r="51" spans="1:13" x14ac:dyDescent="0.2">
      <c r="B51" s="5" t="s">
        <v>68</v>
      </c>
      <c r="G51" s="5" t="s">
        <v>69</v>
      </c>
      <c r="H51" s="21"/>
    </row>
    <row r="52" spans="1:13" x14ac:dyDescent="0.2">
      <c r="G52" s="5"/>
      <c r="H52" s="21"/>
      <c r="L52" s="64"/>
    </row>
    <row r="53" spans="1:13" x14ac:dyDescent="0.2">
      <c r="G53" s="5"/>
      <c r="H53" s="21"/>
    </row>
    <row r="54" spans="1:13" x14ac:dyDescent="0.2">
      <c r="G54" s="65" t="s">
        <v>70</v>
      </c>
      <c r="H54" s="21"/>
    </row>
    <row r="55" spans="1:13" x14ac:dyDescent="0.2">
      <c r="B55" s="66" t="s">
        <v>71</v>
      </c>
      <c r="C55" s="66"/>
      <c r="D55" s="66"/>
      <c r="G55" s="38" t="s">
        <v>16</v>
      </c>
      <c r="H55" s="16">
        <f>N9</f>
        <v>9010255.4100000001</v>
      </c>
    </row>
    <row r="56" spans="1:13" x14ac:dyDescent="0.2">
      <c r="B56" s="9" t="s">
        <v>27</v>
      </c>
      <c r="C56" s="9"/>
      <c r="D56" s="9"/>
      <c r="G56" s="38" t="s">
        <v>72</v>
      </c>
      <c r="H56" s="21">
        <f>N13</f>
        <v>5489308.8200000003</v>
      </c>
    </row>
    <row r="57" spans="1:13" x14ac:dyDescent="0.2">
      <c r="G57" s="38" t="s">
        <v>73</v>
      </c>
      <c r="H57" s="21">
        <f>N15</f>
        <v>9295541.9199999999</v>
      </c>
    </row>
    <row r="58" spans="1:13" x14ac:dyDescent="0.2">
      <c r="B58" s="67">
        <f>H58/H59</f>
        <v>1.8866756295424334</v>
      </c>
      <c r="C58" s="9"/>
      <c r="D58" s="9"/>
      <c r="G58" s="38" t="s">
        <v>74</v>
      </c>
      <c r="H58" s="21">
        <f>SUM(H55:H57)</f>
        <v>23795106.149999999</v>
      </c>
    </row>
    <row r="59" spans="1:13" x14ac:dyDescent="0.2">
      <c r="G59" s="38" t="s">
        <v>75</v>
      </c>
      <c r="H59" s="21">
        <f>N27</f>
        <v>12612187.160000002</v>
      </c>
    </row>
    <row r="60" spans="1:13" x14ac:dyDescent="0.2">
      <c r="H60" s="21"/>
    </row>
    <row r="61" spans="1:13" x14ac:dyDescent="0.2">
      <c r="H61" s="21"/>
    </row>
    <row r="62" spans="1:13" x14ac:dyDescent="0.2">
      <c r="A62" s="5">
        <v>5</v>
      </c>
      <c r="B62" s="6" t="s">
        <v>76</v>
      </c>
      <c r="C62" s="6"/>
      <c r="D62" s="6"/>
      <c r="E62" s="6"/>
      <c r="G62" s="5" t="s">
        <v>67</v>
      </c>
      <c r="H62" s="21"/>
    </row>
    <row r="63" spans="1:13" x14ac:dyDescent="0.2">
      <c r="G63" s="5" t="s">
        <v>69</v>
      </c>
      <c r="H63" s="21"/>
    </row>
    <row r="64" spans="1:13" x14ac:dyDescent="0.2">
      <c r="B64" s="68" t="s">
        <v>77</v>
      </c>
      <c r="C64" s="29"/>
      <c r="D64" s="29"/>
      <c r="G64" s="5" t="s">
        <v>78</v>
      </c>
      <c r="H64" s="21"/>
    </row>
    <row r="65" spans="1:11" x14ac:dyDescent="0.2">
      <c r="B65" s="9" t="s">
        <v>27</v>
      </c>
      <c r="C65" s="9"/>
      <c r="D65" s="9"/>
      <c r="H65" s="21"/>
    </row>
    <row r="66" spans="1:11" x14ac:dyDescent="0.2">
      <c r="G66" s="5" t="str">
        <f>G54</f>
        <v>12 Months from 1/01/20 -12/31/20</v>
      </c>
      <c r="H66" s="21"/>
    </row>
    <row r="67" spans="1:11" x14ac:dyDescent="0.2">
      <c r="B67" s="67">
        <f>H72/H73</f>
        <v>1.5183467393136907</v>
      </c>
      <c r="C67" s="9"/>
      <c r="D67" s="9"/>
      <c r="G67" s="38" t="s">
        <v>20</v>
      </c>
      <c r="H67" s="16">
        <f>N11</f>
        <v>2168358.06</v>
      </c>
    </row>
    <row r="68" spans="1:11" x14ac:dyDescent="0.2">
      <c r="G68" s="38" t="s">
        <v>72</v>
      </c>
      <c r="H68" s="21">
        <f>N13</f>
        <v>5489308.8200000003</v>
      </c>
    </row>
    <row r="69" spans="1:11" x14ac:dyDescent="0.2">
      <c r="G69" s="38" t="s">
        <v>73</v>
      </c>
      <c r="H69" s="21">
        <f>N15</f>
        <v>9295541.9199999999</v>
      </c>
    </row>
    <row r="70" spans="1:11" x14ac:dyDescent="0.2">
      <c r="G70" s="38" t="s">
        <v>79</v>
      </c>
      <c r="H70" s="32">
        <v>1391680.9</v>
      </c>
      <c r="I70" s="4"/>
    </row>
    <row r="71" spans="1:11" x14ac:dyDescent="0.2">
      <c r="G71" s="38" t="s">
        <v>80</v>
      </c>
      <c r="H71" s="32">
        <v>804783.55</v>
      </c>
      <c r="I71" s="4" t="s">
        <v>81</v>
      </c>
      <c r="K71" s="4" t="s">
        <v>82</v>
      </c>
    </row>
    <row r="72" spans="1:11" x14ac:dyDescent="0.2">
      <c r="G72" s="38" t="s">
        <v>74</v>
      </c>
      <c r="H72" s="21">
        <f>SUM(H67:H71)</f>
        <v>19149673.25</v>
      </c>
    </row>
    <row r="73" spans="1:11" x14ac:dyDescent="0.2">
      <c r="G73" s="38" t="s">
        <v>75</v>
      </c>
      <c r="H73" s="21">
        <f>N27</f>
        <v>12612187.160000002</v>
      </c>
    </row>
    <row r="74" spans="1:11" x14ac:dyDescent="0.2">
      <c r="H74" s="21"/>
    </row>
    <row r="75" spans="1:11" x14ac:dyDescent="0.2">
      <c r="A75" s="5">
        <v>6</v>
      </c>
      <c r="B75" s="69" t="s">
        <v>83</v>
      </c>
      <c r="C75" s="7"/>
      <c r="D75" s="7"/>
      <c r="E75" s="7"/>
      <c r="G75" s="5" t="s">
        <v>4</v>
      </c>
    </row>
    <row r="76" spans="1:11" x14ac:dyDescent="0.2">
      <c r="B76" s="7"/>
      <c r="C76" s="9"/>
      <c r="D76" s="9"/>
      <c r="E76" s="9"/>
      <c r="G76" s="5" t="s">
        <v>7</v>
      </c>
    </row>
    <row r="77" spans="1:11" x14ac:dyDescent="0.2">
      <c r="G77" s="5" t="str">
        <f>G54</f>
        <v>12 Months from 1/01/20 -12/31/20</v>
      </c>
      <c r="H77" s="21"/>
    </row>
    <row r="78" spans="1:11" x14ac:dyDescent="0.2">
      <c r="D78" s="12" t="s">
        <v>11</v>
      </c>
      <c r="G78" t="s">
        <v>84</v>
      </c>
    </row>
    <row r="79" spans="1:11" x14ac:dyDescent="0.2">
      <c r="B79" s="13" t="s">
        <v>13</v>
      </c>
      <c r="C79" s="13" t="s">
        <v>14</v>
      </c>
      <c r="D79" s="14" t="s">
        <v>15</v>
      </c>
      <c r="E79" s="15"/>
      <c r="G79" t="s">
        <v>16</v>
      </c>
      <c r="H79" s="16">
        <f>N9</f>
        <v>9010255.4100000001</v>
      </c>
    </row>
    <row r="80" spans="1:11" x14ac:dyDescent="0.2">
      <c r="B80" s="19" t="s">
        <v>17</v>
      </c>
      <c r="C80" s="19"/>
      <c r="D80" s="19"/>
      <c r="E80" s="9"/>
      <c r="G80" t="s">
        <v>18</v>
      </c>
      <c r="H80" s="20">
        <f>N13</f>
        <v>5489308.8200000003</v>
      </c>
    </row>
    <row r="81" spans="1:9" x14ac:dyDescent="0.2">
      <c r="G81" t="s">
        <v>19</v>
      </c>
      <c r="H81" s="21">
        <f>SUM(H79:H80)</f>
        <v>14499564.23</v>
      </c>
    </row>
    <row r="82" spans="1:9" x14ac:dyDescent="0.2">
      <c r="H82" s="21"/>
    </row>
    <row r="83" spans="1:9" x14ac:dyDescent="0.2">
      <c r="B83" s="22">
        <f>H81</f>
        <v>14499564.23</v>
      </c>
      <c r="C83" s="23"/>
      <c r="D83" s="23"/>
      <c r="E83" s="12"/>
      <c r="G83" s="24"/>
      <c r="H83" s="21"/>
    </row>
    <row r="84" spans="1:9" x14ac:dyDescent="0.2">
      <c r="B84" s="25">
        <f>H80</f>
        <v>5489308.8200000003</v>
      </c>
      <c r="C84" s="9"/>
      <c r="D84" s="9"/>
      <c r="H84" s="21"/>
    </row>
    <row r="85" spans="1:9" x14ac:dyDescent="0.2">
      <c r="H85" s="21"/>
    </row>
    <row r="86" spans="1:9" x14ac:dyDescent="0.2">
      <c r="B86" s="26">
        <f>B83/B84</f>
        <v>2.6414189300429993</v>
      </c>
      <c r="C86" s="27"/>
      <c r="D86" s="27"/>
      <c r="H86" s="21"/>
    </row>
    <row r="88" spans="1:9" x14ac:dyDescent="0.2">
      <c r="A88" s="5">
        <v>7</v>
      </c>
      <c r="B88" s="5" t="s">
        <v>85</v>
      </c>
      <c r="G88" s="5" t="s">
        <v>4</v>
      </c>
    </row>
    <row r="89" spans="1:9" x14ac:dyDescent="0.2">
      <c r="B89" s="70"/>
      <c r="C89" s="70"/>
      <c r="D89" s="70"/>
      <c r="E89" s="70"/>
      <c r="F89" s="70"/>
      <c r="G89" s="5" t="s">
        <v>86</v>
      </c>
    </row>
    <row r="90" spans="1:9" x14ac:dyDescent="0.2">
      <c r="B90" s="70"/>
      <c r="C90" s="70"/>
      <c r="D90" s="70"/>
      <c r="E90" s="71" t="s">
        <v>11</v>
      </c>
    </row>
    <row r="91" spans="1:9" x14ac:dyDescent="0.2">
      <c r="B91" s="72" t="s">
        <v>87</v>
      </c>
      <c r="C91" s="73" t="s">
        <v>88</v>
      </c>
      <c r="D91" s="72"/>
      <c r="E91" s="74" t="s">
        <v>15</v>
      </c>
      <c r="G91" s="38" t="s">
        <v>20</v>
      </c>
      <c r="H91" s="16">
        <f>M11</f>
        <v>2168358.06</v>
      </c>
    </row>
    <row r="92" spans="1:9" x14ac:dyDescent="0.2">
      <c r="C92" t="s">
        <v>89</v>
      </c>
      <c r="G92" s="38" t="s">
        <v>90</v>
      </c>
      <c r="H92" s="75">
        <f>M13</f>
        <v>5489308.8200000003</v>
      </c>
    </row>
    <row r="93" spans="1:9" x14ac:dyDescent="0.2">
      <c r="G93" s="76" t="s">
        <v>91</v>
      </c>
      <c r="H93" s="77">
        <v>766971.75</v>
      </c>
      <c r="I93" t="s">
        <v>92</v>
      </c>
    </row>
    <row r="94" spans="1:9" x14ac:dyDescent="0.2">
      <c r="B94" s="78">
        <f>H94</f>
        <v>8424638.6300000008</v>
      </c>
      <c r="C94" s="9"/>
      <c r="D94" s="9"/>
      <c r="G94" s="38" t="s">
        <v>93</v>
      </c>
      <c r="H94" s="21">
        <f>SUM(H91:H93)</f>
        <v>8424638.6300000008</v>
      </c>
    </row>
    <row r="95" spans="1:9" x14ac:dyDescent="0.2">
      <c r="B95" s="25">
        <f>H92</f>
        <v>5489308.8200000003</v>
      </c>
      <c r="C95" s="9"/>
      <c r="D95" s="9"/>
    </row>
    <row r="97" spans="1:9" x14ac:dyDescent="0.2">
      <c r="B97" s="79">
        <f>B94/B95</f>
        <v>1.5347357757146556</v>
      </c>
      <c r="C97" s="80"/>
      <c r="D97" s="80"/>
    </row>
    <row r="99" spans="1:9" x14ac:dyDescent="0.2">
      <c r="A99" s="5">
        <v>8</v>
      </c>
      <c r="B99" s="5" t="s">
        <v>94</v>
      </c>
    </row>
    <row r="100" spans="1:9" x14ac:dyDescent="0.2">
      <c r="G100" s="5" t="s">
        <v>95</v>
      </c>
    </row>
    <row r="101" spans="1:9" x14ac:dyDescent="0.2">
      <c r="D101" s="12" t="s">
        <v>11</v>
      </c>
      <c r="G101" s="5" t="s">
        <v>86</v>
      </c>
    </row>
    <row r="102" spans="1:9" x14ac:dyDescent="0.2">
      <c r="B102" s="81" t="s">
        <v>87</v>
      </c>
      <c r="C102" s="82" t="s">
        <v>14</v>
      </c>
      <c r="D102" s="14" t="s">
        <v>15</v>
      </c>
    </row>
    <row r="103" spans="1:9" x14ac:dyDescent="0.2">
      <c r="B103" t="s">
        <v>89</v>
      </c>
      <c r="G103" s="38" t="s">
        <v>20</v>
      </c>
      <c r="H103" s="16">
        <f>N11</f>
        <v>2168358.06</v>
      </c>
    </row>
    <row r="104" spans="1:9" x14ac:dyDescent="0.2">
      <c r="G104" s="38" t="s">
        <v>90</v>
      </c>
      <c r="H104" s="75">
        <f>N13</f>
        <v>5489308.8200000003</v>
      </c>
    </row>
    <row r="105" spans="1:9" x14ac:dyDescent="0.2">
      <c r="B105" s="78">
        <f>H106</f>
        <v>8424638.6300000008</v>
      </c>
      <c r="C105" s="9"/>
      <c r="D105" s="9"/>
      <c r="G105" s="76" t="s">
        <v>91</v>
      </c>
      <c r="H105" s="83">
        <f>720778.97+46192.78</f>
        <v>766971.75</v>
      </c>
      <c r="I105" t="s">
        <v>96</v>
      </c>
    </row>
    <row r="106" spans="1:9" x14ac:dyDescent="0.2">
      <c r="B106" s="25">
        <f>H104</f>
        <v>5489308.8200000003</v>
      </c>
      <c r="C106" s="9"/>
      <c r="D106" s="9"/>
      <c r="G106" s="38" t="s">
        <v>93</v>
      </c>
      <c r="H106" s="21">
        <f>SUM(H103:H105)</f>
        <v>8424638.6300000008</v>
      </c>
    </row>
    <row r="108" spans="1:9" x14ac:dyDescent="0.2">
      <c r="B108" s="79">
        <f>B105/B106</f>
        <v>1.5347357757146556</v>
      </c>
      <c r="C108" s="80"/>
      <c r="D108" s="80"/>
    </row>
    <row r="111" spans="1:9" x14ac:dyDescent="0.2">
      <c r="B111" s="84">
        <f ca="1">NOW()</f>
        <v>44591.808694907406</v>
      </c>
    </row>
  </sheetData>
  <pageMargins left="0.7" right="0.7" top="0.75" bottom="0.75" header="0.3" footer="0.3"/>
  <pageSetup paperSize="5" scale="64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04"/>
  <sheetViews>
    <sheetView workbookViewId="0">
      <selection activeCell="K55" sqref="K55"/>
    </sheetView>
  </sheetViews>
  <sheetFormatPr defaultRowHeight="12.75" x14ac:dyDescent="0.2"/>
  <cols>
    <col min="2" max="2" width="16.85546875" customWidth="1"/>
    <col min="7" max="7" width="22.85546875" customWidth="1"/>
    <col min="8" max="8" width="15.42578125" customWidth="1"/>
    <col min="10" max="10" width="19.140625" customWidth="1"/>
    <col min="11" max="11" width="11.140625" customWidth="1"/>
    <col min="12" max="12" width="15.85546875" customWidth="1"/>
    <col min="13" max="13" width="11.85546875" customWidth="1"/>
    <col min="14" max="14" width="23.425781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/>
      <c r="J1" s="2" t="s">
        <v>1</v>
      </c>
      <c r="K1" s="2"/>
      <c r="L1" s="2"/>
      <c r="M1" s="2"/>
      <c r="N1" s="2"/>
    </row>
    <row r="2" spans="1:14" ht="15.75" x14ac:dyDescent="0.25">
      <c r="A2" s="1" t="s">
        <v>2</v>
      </c>
      <c r="B2" s="1"/>
      <c r="C2" s="1"/>
      <c r="D2" s="1"/>
      <c r="E2" s="1"/>
      <c r="F2" s="1"/>
      <c r="G2" s="1"/>
      <c r="H2" s="1"/>
    </row>
    <row r="3" spans="1:14" ht="15.75" x14ac:dyDescent="0.25">
      <c r="A3" s="3">
        <v>44196</v>
      </c>
      <c r="B3" s="1"/>
      <c r="C3" s="1"/>
      <c r="D3" s="1"/>
      <c r="E3" s="1"/>
      <c r="F3" s="1"/>
      <c r="G3" s="1"/>
      <c r="H3" s="1"/>
    </row>
    <row r="4" spans="1:14" x14ac:dyDescent="0.2">
      <c r="B4" s="4"/>
    </row>
    <row r="5" spans="1:14" x14ac:dyDescent="0.2">
      <c r="H5" s="21"/>
      <c r="J5" s="8" t="s">
        <v>5</v>
      </c>
    </row>
    <row r="6" spans="1:14" x14ac:dyDescent="0.2">
      <c r="A6" s="5">
        <v>5</v>
      </c>
      <c r="B6" s="6" t="s">
        <v>76</v>
      </c>
      <c r="C6" s="6"/>
      <c r="D6" s="6"/>
      <c r="E6" s="6"/>
      <c r="G6" s="5" t="s">
        <v>67</v>
      </c>
      <c r="H6" s="21"/>
      <c r="L6" t="s">
        <v>8</v>
      </c>
      <c r="M6" t="s">
        <v>9</v>
      </c>
      <c r="N6" t="s">
        <v>10</v>
      </c>
    </row>
    <row r="7" spans="1:14" x14ac:dyDescent="0.2">
      <c r="G7" s="5" t="s">
        <v>69</v>
      </c>
      <c r="H7" s="21"/>
      <c r="K7" s="10">
        <v>43830</v>
      </c>
      <c r="L7" s="11">
        <v>43830</v>
      </c>
      <c r="M7" s="10">
        <f>L7+365</f>
        <v>44195</v>
      </c>
      <c r="N7" s="10">
        <f>M7</f>
        <v>44195</v>
      </c>
    </row>
    <row r="8" spans="1:14" x14ac:dyDescent="0.2">
      <c r="B8" s="68" t="s">
        <v>77</v>
      </c>
      <c r="C8" s="29"/>
      <c r="D8" s="29"/>
      <c r="G8" s="5" t="s">
        <v>78</v>
      </c>
      <c r="H8" s="21"/>
    </row>
    <row r="9" spans="1:14" x14ac:dyDescent="0.2">
      <c r="B9" s="9" t="s">
        <v>27</v>
      </c>
      <c r="C9" s="9"/>
      <c r="D9" s="9"/>
      <c r="H9" s="21"/>
      <c r="J9" t="s">
        <v>13</v>
      </c>
      <c r="K9" s="17">
        <v>6737133.0199999996</v>
      </c>
      <c r="L9" s="18">
        <v>6737133.0199999996</v>
      </c>
      <c r="M9" s="18">
        <v>9010255.4100000001</v>
      </c>
      <c r="N9" s="17">
        <f>K9-L9+M9</f>
        <v>9010255.4100000001</v>
      </c>
    </row>
    <row r="10" spans="1:14" x14ac:dyDescent="0.2">
      <c r="G10" s="5" t="e">
        <f>#REF!</f>
        <v>#REF!</v>
      </c>
      <c r="H10" s="21"/>
      <c r="K10" s="17"/>
      <c r="L10" s="17"/>
      <c r="M10" s="17"/>
      <c r="N10" s="17"/>
    </row>
    <row r="11" spans="1:14" x14ac:dyDescent="0.2">
      <c r="B11" s="67">
        <f>H16/H17</f>
        <v>1.3392939135546413</v>
      </c>
      <c r="C11" s="9"/>
      <c r="D11" s="9"/>
      <c r="G11" s="38" t="s">
        <v>20</v>
      </c>
      <c r="H11" s="16">
        <f>N11-1491306</f>
        <v>677052.06</v>
      </c>
      <c r="I11" s="86"/>
      <c r="J11" t="s">
        <v>20</v>
      </c>
      <c r="K11" s="17">
        <v>94343.66</v>
      </c>
      <c r="L11" s="18">
        <v>94343.66</v>
      </c>
      <c r="M11" s="18">
        <v>2168358.06</v>
      </c>
      <c r="N11" s="17">
        <f>K11-L11+M11</f>
        <v>2168358.06</v>
      </c>
    </row>
    <row r="12" spans="1:14" x14ac:dyDescent="0.2">
      <c r="G12" s="38" t="s">
        <v>72</v>
      </c>
      <c r="H12" s="21">
        <f>N13</f>
        <v>5489308.8200000003</v>
      </c>
      <c r="K12" s="17"/>
      <c r="L12" s="17"/>
      <c r="M12" s="17"/>
      <c r="N12" s="17"/>
    </row>
    <row r="13" spans="1:14" x14ac:dyDescent="0.2">
      <c r="G13" s="38" t="s">
        <v>73</v>
      </c>
      <c r="H13" s="21">
        <f>N15</f>
        <v>9295541.9199999999</v>
      </c>
      <c r="J13" t="s">
        <v>21</v>
      </c>
      <c r="K13" s="17">
        <v>5598697.4100000001</v>
      </c>
      <c r="L13" s="18">
        <v>5598697.4100000001</v>
      </c>
      <c r="M13" s="18">
        <v>5489308.8200000003</v>
      </c>
      <c r="N13" s="17">
        <f>K13-L13+M13</f>
        <v>5489308.8200000003</v>
      </c>
    </row>
    <row r="14" spans="1:14" x14ac:dyDescent="0.2">
      <c r="G14" s="38" t="s">
        <v>79</v>
      </c>
      <c r="H14" s="32">
        <v>1391680.9</v>
      </c>
      <c r="K14" s="17"/>
      <c r="L14" s="17"/>
      <c r="M14" s="17"/>
      <c r="N14" s="17"/>
    </row>
    <row r="15" spans="1:14" x14ac:dyDescent="0.2">
      <c r="G15" s="38" t="s">
        <v>80</v>
      </c>
      <c r="H15" s="32">
        <f>804783.55-766941.75</f>
        <v>37841.800000000047</v>
      </c>
      <c r="I15" s="86"/>
      <c r="J15" t="s">
        <v>22</v>
      </c>
      <c r="K15" s="17">
        <v>8994853.6099999994</v>
      </c>
      <c r="L15" s="18">
        <v>8994853.6099999994</v>
      </c>
      <c r="M15" s="18">
        <v>9295541.9199999999</v>
      </c>
      <c r="N15" s="17">
        <f>K15-L15+M15</f>
        <v>9295541.9199999999</v>
      </c>
    </row>
    <row r="16" spans="1:14" x14ac:dyDescent="0.2">
      <c r="G16" s="38" t="s">
        <v>74</v>
      </c>
      <c r="H16" s="21">
        <f>SUM(H11:H15)</f>
        <v>16891425.5</v>
      </c>
      <c r="K16" s="17"/>
      <c r="L16" s="17"/>
      <c r="M16" s="17"/>
      <c r="N16" s="17"/>
    </row>
    <row r="17" spans="1:14" x14ac:dyDescent="0.2">
      <c r="G17" s="38" t="s">
        <v>75</v>
      </c>
      <c r="H17" s="21">
        <f>N27</f>
        <v>12612187.160000002</v>
      </c>
      <c r="J17" t="s">
        <v>23</v>
      </c>
      <c r="L17" s="2">
        <v>0</v>
      </c>
      <c r="M17" s="28">
        <f>720778.97+46192.78</f>
        <v>766971.75</v>
      </c>
      <c r="N17" t="s">
        <v>24</v>
      </c>
    </row>
    <row r="18" spans="1:14" x14ac:dyDescent="0.2">
      <c r="H18" s="21"/>
      <c r="J18" s="29" t="s">
        <v>27</v>
      </c>
      <c r="K18" s="17"/>
      <c r="L18" s="17" t="s">
        <v>28</v>
      </c>
      <c r="M18" s="17"/>
      <c r="N18" s="17"/>
    </row>
    <row r="19" spans="1:14" x14ac:dyDescent="0.2">
      <c r="J19" t="s">
        <v>29</v>
      </c>
      <c r="M19" s="4"/>
      <c r="N19" s="30">
        <v>3229615.71</v>
      </c>
    </row>
    <row r="20" spans="1:14" x14ac:dyDescent="0.2">
      <c r="A20" s="5">
        <v>7</v>
      </c>
      <c r="B20" s="5" t="s">
        <v>85</v>
      </c>
      <c r="G20" s="5" t="s">
        <v>4</v>
      </c>
      <c r="J20" t="s">
        <v>32</v>
      </c>
      <c r="L20" t="s">
        <v>33</v>
      </c>
      <c r="M20" s="4"/>
      <c r="N20" s="33">
        <v>1019700.24</v>
      </c>
    </row>
    <row r="21" spans="1:14" x14ac:dyDescent="0.2">
      <c r="B21" s="70"/>
      <c r="C21" s="70"/>
      <c r="D21" s="70"/>
      <c r="E21" s="70"/>
      <c r="F21" s="70"/>
      <c r="G21" s="5" t="s">
        <v>86</v>
      </c>
      <c r="J21" t="s">
        <v>36</v>
      </c>
      <c r="M21" s="4"/>
      <c r="N21" s="33">
        <v>3260739.95</v>
      </c>
    </row>
    <row r="22" spans="1:14" x14ac:dyDescent="0.2">
      <c r="B22" s="70"/>
      <c r="C22" s="70"/>
      <c r="D22" s="70"/>
      <c r="E22" s="71" t="s">
        <v>11</v>
      </c>
      <c r="J22" t="s">
        <v>37</v>
      </c>
      <c r="M22" s="4"/>
      <c r="N22" s="33">
        <v>368457.19</v>
      </c>
    </row>
    <row r="23" spans="1:14" x14ac:dyDescent="0.2">
      <c r="B23" s="72" t="s">
        <v>87</v>
      </c>
      <c r="C23" s="73" t="s">
        <v>88</v>
      </c>
      <c r="D23" s="72"/>
      <c r="E23" s="74" t="s">
        <v>15</v>
      </c>
      <c r="G23" s="38" t="s">
        <v>20</v>
      </c>
      <c r="H23" s="16">
        <f>M11-1491306</f>
        <v>677052.06</v>
      </c>
      <c r="I23" s="86"/>
      <c r="J23" t="s">
        <v>38</v>
      </c>
      <c r="M23" s="4"/>
      <c r="N23" s="33">
        <v>2725182.93</v>
      </c>
    </row>
    <row r="24" spans="1:14" x14ac:dyDescent="0.2">
      <c r="C24" t="s">
        <v>89</v>
      </c>
      <c r="G24" s="38" t="s">
        <v>90</v>
      </c>
      <c r="H24" s="75">
        <f>M13</f>
        <v>5489308.8200000003</v>
      </c>
      <c r="J24" t="s">
        <v>39</v>
      </c>
      <c r="M24" s="4"/>
      <c r="N24" s="33">
        <v>1736424.48</v>
      </c>
    </row>
    <row r="25" spans="1:14" x14ac:dyDescent="0.2">
      <c r="G25" s="76" t="s">
        <v>91</v>
      </c>
      <c r="H25" s="77"/>
      <c r="I25" s="86"/>
      <c r="J25" t="s">
        <v>41</v>
      </c>
      <c r="M25" s="4"/>
      <c r="N25" s="33">
        <v>146666.66</v>
      </c>
    </row>
    <row r="26" spans="1:14" x14ac:dyDescent="0.2">
      <c r="B26" s="78">
        <f>H26</f>
        <v>6166360.8800000008</v>
      </c>
      <c r="C26" s="9"/>
      <c r="D26" s="9"/>
      <c r="G26" s="38" t="s">
        <v>93</v>
      </c>
      <c r="H26" s="21">
        <f>SUM(H23:H25)</f>
        <v>6166360.8800000008</v>
      </c>
      <c r="J26" t="s">
        <v>42</v>
      </c>
      <c r="M26" s="4"/>
      <c r="N26" s="33">
        <v>125400</v>
      </c>
    </row>
    <row r="27" spans="1:14" x14ac:dyDescent="0.2">
      <c r="B27" s="25">
        <f>H24</f>
        <v>5489308.8200000003</v>
      </c>
      <c r="C27" s="9"/>
      <c r="D27" s="9"/>
      <c r="J27" t="s">
        <v>43</v>
      </c>
      <c r="N27" s="17">
        <f>SUM(N19:N26)</f>
        <v>12612187.160000002</v>
      </c>
    </row>
    <row r="29" spans="1:14" x14ac:dyDescent="0.2">
      <c r="B29" s="79">
        <f>B26/B27</f>
        <v>1.1233401293680541</v>
      </c>
      <c r="C29" s="80"/>
      <c r="D29" s="80"/>
      <c r="J29" t="s">
        <v>46</v>
      </c>
    </row>
    <row r="30" spans="1:14" x14ac:dyDescent="0.2">
      <c r="J30" t="s">
        <v>13</v>
      </c>
      <c r="K30" s="17">
        <f>N9</f>
        <v>9010255.4100000001</v>
      </c>
    </row>
    <row r="31" spans="1:14" x14ac:dyDescent="0.2">
      <c r="J31" t="s">
        <v>15</v>
      </c>
      <c r="K31" s="17">
        <f>N13</f>
        <v>5489308.8200000003</v>
      </c>
    </row>
    <row r="32" spans="1:14" x14ac:dyDescent="0.2">
      <c r="J32" t="s">
        <v>49</v>
      </c>
      <c r="K32" s="17">
        <f>SUM(K30:K31)</f>
        <v>14499564.23</v>
      </c>
    </row>
    <row r="33" spans="10:12" x14ac:dyDescent="0.2">
      <c r="L33" t="s">
        <v>50</v>
      </c>
    </row>
    <row r="34" spans="10:12" x14ac:dyDescent="0.2">
      <c r="J34" t="s">
        <v>51</v>
      </c>
      <c r="K34" s="39">
        <f>K32/K31</f>
        <v>2.6414189300429993</v>
      </c>
    </row>
    <row r="39" spans="10:12" x14ac:dyDescent="0.2">
      <c r="L39" s="64"/>
    </row>
    <row r="69" spans="9:9" x14ac:dyDescent="0.2">
      <c r="I69" s="4"/>
    </row>
    <row r="92" spans="9:9" x14ac:dyDescent="0.2">
      <c r="I92" t="s">
        <v>92</v>
      </c>
    </row>
    <row r="104" spans="9:9" x14ac:dyDescent="0.2">
      <c r="I104" t="s">
        <v>96</v>
      </c>
    </row>
  </sheetData>
  <pageMargins left="0.7" right="0.7" top="0.75" bottom="0.75" header="0.3" footer="0.3"/>
  <pageSetup paperSize="5"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2018 Original Ratio Sheet</vt:lpstr>
      <vt:lpstr>2018 Stripped Ratio Sheet</vt:lpstr>
      <vt:lpstr>2019 Original Ratio Sheet</vt:lpstr>
      <vt:lpstr>2019 Stripped Ratio Sheet</vt:lpstr>
      <vt:lpstr>2020 Original Ratio Sheet</vt:lpstr>
      <vt:lpstr>2020 Stripped Ratio Sheet</vt:lpstr>
      <vt:lpstr>'2018 Original Ratio Sheet'!Print_Area</vt:lpstr>
      <vt:lpstr>'2018 Stripped Ratio Sheet'!Print_Area</vt:lpstr>
      <vt:lpstr>'2019 Original Ratio Sheet'!Print_Area</vt:lpstr>
      <vt:lpstr>'2019 Stripped Ratio Sheet'!Print_Area</vt:lpstr>
      <vt:lpstr>'2020 Original Ratio Sheet'!Print_Area</vt:lpstr>
      <vt:lpstr>'2020 Stripped Ratio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Herrman</dc:creator>
  <cp:lastModifiedBy>Michelle Herrman</cp:lastModifiedBy>
  <dcterms:created xsi:type="dcterms:W3CDTF">2022-01-30T23:45:03Z</dcterms:created>
  <dcterms:modified xsi:type="dcterms:W3CDTF">2022-01-31T00:24:42Z</dcterms:modified>
</cp:coreProperties>
</file>